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07"/>
  <workbookPr codeName="ThisWorkbook"/>
  <mc:AlternateContent xmlns:mc="http://schemas.openxmlformats.org/markup-compatibility/2006">
    <mc:Choice Requires="x15">
      <x15ac:absPath xmlns:x15ac="http://schemas.microsoft.com/office/spreadsheetml/2010/11/ac" url="/Users/williamskwarah/Documents/PhD/HIV Research/Systematic Review/Final articles/Completed CHARMS/"/>
    </mc:Choice>
  </mc:AlternateContent>
  <xr:revisionPtr revIDLastSave="0" documentId="13_ncr:1_{0C2BD731-8930-E648-804F-00E6B4050B35}" xr6:coauthVersionLast="47" xr6:coauthVersionMax="47" xr10:uidLastSave="{00000000-0000-0000-0000-000000000000}"/>
  <bookViews>
    <workbookView minimized="1" xWindow="140" yWindow="1040" windowWidth="35860" windowHeight="21100" tabRatio="787" firstSheet="1" activeTab="6" xr2:uid="{00000000-000D-0000-FFFF-FFFF00000000}"/>
  </bookViews>
  <sheets>
    <sheet name="HOME" sheetId="6" r:id="rId1"/>
    <sheet name="SUMMARY" sheetId="9" r:id="rId2"/>
    <sheet name="CHARMS" sheetId="5" r:id="rId3"/>
    <sheet name="PROBAST" sheetId="7" r:id="rId4"/>
    <sheet name="Study Characteristics" sheetId="1" r:id="rId5"/>
    <sheet name="Model characteristics" sheetId="10" r:id="rId6"/>
    <sheet name="PROBAST summary" sheetId="8" r:id="rId7"/>
    <sheet name="CHARMS.Drop-down response lists" sheetId="11" r:id="rId8"/>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36" i="9" l="1"/>
  <c r="I35" i="9"/>
  <c r="I34" i="9"/>
  <c r="I33" i="9"/>
  <c r="I32" i="9"/>
  <c r="I31" i="9"/>
  <c r="I30" i="9"/>
  <c r="I29" i="9"/>
  <c r="I28" i="9"/>
  <c r="I27" i="9"/>
  <c r="I26" i="9"/>
  <c r="I25" i="9"/>
  <c r="I24" i="9"/>
  <c r="I23" i="9"/>
  <c r="I22" i="9"/>
  <c r="I21" i="9"/>
  <c r="I20" i="9"/>
  <c r="I19" i="9"/>
  <c r="I18" i="9"/>
  <c r="F5" i="9" l="1"/>
  <c r="CO75" i="5" l="1"/>
  <c r="CL75" i="5"/>
  <c r="CI75" i="5"/>
  <c r="CF75" i="5"/>
  <c r="CC75" i="5"/>
  <c r="BZ75" i="5"/>
  <c r="BW75" i="5"/>
  <c r="BT75" i="5"/>
  <c r="BQ75" i="5"/>
  <c r="BN75" i="5"/>
  <c r="BK75" i="5"/>
  <c r="BH75" i="5"/>
  <c r="BE75" i="5"/>
  <c r="BB75" i="5"/>
  <c r="AY75" i="5"/>
  <c r="AV75" i="5"/>
  <c r="AS75" i="5"/>
  <c r="AP75" i="5"/>
  <c r="AM75" i="5"/>
  <c r="AJ75" i="5"/>
  <c r="AG75" i="5"/>
  <c r="AD75" i="5"/>
  <c r="AA75" i="5"/>
  <c r="X75" i="5"/>
  <c r="U75" i="5"/>
  <c r="R75" i="5"/>
  <c r="O75" i="5"/>
  <c r="L75" i="5"/>
  <c r="I75" i="5"/>
  <c r="F75" i="5"/>
  <c r="I71" i="5" l="1"/>
  <c r="AA83" i="5"/>
  <c r="AE12" i="7" l="1"/>
  <c r="AE11" i="7"/>
  <c r="AE10" i="7"/>
  <c r="AE9" i="7"/>
  <c r="AE8" i="7"/>
  <c r="AD12" i="7"/>
  <c r="AD11" i="7"/>
  <c r="AD10" i="7"/>
  <c r="AD9" i="7"/>
  <c r="AD8" i="7"/>
  <c r="AC12" i="7"/>
  <c r="AC11" i="7"/>
  <c r="AC10" i="7"/>
  <c r="AC9" i="7"/>
  <c r="AC8" i="7"/>
  <c r="AB12" i="7"/>
  <c r="AB11" i="7"/>
  <c r="AB10" i="7"/>
  <c r="AB9" i="7"/>
  <c r="AB8" i="7"/>
  <c r="AA12" i="7"/>
  <c r="AA11" i="7"/>
  <c r="AA10" i="7"/>
  <c r="AA9" i="7"/>
  <c r="AA8" i="7"/>
  <c r="Z12" i="7"/>
  <c r="Z11" i="7"/>
  <c r="Z10" i="7"/>
  <c r="Z9" i="7"/>
  <c r="Z8" i="7"/>
  <c r="Y12" i="7"/>
  <c r="Y11" i="7"/>
  <c r="Y10" i="7"/>
  <c r="Y9" i="7"/>
  <c r="Y8" i="7"/>
  <c r="X12" i="7"/>
  <c r="X11" i="7"/>
  <c r="X10" i="7"/>
  <c r="X9" i="7"/>
  <c r="X8" i="7"/>
  <c r="W12" i="7"/>
  <c r="W11" i="7"/>
  <c r="W10" i="7"/>
  <c r="W9" i="7"/>
  <c r="W8" i="7"/>
  <c r="V12" i="7"/>
  <c r="V11" i="7"/>
  <c r="V10" i="7"/>
  <c r="V9" i="7"/>
  <c r="V8" i="7"/>
  <c r="U12" i="7"/>
  <c r="U11" i="7"/>
  <c r="U10" i="7"/>
  <c r="U9" i="7"/>
  <c r="U8" i="7"/>
  <c r="T12" i="7"/>
  <c r="T11" i="7"/>
  <c r="T10" i="7"/>
  <c r="T9" i="7"/>
  <c r="T8" i="7"/>
  <c r="S12" i="7"/>
  <c r="S11" i="7"/>
  <c r="S10" i="7"/>
  <c r="S9" i="7"/>
  <c r="S8" i="7"/>
  <c r="R12" i="7"/>
  <c r="R11" i="7"/>
  <c r="R10" i="7"/>
  <c r="R9" i="7"/>
  <c r="R8" i="7"/>
  <c r="Q12" i="7"/>
  <c r="Q11" i="7"/>
  <c r="Q10" i="7"/>
  <c r="Q9" i="7"/>
  <c r="Q8" i="7"/>
  <c r="P12" i="7"/>
  <c r="P11" i="7"/>
  <c r="P10" i="7"/>
  <c r="P9" i="7"/>
  <c r="P8" i="7"/>
  <c r="O12" i="7"/>
  <c r="O11" i="7"/>
  <c r="O10" i="7"/>
  <c r="O9" i="7"/>
  <c r="O8" i="7"/>
  <c r="N12" i="7"/>
  <c r="N11" i="7"/>
  <c r="N10" i="7"/>
  <c r="N9" i="7"/>
  <c r="N8" i="7"/>
  <c r="M12" i="7"/>
  <c r="M11" i="7"/>
  <c r="M10" i="7"/>
  <c r="M9" i="7"/>
  <c r="M8" i="7"/>
  <c r="L8" i="7"/>
  <c r="L12" i="7"/>
  <c r="L11" i="7"/>
  <c r="L10" i="7"/>
  <c r="L9" i="7"/>
  <c r="K12" i="7"/>
  <c r="K11" i="7"/>
  <c r="K10" i="7"/>
  <c r="K9" i="7"/>
  <c r="J12" i="7"/>
  <c r="J11" i="7"/>
  <c r="J10" i="7"/>
  <c r="J9" i="7"/>
  <c r="I12" i="7"/>
  <c r="I11" i="7"/>
  <c r="I10" i="7"/>
  <c r="I9" i="7"/>
  <c r="H12" i="7"/>
  <c r="H11" i="7"/>
  <c r="H10" i="7"/>
  <c r="H9" i="7"/>
  <c r="G12" i="7"/>
  <c r="H8" i="7"/>
  <c r="G11" i="7"/>
  <c r="G10" i="7"/>
  <c r="G9" i="7"/>
  <c r="F12" i="7"/>
  <c r="F11" i="7"/>
  <c r="F10" i="7"/>
  <c r="F9" i="7"/>
  <c r="E12" i="7"/>
  <c r="E11" i="7"/>
  <c r="E10" i="7"/>
  <c r="E9" i="7"/>
  <c r="D12" i="7"/>
  <c r="D11" i="7"/>
  <c r="E8" i="7"/>
  <c r="D10" i="7"/>
  <c r="D9" i="7"/>
  <c r="C12" i="7"/>
  <c r="C11" i="7"/>
  <c r="C10" i="7"/>
  <c r="C9" i="7"/>
  <c r="K8" i="7"/>
  <c r="J8" i="7"/>
  <c r="I8" i="7"/>
  <c r="G8" i="7"/>
  <c r="F8" i="7"/>
  <c r="D8" i="7"/>
  <c r="C8" i="7"/>
  <c r="CO47" i="5"/>
  <c r="CL47" i="5"/>
  <c r="CI47" i="5"/>
  <c r="CF47" i="5"/>
  <c r="CC47" i="5"/>
  <c r="BZ47" i="5"/>
  <c r="BW47" i="5"/>
  <c r="BT47" i="5"/>
  <c r="BQ47" i="5"/>
  <c r="BN47" i="5"/>
  <c r="BK47" i="5"/>
  <c r="BH47" i="5"/>
  <c r="BE47" i="5"/>
  <c r="BB47" i="5"/>
  <c r="AY47" i="5"/>
  <c r="AV47" i="5"/>
  <c r="AS47" i="5"/>
  <c r="AP47" i="5"/>
  <c r="AM47" i="5"/>
  <c r="AJ47" i="5"/>
  <c r="AG47" i="5"/>
  <c r="AD47" i="5"/>
  <c r="AA47" i="5"/>
  <c r="X47" i="5"/>
  <c r="U47" i="5"/>
  <c r="R47" i="5"/>
  <c r="O47" i="5"/>
  <c r="L47" i="5"/>
  <c r="I47" i="5"/>
  <c r="F47" i="5"/>
  <c r="F48" i="5" s="1"/>
  <c r="K5" i="1" l="1"/>
  <c r="J5" i="1"/>
  <c r="I5" i="1"/>
  <c r="H5" i="1"/>
  <c r="G5" i="1"/>
  <c r="D28" i="5" l="1"/>
  <c r="D27" i="5"/>
  <c r="D26" i="5"/>
  <c r="D25" i="5"/>
  <c r="D24" i="5"/>
  <c r="CO48" i="5" l="1"/>
  <c r="CL48" i="5"/>
  <c r="CI48" i="5"/>
  <c r="CF48" i="5"/>
  <c r="CC48" i="5"/>
  <c r="BZ48" i="5"/>
  <c r="BW48" i="5"/>
  <c r="BT48" i="5"/>
  <c r="BQ48" i="5"/>
  <c r="BN48" i="5"/>
  <c r="BK48" i="5"/>
  <c r="BH48" i="5"/>
  <c r="BE48" i="5"/>
  <c r="BB48" i="5"/>
  <c r="AY48" i="5"/>
  <c r="AV48" i="5"/>
  <c r="AS48" i="5"/>
  <c r="AP48" i="5"/>
  <c r="AM48" i="5"/>
  <c r="AJ48" i="5"/>
  <c r="AG48" i="5"/>
  <c r="AD48" i="5"/>
  <c r="AA48" i="5"/>
  <c r="X48" i="5"/>
  <c r="U48" i="5"/>
  <c r="R48" i="5"/>
  <c r="O48" i="5"/>
  <c r="L48" i="5"/>
  <c r="I48" i="5"/>
  <c r="CO71" i="5" l="1"/>
  <c r="CL71" i="5"/>
  <c r="CI71" i="5"/>
  <c r="CF71" i="5"/>
  <c r="CC71" i="5"/>
  <c r="BZ71" i="5"/>
  <c r="BW71" i="5"/>
  <c r="BT71" i="5"/>
  <c r="BQ71" i="5"/>
  <c r="BN71" i="5"/>
  <c r="BK71" i="5"/>
  <c r="BH71" i="5"/>
  <c r="BE71" i="5"/>
  <c r="BB71" i="5"/>
  <c r="AY71" i="5"/>
  <c r="AV71" i="5"/>
  <c r="AS71" i="5"/>
  <c r="AP71" i="5"/>
  <c r="AM71" i="5"/>
  <c r="AJ71" i="5"/>
  <c r="AG71" i="5"/>
  <c r="AD71" i="5"/>
  <c r="AA71" i="5"/>
  <c r="X71" i="5"/>
  <c r="U71" i="5"/>
  <c r="R71" i="5"/>
  <c r="O71" i="5"/>
  <c r="L71" i="5"/>
  <c r="CO64" i="5"/>
  <c r="CL64" i="5"/>
  <c r="CI64" i="5"/>
  <c r="CF64" i="5"/>
  <c r="CC64" i="5"/>
  <c r="BZ64" i="5"/>
  <c r="BW64" i="5"/>
  <c r="BT64" i="5"/>
  <c r="BQ64" i="5"/>
  <c r="BN64" i="5"/>
  <c r="BK64" i="5"/>
  <c r="BH64" i="5"/>
  <c r="BE64" i="5"/>
  <c r="BB64" i="5"/>
  <c r="AY64" i="5"/>
  <c r="AV64" i="5"/>
  <c r="AS64" i="5"/>
  <c r="AP64" i="5"/>
  <c r="AM64" i="5"/>
  <c r="AJ64" i="5"/>
  <c r="AG64" i="5"/>
  <c r="AD64" i="5"/>
  <c r="AA64" i="5"/>
  <c r="X64" i="5"/>
  <c r="U64" i="5"/>
  <c r="R64" i="5"/>
  <c r="O64" i="5"/>
  <c r="L64" i="5"/>
  <c r="I64" i="5"/>
  <c r="CO58" i="5"/>
  <c r="CL58" i="5"/>
  <c r="CI58" i="5"/>
  <c r="CF58" i="5"/>
  <c r="CC58" i="5"/>
  <c r="BZ58" i="5"/>
  <c r="BW58" i="5"/>
  <c r="BT58" i="5"/>
  <c r="BQ58" i="5"/>
  <c r="BN58" i="5"/>
  <c r="BK58" i="5"/>
  <c r="BH58" i="5"/>
  <c r="BE58" i="5"/>
  <c r="BB58" i="5"/>
  <c r="AY58" i="5"/>
  <c r="AV58" i="5"/>
  <c r="AS58" i="5"/>
  <c r="AP58" i="5"/>
  <c r="AM58" i="5"/>
  <c r="AJ58" i="5"/>
  <c r="AG58" i="5"/>
  <c r="AD58" i="5"/>
  <c r="AA58" i="5"/>
  <c r="X58" i="5"/>
  <c r="U58" i="5"/>
  <c r="R58" i="5"/>
  <c r="O58" i="5"/>
  <c r="L58" i="5"/>
  <c r="I58" i="5"/>
  <c r="F71" i="5"/>
  <c r="F64" i="5"/>
  <c r="F58" i="5"/>
  <c r="K36" i="9" l="1"/>
  <c r="K35" i="9"/>
  <c r="K34" i="9"/>
  <c r="K33" i="9"/>
  <c r="K32" i="9"/>
  <c r="K31" i="9"/>
  <c r="K30" i="9"/>
  <c r="K29" i="9"/>
  <c r="K28" i="9"/>
  <c r="K27" i="9"/>
  <c r="K26" i="9"/>
  <c r="K25" i="9"/>
  <c r="K24" i="9"/>
  <c r="K23" i="9"/>
  <c r="K22" i="9"/>
  <c r="K21" i="9"/>
  <c r="K20" i="9"/>
  <c r="K19" i="9"/>
  <c r="K18" i="9"/>
  <c r="K17" i="9"/>
  <c r="K16" i="9"/>
  <c r="K15" i="9"/>
  <c r="K14" i="9"/>
  <c r="K13" i="9"/>
  <c r="K12" i="9"/>
  <c r="K11" i="9"/>
  <c r="K10" i="9"/>
  <c r="K9" i="9" l="1"/>
  <c r="K8" i="9"/>
  <c r="K7" i="9"/>
  <c r="B12" i="7" l="1"/>
  <c r="B11" i="7"/>
  <c r="B10" i="7"/>
  <c r="B9" i="7"/>
  <c r="B8" i="7"/>
  <c r="CO88" i="5" l="1"/>
  <c r="CL88" i="5"/>
  <c r="CI88" i="5"/>
  <c r="CF88" i="5"/>
  <c r="CC88" i="5"/>
  <c r="BZ88" i="5"/>
  <c r="BW88" i="5"/>
  <c r="BT88" i="5"/>
  <c r="BQ88" i="5"/>
  <c r="BN88" i="5"/>
  <c r="BK88" i="5"/>
  <c r="BH88" i="5"/>
  <c r="BE88" i="5"/>
  <c r="BB88" i="5"/>
  <c r="AY88" i="5"/>
  <c r="AV88" i="5"/>
  <c r="AS88" i="5"/>
  <c r="AP88" i="5"/>
  <c r="AM88" i="5"/>
  <c r="AJ88" i="5"/>
  <c r="AG88" i="5"/>
  <c r="AD88" i="5"/>
  <c r="AA88" i="5"/>
  <c r="X88" i="5"/>
  <c r="U88" i="5"/>
  <c r="R88" i="5"/>
  <c r="O88" i="5"/>
  <c r="L88" i="5"/>
  <c r="I88" i="5"/>
  <c r="CO83" i="5"/>
  <c r="CL83" i="5"/>
  <c r="CI83" i="5"/>
  <c r="CF83" i="5"/>
  <c r="CC83" i="5"/>
  <c r="BZ83" i="5"/>
  <c r="BW83" i="5"/>
  <c r="BT83" i="5"/>
  <c r="BQ83" i="5"/>
  <c r="BN83" i="5"/>
  <c r="BK83" i="5"/>
  <c r="BH83" i="5"/>
  <c r="BE83" i="5"/>
  <c r="BB83" i="5"/>
  <c r="AY83" i="5"/>
  <c r="AV83" i="5"/>
  <c r="AS83" i="5"/>
  <c r="AP83" i="5"/>
  <c r="AM83" i="5"/>
  <c r="AJ83" i="5"/>
  <c r="AG83" i="5"/>
  <c r="AD83" i="5"/>
  <c r="X83" i="5"/>
  <c r="U83" i="5"/>
  <c r="R83" i="5"/>
  <c r="O83" i="5"/>
  <c r="L83" i="5"/>
  <c r="I83" i="5"/>
  <c r="CO78" i="5"/>
  <c r="CL78" i="5"/>
  <c r="CI78" i="5"/>
  <c r="CF78" i="5"/>
  <c r="CC78" i="5"/>
  <c r="BZ78" i="5"/>
  <c r="BW78" i="5"/>
  <c r="BT78" i="5"/>
  <c r="BQ78" i="5"/>
  <c r="BN78" i="5"/>
  <c r="BK78" i="5"/>
  <c r="BH78" i="5"/>
  <c r="BE78" i="5"/>
  <c r="BB78" i="5"/>
  <c r="AY78" i="5"/>
  <c r="AV78" i="5"/>
  <c r="AS78" i="5"/>
  <c r="AP78" i="5"/>
  <c r="AM78" i="5"/>
  <c r="AJ78" i="5"/>
  <c r="AG78" i="5"/>
  <c r="AD78" i="5"/>
  <c r="AA78" i="5"/>
  <c r="X78" i="5"/>
  <c r="U78" i="5"/>
  <c r="R78" i="5"/>
  <c r="O78" i="5"/>
  <c r="L78" i="5"/>
  <c r="I78" i="5"/>
  <c r="CO52" i="5"/>
  <c r="CL52" i="5"/>
  <c r="CI52" i="5"/>
  <c r="CF52" i="5"/>
  <c r="CC52" i="5"/>
  <c r="BZ52" i="5"/>
  <c r="BW52" i="5"/>
  <c r="BT52" i="5"/>
  <c r="BQ52" i="5"/>
  <c r="BN52" i="5"/>
  <c r="BK52" i="5"/>
  <c r="BH52" i="5"/>
  <c r="BE52" i="5"/>
  <c r="BB52" i="5"/>
  <c r="AY52" i="5"/>
  <c r="AV52" i="5"/>
  <c r="AS52" i="5"/>
  <c r="AP52" i="5"/>
  <c r="AM52" i="5"/>
  <c r="AJ52" i="5"/>
  <c r="AG52" i="5"/>
  <c r="AD52" i="5"/>
  <c r="AA52" i="5"/>
  <c r="X52" i="5"/>
  <c r="U52" i="5"/>
  <c r="R52" i="5"/>
  <c r="O52" i="5"/>
  <c r="L52" i="5"/>
  <c r="I52" i="5"/>
  <c r="CO49" i="5"/>
  <c r="CL49" i="5"/>
  <c r="CI49" i="5"/>
  <c r="CF49" i="5"/>
  <c r="CC49" i="5"/>
  <c r="BZ49" i="5"/>
  <c r="BW49" i="5"/>
  <c r="BT49" i="5"/>
  <c r="BQ49" i="5"/>
  <c r="BN49" i="5"/>
  <c r="BK49" i="5"/>
  <c r="BH49" i="5"/>
  <c r="BE49" i="5"/>
  <c r="BB49" i="5"/>
  <c r="AY49" i="5"/>
  <c r="AV49" i="5"/>
  <c r="AS49" i="5"/>
  <c r="AP49" i="5"/>
  <c r="AM49" i="5"/>
  <c r="AJ49" i="5"/>
  <c r="AG49" i="5"/>
  <c r="AD49" i="5"/>
  <c r="AA49" i="5"/>
  <c r="X49" i="5"/>
  <c r="U49" i="5"/>
  <c r="R49" i="5"/>
  <c r="O49" i="5"/>
  <c r="L49" i="5"/>
  <c r="I49" i="5"/>
  <c r="CO44" i="5" l="1"/>
  <c r="CL44" i="5"/>
  <c r="CI44" i="5"/>
  <c r="CF44" i="5"/>
  <c r="CC44" i="5"/>
  <c r="BZ44" i="5"/>
  <c r="BW44" i="5"/>
  <c r="BT44" i="5"/>
  <c r="BQ44" i="5"/>
  <c r="BN44" i="5"/>
  <c r="BK44" i="5"/>
  <c r="BH44" i="5"/>
  <c r="BE44" i="5"/>
  <c r="BB44" i="5"/>
  <c r="AY44" i="5"/>
  <c r="AV44" i="5"/>
  <c r="AS44" i="5"/>
  <c r="AP44" i="5"/>
  <c r="AM44" i="5"/>
  <c r="AJ44" i="5"/>
  <c r="AG44" i="5"/>
  <c r="AD44" i="5"/>
  <c r="AA44" i="5"/>
  <c r="X44" i="5"/>
  <c r="U44" i="5"/>
  <c r="R44" i="5"/>
  <c r="O44" i="5"/>
  <c r="L44" i="5"/>
  <c r="I44" i="5"/>
  <c r="CO37" i="5"/>
  <c r="CL37" i="5"/>
  <c r="CI37" i="5"/>
  <c r="CF37" i="5"/>
  <c r="CC37" i="5"/>
  <c r="BZ37" i="5"/>
  <c r="BW37" i="5"/>
  <c r="BT37" i="5"/>
  <c r="BQ37" i="5"/>
  <c r="BN37" i="5"/>
  <c r="BK37" i="5"/>
  <c r="BH37" i="5"/>
  <c r="BE37" i="5"/>
  <c r="BB37" i="5"/>
  <c r="AY37" i="5"/>
  <c r="AV37" i="5"/>
  <c r="AS37" i="5"/>
  <c r="AP37" i="5"/>
  <c r="AM37" i="5"/>
  <c r="AJ37" i="5"/>
  <c r="AG37" i="5"/>
  <c r="AD37" i="5"/>
  <c r="AA37" i="5"/>
  <c r="X37" i="5"/>
  <c r="U37" i="5"/>
  <c r="R37" i="5"/>
  <c r="O37" i="5"/>
  <c r="L37" i="5"/>
  <c r="I37" i="5"/>
  <c r="CO29" i="5"/>
  <c r="CL29" i="5"/>
  <c r="CI29" i="5"/>
  <c r="CF29" i="5"/>
  <c r="CC29" i="5"/>
  <c r="BZ29" i="5"/>
  <c r="BW29" i="5"/>
  <c r="BT29" i="5"/>
  <c r="BQ29" i="5"/>
  <c r="BN29" i="5"/>
  <c r="BK29" i="5"/>
  <c r="BH29" i="5"/>
  <c r="BE29" i="5"/>
  <c r="BB29" i="5"/>
  <c r="AY29" i="5"/>
  <c r="AV29" i="5"/>
  <c r="AS29" i="5"/>
  <c r="AP29" i="5"/>
  <c r="AM29" i="5"/>
  <c r="AJ29" i="5"/>
  <c r="AG29" i="5"/>
  <c r="AD29" i="5"/>
  <c r="AA29" i="5"/>
  <c r="X29" i="5"/>
  <c r="U29" i="5"/>
  <c r="R29" i="5"/>
  <c r="O29" i="5"/>
  <c r="L29" i="5"/>
  <c r="I29" i="5"/>
  <c r="CO15" i="5"/>
  <c r="CO13" i="5"/>
  <c r="CL15" i="5"/>
  <c r="CL13" i="5"/>
  <c r="CI15" i="5"/>
  <c r="CI13" i="5"/>
  <c r="CF15" i="5"/>
  <c r="CF13" i="5"/>
  <c r="CC15" i="5"/>
  <c r="CC13" i="5"/>
  <c r="BZ15" i="5"/>
  <c r="BZ13" i="5"/>
  <c r="BW15" i="5"/>
  <c r="BW13" i="5"/>
  <c r="BT15" i="5"/>
  <c r="BT13" i="5"/>
  <c r="BQ15" i="5"/>
  <c r="BQ13" i="5"/>
  <c r="BN15" i="5"/>
  <c r="BN13" i="5"/>
  <c r="BK15" i="5"/>
  <c r="BK13" i="5"/>
  <c r="BH15" i="5"/>
  <c r="BH13" i="5"/>
  <c r="BE15" i="5"/>
  <c r="BE13" i="5"/>
  <c r="BB15" i="5"/>
  <c r="BB13" i="5"/>
  <c r="AY15" i="5"/>
  <c r="AY13" i="5"/>
  <c r="AV15" i="5"/>
  <c r="AV13" i="5"/>
  <c r="AS15" i="5"/>
  <c r="AS13" i="5"/>
  <c r="AP15" i="5"/>
  <c r="AP13" i="5"/>
  <c r="AM15" i="5"/>
  <c r="AM13" i="5"/>
  <c r="AJ15" i="5"/>
  <c r="AJ13" i="5"/>
  <c r="AG15" i="5"/>
  <c r="AG13" i="5"/>
  <c r="AD15" i="5"/>
  <c r="AD13" i="5"/>
  <c r="AA15" i="5"/>
  <c r="AA13" i="5"/>
  <c r="X15" i="5"/>
  <c r="X13" i="5"/>
  <c r="U15" i="5"/>
  <c r="U13" i="5"/>
  <c r="R15" i="5"/>
  <c r="R13" i="5"/>
  <c r="O15" i="5"/>
  <c r="O13" i="5"/>
  <c r="L15" i="5"/>
  <c r="L13" i="5"/>
  <c r="I15" i="5"/>
  <c r="I13" i="5"/>
  <c r="F88" i="5" l="1"/>
  <c r="F83" i="5"/>
  <c r="F78" i="5"/>
  <c r="F52" i="5"/>
  <c r="F49" i="5"/>
  <c r="F44" i="5"/>
  <c r="F29" i="5"/>
  <c r="F37" i="5"/>
  <c r="F15" i="5"/>
  <c r="F13" i="5"/>
  <c r="I57" i="5" l="1"/>
  <c r="I91" i="5" s="1"/>
  <c r="O57" i="5"/>
  <c r="O91" i="5" s="1"/>
  <c r="R57" i="5"/>
  <c r="R91" i="5" s="1"/>
  <c r="X57" i="5"/>
  <c r="X91" i="5" s="1"/>
  <c r="AA57" i="5"/>
  <c r="AA91" i="5" s="1"/>
  <c r="AG57" i="5"/>
  <c r="AG91" i="5" s="1"/>
  <c r="AJ57" i="5"/>
  <c r="AJ91" i="5" s="1"/>
  <c r="AP57" i="5"/>
  <c r="AP91" i="5" s="1"/>
  <c r="AS57" i="5"/>
  <c r="AS91" i="5" s="1"/>
  <c r="AY57" i="5"/>
  <c r="AY91" i="5" s="1"/>
  <c r="BB57" i="5"/>
  <c r="BB91" i="5" s="1"/>
  <c r="BH57" i="5"/>
  <c r="BH91" i="5" s="1"/>
  <c r="BK57" i="5"/>
  <c r="BK91" i="5" s="1"/>
  <c r="BQ57" i="5"/>
  <c r="BQ91" i="5" s="1"/>
  <c r="BT57" i="5"/>
  <c r="BT91" i="5" s="1"/>
  <c r="BZ57" i="5"/>
  <c r="BZ91" i="5" s="1"/>
  <c r="CC57" i="5"/>
  <c r="CC91" i="5" s="1"/>
  <c r="CI57" i="5"/>
  <c r="CI91" i="5" s="1"/>
  <c r="CL57" i="5"/>
  <c r="CL91" i="5" s="1"/>
  <c r="CL90" i="5" l="1"/>
  <c r="J35" i="9"/>
  <c r="CI90" i="5"/>
  <c r="J34" i="9"/>
  <c r="CC90" i="5"/>
  <c r="J32" i="9"/>
  <c r="BZ90" i="5"/>
  <c r="J31" i="9"/>
  <c r="BT90" i="5"/>
  <c r="J29" i="9"/>
  <c r="BK90" i="5"/>
  <c r="J26" i="9"/>
  <c r="BH90" i="5"/>
  <c r="J25" i="9"/>
  <c r="BB90" i="5"/>
  <c r="J23" i="9"/>
  <c r="AY90" i="5"/>
  <c r="J22" i="9"/>
  <c r="AS90" i="5"/>
  <c r="J20" i="9"/>
  <c r="AP90" i="5"/>
  <c r="J19" i="9"/>
  <c r="AJ90" i="5"/>
  <c r="J17" i="9"/>
  <c r="AG90" i="5"/>
  <c r="J16" i="9"/>
  <c r="AA90" i="5"/>
  <c r="J14" i="9"/>
  <c r="R90" i="5"/>
  <c r="J11" i="9"/>
  <c r="X90" i="5"/>
  <c r="J13" i="9"/>
  <c r="BQ90" i="5"/>
  <c r="J28" i="9"/>
  <c r="O90" i="5"/>
  <c r="J10" i="9"/>
  <c r="I90" i="5"/>
  <c r="J8" i="9"/>
  <c r="BW57" i="5"/>
  <c r="BW91" i="5" s="1"/>
  <c r="AM57" i="5"/>
  <c r="AM91" i="5" s="1"/>
  <c r="BN57" i="5"/>
  <c r="BN91" i="5" s="1"/>
  <c r="AD57" i="5"/>
  <c r="AD91" i="5" s="1"/>
  <c r="CO57" i="5"/>
  <c r="CO91" i="5" s="1"/>
  <c r="BE57" i="5"/>
  <c r="BE91" i="5" s="1"/>
  <c r="U57" i="5"/>
  <c r="U91" i="5" s="1"/>
  <c r="CF57" i="5"/>
  <c r="CF91" i="5" s="1"/>
  <c r="AV57" i="5"/>
  <c r="AV91" i="5" s="1"/>
  <c r="L57" i="5"/>
  <c r="L91" i="5" s="1"/>
  <c r="F57" i="5"/>
  <c r="J7" i="9" l="1"/>
  <c r="F91" i="5"/>
  <c r="F90" i="5" s="1"/>
  <c r="CO90" i="5"/>
  <c r="J36" i="9"/>
  <c r="CF90" i="5"/>
  <c r="J33" i="9"/>
  <c r="BW90" i="5"/>
  <c r="J30" i="9"/>
  <c r="BE90" i="5"/>
  <c r="J24" i="9"/>
  <c r="AV90" i="5"/>
  <c r="J21" i="9"/>
  <c r="AM90" i="5"/>
  <c r="J18" i="9"/>
  <c r="AD90" i="5"/>
  <c r="J15" i="9"/>
  <c r="U90" i="5"/>
  <c r="J12" i="9"/>
  <c r="BN90" i="5"/>
  <c r="J27" i="9"/>
  <c r="L90" i="5"/>
  <c r="J9" i="9"/>
  <c r="CO12" i="5" l="1"/>
  <c r="CO11" i="5"/>
  <c r="CO10" i="5"/>
  <c r="CO9" i="5"/>
  <c r="CO8" i="5"/>
  <c r="CO95" i="5" s="1"/>
  <c r="CL12" i="5"/>
  <c r="CL11" i="5"/>
  <c r="CL10" i="5"/>
  <c r="CL9" i="5"/>
  <c r="CL8" i="5"/>
  <c r="CL95" i="5" s="1"/>
  <c r="CI12" i="5"/>
  <c r="CI11" i="5"/>
  <c r="CI10" i="5"/>
  <c r="CI9" i="5"/>
  <c r="CI8" i="5"/>
  <c r="CI95" i="5" s="1"/>
  <c r="CF10" i="5"/>
  <c r="CF12" i="5"/>
  <c r="CF11" i="5"/>
  <c r="CF9" i="5"/>
  <c r="CF8" i="5"/>
  <c r="CF95" i="5" s="1"/>
  <c r="CC12" i="5"/>
  <c r="CC11" i="5"/>
  <c r="CC10" i="5"/>
  <c r="CC9" i="5"/>
  <c r="CC8" i="5"/>
  <c r="CC95" i="5" s="1"/>
  <c r="BZ12" i="5"/>
  <c r="BZ11" i="5"/>
  <c r="BZ10" i="5"/>
  <c r="BZ9" i="5"/>
  <c r="BZ8" i="5"/>
  <c r="BZ95" i="5" s="1"/>
  <c r="BW12" i="5"/>
  <c r="BW11" i="5"/>
  <c r="BW10" i="5"/>
  <c r="BW9" i="5"/>
  <c r="BW8" i="5"/>
  <c r="BW95" i="5" s="1"/>
  <c r="BT12" i="5"/>
  <c r="BT11" i="5"/>
  <c r="BT10" i="5"/>
  <c r="BT9" i="5"/>
  <c r="BT8" i="5"/>
  <c r="BT95" i="5" s="1"/>
  <c r="BQ12" i="5"/>
  <c r="BQ11" i="5"/>
  <c r="BQ10" i="5"/>
  <c r="BQ9" i="5"/>
  <c r="BQ8" i="5"/>
  <c r="BQ95" i="5" s="1"/>
  <c r="BN12" i="5"/>
  <c r="BN11" i="5"/>
  <c r="BN10" i="5"/>
  <c r="BN9" i="5"/>
  <c r="BN8" i="5"/>
  <c r="BN95" i="5" s="1"/>
  <c r="BK12" i="5"/>
  <c r="BK11" i="5"/>
  <c r="BK10" i="5"/>
  <c r="BK9" i="5"/>
  <c r="BK8" i="5"/>
  <c r="BK95" i="5" s="1"/>
  <c r="BH12" i="5"/>
  <c r="BH11" i="5"/>
  <c r="BH10" i="5"/>
  <c r="BH9" i="5"/>
  <c r="BH8" i="5"/>
  <c r="BH95" i="5" s="1"/>
  <c r="BE12" i="5"/>
  <c r="BE11" i="5"/>
  <c r="BE10" i="5"/>
  <c r="BE9" i="5"/>
  <c r="BE8" i="5"/>
  <c r="BE95" i="5" s="1"/>
  <c r="BB12" i="5"/>
  <c r="BB11" i="5"/>
  <c r="BB10" i="5"/>
  <c r="BB9" i="5"/>
  <c r="BB8" i="5"/>
  <c r="BB95" i="5" s="1"/>
  <c r="AY12" i="5"/>
  <c r="AY11" i="5"/>
  <c r="AY10" i="5"/>
  <c r="AY9" i="5"/>
  <c r="AY8" i="5"/>
  <c r="AY95" i="5" s="1"/>
  <c r="AV12" i="5"/>
  <c r="AV11" i="5"/>
  <c r="AV10" i="5"/>
  <c r="AV9" i="5"/>
  <c r="AV8" i="5"/>
  <c r="AV95" i="5" s="1"/>
  <c r="AS11" i="5"/>
  <c r="AS10" i="5"/>
  <c r="AS9" i="5"/>
  <c r="AS8" i="5"/>
  <c r="AS95" i="5" s="1"/>
  <c r="AS12" i="5"/>
  <c r="AP12" i="5"/>
  <c r="AP11" i="5"/>
  <c r="AP10" i="5"/>
  <c r="AP9" i="5"/>
  <c r="AP8" i="5"/>
  <c r="AP95" i="5" s="1"/>
  <c r="AM12" i="5"/>
  <c r="AM11" i="5"/>
  <c r="AM10" i="5"/>
  <c r="AM9" i="5"/>
  <c r="AM8" i="5"/>
  <c r="AM95" i="5" s="1"/>
  <c r="AJ12" i="5"/>
  <c r="AJ11" i="5"/>
  <c r="AJ10" i="5"/>
  <c r="AJ9" i="5"/>
  <c r="AJ8" i="5"/>
  <c r="AG12" i="5"/>
  <c r="AG11" i="5"/>
  <c r="AG10" i="5"/>
  <c r="AG9" i="5"/>
  <c r="AG8" i="5"/>
  <c r="AD12" i="5"/>
  <c r="AD11" i="5"/>
  <c r="AD10" i="5"/>
  <c r="AD9" i="5"/>
  <c r="AD8" i="5"/>
  <c r="AA12" i="5"/>
  <c r="AA11" i="5"/>
  <c r="AA10" i="5"/>
  <c r="AA9" i="5"/>
  <c r="AA8" i="5"/>
  <c r="X12" i="5"/>
  <c r="X11" i="5"/>
  <c r="X10" i="5"/>
  <c r="X9" i="5"/>
  <c r="X8" i="5"/>
  <c r="U12" i="5"/>
  <c r="U11" i="5"/>
  <c r="U10" i="5"/>
  <c r="U9" i="5"/>
  <c r="U8" i="5"/>
  <c r="R12" i="5"/>
  <c r="R11" i="5"/>
  <c r="R10" i="5"/>
  <c r="R9" i="5"/>
  <c r="R8" i="5"/>
  <c r="O12" i="5"/>
  <c r="O11" i="5"/>
  <c r="O10" i="5"/>
  <c r="O9" i="5"/>
  <c r="O8" i="5"/>
  <c r="L12" i="5"/>
  <c r="L11" i="5"/>
  <c r="L10" i="5"/>
  <c r="L9" i="5"/>
  <c r="L8" i="5"/>
  <c r="I12" i="5"/>
  <c r="I11" i="5"/>
  <c r="I10" i="5"/>
  <c r="I9" i="5"/>
  <c r="I8" i="5"/>
  <c r="F9" i="5"/>
  <c r="F10" i="5"/>
  <c r="F11" i="5"/>
  <c r="F12" i="5"/>
  <c r="F8" i="5"/>
  <c r="X95" i="5" l="1"/>
  <c r="AA95" i="5"/>
  <c r="AJ95" i="5"/>
  <c r="AG95" i="5"/>
  <c r="AD95" i="5"/>
  <c r="U95" i="5"/>
  <c r="R95" i="5"/>
  <c r="O95" i="5"/>
  <c r="L95" i="5"/>
  <c r="I95" i="5"/>
  <c r="F95" i="5"/>
  <c r="C36" i="9"/>
  <c r="C35" i="9"/>
  <c r="C34" i="9"/>
  <c r="C33" i="9"/>
  <c r="C32" i="9"/>
  <c r="C31" i="9"/>
  <c r="C30" i="9"/>
  <c r="C29" i="9"/>
  <c r="C28" i="9"/>
  <c r="C27" i="9"/>
  <c r="C26" i="9"/>
  <c r="C25" i="9"/>
  <c r="C24" i="9"/>
  <c r="C23" i="9"/>
  <c r="C22" i="9"/>
  <c r="C21" i="9"/>
  <c r="C20" i="9"/>
  <c r="C19" i="9"/>
  <c r="C18" i="9"/>
  <c r="C17" i="9"/>
  <c r="I17" i="9" s="1"/>
  <c r="C16" i="9"/>
  <c r="I16" i="9" s="1"/>
  <c r="C15" i="9"/>
  <c r="I15" i="9" s="1"/>
  <c r="C14" i="9"/>
  <c r="I14" i="9" s="1"/>
  <c r="C13" i="9"/>
  <c r="I13" i="9" s="1"/>
  <c r="C12" i="9"/>
  <c r="I12" i="9" s="1"/>
  <c r="C11" i="9"/>
  <c r="I11" i="9" s="1"/>
  <c r="C10" i="9"/>
  <c r="I10" i="9" s="1"/>
  <c r="C9" i="9"/>
  <c r="I9" i="9" s="1"/>
  <c r="C8" i="9"/>
  <c r="I8" i="9" s="1"/>
  <c r="C7" i="9"/>
  <c r="I7" i="9" s="1"/>
  <c r="X6" i="5" l="1"/>
  <c r="A12" i="8" s="1"/>
  <c r="H6" i="7"/>
  <c r="AV6" i="5"/>
  <c r="P6" i="7"/>
  <c r="BE6" i="5"/>
  <c r="S6" i="7"/>
  <c r="AY6" i="5"/>
  <c r="Q6" i="7"/>
  <c r="CF6" i="5"/>
  <c r="AB6" i="7"/>
  <c r="BW6" i="5"/>
  <c r="Y6" i="7"/>
  <c r="AD6" i="5"/>
  <c r="J6" i="7"/>
  <c r="AG6" i="5"/>
  <c r="K6" i="7"/>
  <c r="AJ6" i="5"/>
  <c r="L6" i="7"/>
  <c r="AM6" i="5"/>
  <c r="M6" i="7"/>
  <c r="BK6" i="5"/>
  <c r="U6" i="7"/>
  <c r="CI6" i="5"/>
  <c r="AC6" i="7"/>
  <c r="BT6" i="5"/>
  <c r="X6" i="7"/>
  <c r="I6" i="5"/>
  <c r="A7" i="8" s="1"/>
  <c r="C6" i="7"/>
  <c r="O6" i="5"/>
  <c r="E6" i="7"/>
  <c r="AP6" i="5"/>
  <c r="N6" i="7"/>
  <c r="CL6" i="5"/>
  <c r="AD6" i="7"/>
  <c r="AA6" i="5"/>
  <c r="A13" i="8" s="1"/>
  <c r="I6" i="7"/>
  <c r="BB6" i="5"/>
  <c r="R6" i="7"/>
  <c r="CC6" i="5"/>
  <c r="AA6" i="7"/>
  <c r="BH6" i="5"/>
  <c r="T6" i="7"/>
  <c r="R6" i="5"/>
  <c r="A10" i="8" s="1"/>
  <c r="F6" i="7"/>
  <c r="BN6" i="5"/>
  <c r="V6" i="7"/>
  <c r="AS6" i="5"/>
  <c r="O6" i="7"/>
  <c r="BQ6" i="5"/>
  <c r="W6" i="7"/>
  <c r="CO6" i="5"/>
  <c r="AE6" i="7"/>
  <c r="L6" i="5"/>
  <c r="D6" i="7"/>
  <c r="BZ6" i="5"/>
  <c r="Z6" i="7"/>
  <c r="U6" i="5"/>
  <c r="A11" i="8" s="1"/>
  <c r="G6" i="7"/>
  <c r="B6" i="7"/>
  <c r="I7" i="8" l="1"/>
  <c r="G7" i="8"/>
  <c r="F7" i="8"/>
  <c r="D7" i="8"/>
  <c r="E7" i="8"/>
  <c r="C7" i="8"/>
  <c r="H7" i="8"/>
  <c r="A8" i="8"/>
  <c r="A64" i="10"/>
  <c r="A35" i="8"/>
  <c r="A35" i="1"/>
  <c r="A62" i="10"/>
  <c r="A34" i="8"/>
  <c r="C34" i="8" s="1"/>
  <c r="A34" i="1"/>
  <c r="A60" i="10"/>
  <c r="A33" i="8"/>
  <c r="A33" i="1"/>
  <c r="A58" i="10"/>
  <c r="A32" i="8"/>
  <c r="I32" i="8" s="1"/>
  <c r="A32" i="1"/>
  <c r="A56" i="10"/>
  <c r="A31" i="8"/>
  <c r="A31" i="1"/>
  <c r="A54" i="10"/>
  <c r="A30" i="8"/>
  <c r="A30" i="1"/>
  <c r="A52" i="10"/>
  <c r="A29" i="8"/>
  <c r="A29" i="1"/>
  <c r="A50" i="10"/>
  <c r="A28" i="8"/>
  <c r="A28" i="1"/>
  <c r="A48" i="10"/>
  <c r="A27" i="8"/>
  <c r="I27" i="8" s="1"/>
  <c r="A27" i="1"/>
  <c r="A46" i="10"/>
  <c r="A26" i="8"/>
  <c r="E26" i="8" s="1"/>
  <c r="A26" i="1"/>
  <c r="A44" i="10"/>
  <c r="A25" i="8"/>
  <c r="A25" i="1"/>
  <c r="A42" i="10"/>
  <c r="A24" i="8"/>
  <c r="D24" i="8" s="1"/>
  <c r="A24" i="1"/>
  <c r="A40" i="10"/>
  <c r="A23" i="8"/>
  <c r="A23" i="1"/>
  <c r="A38" i="10"/>
  <c r="A22" i="8"/>
  <c r="A22" i="1"/>
  <c r="A36" i="10"/>
  <c r="A21" i="8"/>
  <c r="A21" i="1"/>
  <c r="A34" i="10"/>
  <c r="A20" i="8"/>
  <c r="A20" i="1"/>
  <c r="A32" i="10"/>
  <c r="A19" i="8"/>
  <c r="I19" i="8" s="1"/>
  <c r="A19" i="1"/>
  <c r="A30" i="10"/>
  <c r="A18" i="8"/>
  <c r="C18" i="8" s="1"/>
  <c r="A18" i="1"/>
  <c r="A28" i="10"/>
  <c r="A17" i="8"/>
  <c r="A17" i="1"/>
  <c r="A26" i="10"/>
  <c r="A16" i="8"/>
  <c r="D16" i="8" s="1"/>
  <c r="A16" i="1"/>
  <c r="A24" i="10"/>
  <c r="A15" i="8"/>
  <c r="D15" i="8" s="1"/>
  <c r="A15" i="1"/>
  <c r="A22" i="10"/>
  <c r="A14" i="8"/>
  <c r="A14" i="1"/>
  <c r="D34" i="8"/>
  <c r="F26" i="8"/>
  <c r="D13" i="8"/>
  <c r="D12" i="8"/>
  <c r="C11" i="8"/>
  <c r="G30" i="8"/>
  <c r="I22" i="8"/>
  <c r="C14" i="8"/>
  <c r="C13" i="8"/>
  <c r="C12" i="8"/>
  <c r="I10" i="8"/>
  <c r="G31" i="8"/>
  <c r="F30" i="8"/>
  <c r="D26" i="8"/>
  <c r="H22" i="8"/>
  <c r="F18" i="8"/>
  <c r="I11" i="8"/>
  <c r="H10" i="8"/>
  <c r="I34" i="8"/>
  <c r="E30" i="8"/>
  <c r="C26" i="8"/>
  <c r="G22" i="8"/>
  <c r="E18" i="8"/>
  <c r="I14" i="8"/>
  <c r="I13" i="8"/>
  <c r="I12" i="8"/>
  <c r="H11" i="8"/>
  <c r="G10" i="8"/>
  <c r="H34" i="8"/>
  <c r="D30" i="8"/>
  <c r="H24" i="8"/>
  <c r="F22" i="8"/>
  <c r="D18" i="8"/>
  <c r="H14" i="8"/>
  <c r="H13" i="8"/>
  <c r="H12" i="8"/>
  <c r="G11" i="8"/>
  <c r="F10" i="8"/>
  <c r="G34" i="8"/>
  <c r="C30" i="8"/>
  <c r="I26" i="8"/>
  <c r="G24" i="8"/>
  <c r="E22" i="8"/>
  <c r="G14" i="8"/>
  <c r="G13" i="8"/>
  <c r="G12" i="8"/>
  <c r="F11" i="8"/>
  <c r="E10" i="8"/>
  <c r="F34" i="8"/>
  <c r="D22" i="8"/>
  <c r="D21" i="8"/>
  <c r="F14" i="8"/>
  <c r="F13" i="8"/>
  <c r="F12" i="8"/>
  <c r="E11" i="8"/>
  <c r="D10" i="8"/>
  <c r="F35" i="8"/>
  <c r="E34" i="8"/>
  <c r="I30" i="8"/>
  <c r="G26" i="8"/>
  <c r="C22" i="8"/>
  <c r="I18" i="8"/>
  <c r="E14" i="8"/>
  <c r="E13" i="8"/>
  <c r="E12" i="8"/>
  <c r="D11" i="8"/>
  <c r="C10" i="8"/>
  <c r="A9" i="8"/>
  <c r="A20" i="10"/>
  <c r="A13" i="1"/>
  <c r="A18" i="10"/>
  <c r="A12" i="1"/>
  <c r="A16" i="10"/>
  <c r="A11" i="1"/>
  <c r="A14" i="10"/>
  <c r="A10" i="1"/>
  <c r="A12" i="10"/>
  <c r="A9" i="1"/>
  <c r="A10" i="10"/>
  <c r="A8" i="1"/>
  <c r="A8" i="10"/>
  <c r="A7" i="1"/>
  <c r="F6" i="5"/>
  <c r="O76" i="7" s="1"/>
  <c r="I24" i="8" l="1"/>
  <c r="G18" i="8"/>
  <c r="F24" i="8"/>
  <c r="H26" i="8"/>
  <c r="K26" i="8" s="1"/>
  <c r="G8" i="10"/>
  <c r="L8" i="10"/>
  <c r="G10" i="10"/>
  <c r="L10" i="10"/>
  <c r="G12" i="10"/>
  <c r="L12" i="10"/>
  <c r="G14" i="10"/>
  <c r="L14" i="10"/>
  <c r="G16" i="10"/>
  <c r="L16" i="10"/>
  <c r="G18" i="10"/>
  <c r="L18" i="10"/>
  <c r="G20" i="10"/>
  <c r="L20" i="10"/>
  <c r="G22" i="10"/>
  <c r="L22" i="10"/>
  <c r="G24" i="10"/>
  <c r="L24" i="10"/>
  <c r="G26" i="10"/>
  <c r="L26" i="10"/>
  <c r="K28" i="10"/>
  <c r="G28" i="10"/>
  <c r="L28" i="10"/>
  <c r="K30" i="10"/>
  <c r="G30" i="10"/>
  <c r="L30" i="10"/>
  <c r="K34" i="10"/>
  <c r="G34" i="10"/>
  <c r="L34" i="10"/>
  <c r="K36" i="10"/>
  <c r="G36" i="10"/>
  <c r="L36" i="10"/>
  <c r="K38" i="10"/>
  <c r="G38" i="10"/>
  <c r="L38" i="10"/>
  <c r="K40" i="10"/>
  <c r="G40" i="10"/>
  <c r="L40" i="10"/>
  <c r="K42" i="10"/>
  <c r="G42" i="10"/>
  <c r="L42" i="10"/>
  <c r="K44" i="10"/>
  <c r="G44" i="10"/>
  <c r="L44" i="10"/>
  <c r="K46" i="10"/>
  <c r="G46" i="10"/>
  <c r="L46" i="10"/>
  <c r="K48" i="10"/>
  <c r="G48" i="10"/>
  <c r="L48" i="10"/>
  <c r="K50" i="10"/>
  <c r="G50" i="10"/>
  <c r="L50" i="10"/>
  <c r="K52" i="10"/>
  <c r="G52" i="10"/>
  <c r="L52" i="10"/>
  <c r="K54" i="10"/>
  <c r="G54" i="10"/>
  <c r="L54" i="10"/>
  <c r="K56" i="10"/>
  <c r="G56" i="10"/>
  <c r="L56" i="10"/>
  <c r="K58" i="10"/>
  <c r="G58" i="10"/>
  <c r="L58" i="10"/>
  <c r="K60" i="10"/>
  <c r="G60" i="10"/>
  <c r="L60" i="10"/>
  <c r="K62" i="10"/>
  <c r="G62" i="10"/>
  <c r="L62" i="10"/>
  <c r="K64" i="10"/>
  <c r="G64" i="10"/>
  <c r="L64" i="10"/>
  <c r="K32" i="10"/>
  <c r="G32" i="10"/>
  <c r="L32" i="10"/>
  <c r="C32" i="8"/>
  <c r="H16" i="8"/>
  <c r="G16" i="8"/>
  <c r="E32" i="8"/>
  <c r="G32" i="8"/>
  <c r="E16" i="8"/>
  <c r="I16" i="8"/>
  <c r="C16" i="8"/>
  <c r="H32" i="8"/>
  <c r="E24" i="8"/>
  <c r="D32" i="8"/>
  <c r="F32" i="8"/>
  <c r="C24" i="8"/>
  <c r="K8" i="10"/>
  <c r="H27" i="8"/>
  <c r="K18" i="10"/>
  <c r="K10" i="10"/>
  <c r="F27" i="8"/>
  <c r="K20" i="10"/>
  <c r="K12" i="10"/>
  <c r="E27" i="8"/>
  <c r="B9" i="8"/>
  <c r="F16" i="8"/>
  <c r="B16" i="8"/>
  <c r="B24" i="8"/>
  <c r="B32" i="8"/>
  <c r="K14" i="10"/>
  <c r="K26" i="10"/>
  <c r="G19" i="8"/>
  <c r="B19" i="8"/>
  <c r="D27" i="8"/>
  <c r="B27" i="8"/>
  <c r="E35" i="8"/>
  <c r="B35" i="8"/>
  <c r="D14" i="8"/>
  <c r="J14" i="8" s="1"/>
  <c r="B14" i="8"/>
  <c r="B22" i="8"/>
  <c r="B30" i="8"/>
  <c r="K16" i="10"/>
  <c r="K22" i="10"/>
  <c r="D17" i="8"/>
  <c r="B17" i="8"/>
  <c r="C25" i="8"/>
  <c r="B25" i="8"/>
  <c r="I33" i="8"/>
  <c r="B33" i="8"/>
  <c r="B8" i="8"/>
  <c r="B12" i="8"/>
  <c r="G20" i="8"/>
  <c r="B20" i="8"/>
  <c r="H28" i="8"/>
  <c r="B28" i="8"/>
  <c r="B13" i="8"/>
  <c r="B15" i="8"/>
  <c r="E23" i="8"/>
  <c r="B23" i="8"/>
  <c r="H31" i="8"/>
  <c r="B31" i="8"/>
  <c r="B7" i="8"/>
  <c r="K24" i="10"/>
  <c r="H18" i="8"/>
  <c r="B18" i="8"/>
  <c r="B26" i="8"/>
  <c r="B34" i="8"/>
  <c r="B11" i="8"/>
  <c r="F21" i="8"/>
  <c r="B21" i="8"/>
  <c r="F29" i="8"/>
  <c r="B29" i="8"/>
  <c r="B10" i="8"/>
  <c r="AE72" i="7"/>
  <c r="AE51" i="7"/>
  <c r="H73" i="7"/>
  <c r="H49" i="7"/>
  <c r="AB71" i="7"/>
  <c r="AB73" i="7"/>
  <c r="L71" i="7"/>
  <c r="L73" i="7"/>
  <c r="X76" i="7"/>
  <c r="X72" i="7"/>
  <c r="AD50" i="7"/>
  <c r="AD72" i="7"/>
  <c r="T47" i="7"/>
  <c r="T74" i="7"/>
  <c r="T75" i="7"/>
  <c r="W69" i="7"/>
  <c r="W68" i="7"/>
  <c r="G72" i="7"/>
  <c r="G51" i="7"/>
  <c r="B67" i="7"/>
  <c r="B70" i="7"/>
  <c r="Y48" i="7"/>
  <c r="Y69" i="7"/>
  <c r="I76" i="7"/>
  <c r="I69" i="7"/>
  <c r="AA66" i="7"/>
  <c r="AA71" i="7"/>
  <c r="M50" i="7"/>
  <c r="M71" i="7"/>
  <c r="F70" i="7"/>
  <c r="F66" i="7"/>
  <c r="F73" i="7"/>
  <c r="N66" i="7"/>
  <c r="N65" i="7"/>
  <c r="P50" i="7"/>
  <c r="P66" i="7"/>
  <c r="C68" i="7"/>
  <c r="C67" i="7"/>
  <c r="K51" i="7"/>
  <c r="K50" i="7"/>
  <c r="S74" i="7"/>
  <c r="S70" i="7"/>
  <c r="J74" i="7"/>
  <c r="J51" i="7"/>
  <c r="U67" i="7"/>
  <c r="U69" i="7"/>
  <c r="E50" i="7"/>
  <c r="E71" i="7"/>
  <c r="E70" i="7"/>
  <c r="R65" i="7"/>
  <c r="R68" i="7"/>
  <c r="V49" i="7"/>
  <c r="V48" i="7"/>
  <c r="D71" i="7"/>
  <c r="D70" i="7"/>
  <c r="AC72" i="7"/>
  <c r="AC76" i="7"/>
  <c r="Z71" i="7"/>
  <c r="Z67" i="7"/>
  <c r="Q68" i="7"/>
  <c r="Q47" i="7"/>
  <c r="O65" i="7"/>
  <c r="O69" i="7"/>
  <c r="AE69" i="7"/>
  <c r="AE68" i="7"/>
  <c r="H50" i="7"/>
  <c r="H66" i="7"/>
  <c r="AB51" i="7"/>
  <c r="AB70" i="7"/>
  <c r="L74" i="7"/>
  <c r="L70" i="7"/>
  <c r="X48" i="7"/>
  <c r="X70" i="7"/>
  <c r="AD67" i="7"/>
  <c r="AD71" i="7"/>
  <c r="T72" i="7"/>
  <c r="T48" i="7"/>
  <c r="W50" i="7"/>
  <c r="W67" i="7"/>
  <c r="W76" i="7"/>
  <c r="G67" i="7"/>
  <c r="G68" i="7"/>
  <c r="B48" i="7"/>
  <c r="B51" i="7"/>
  <c r="Y70" i="7"/>
  <c r="Y65" i="7"/>
  <c r="I70" i="7"/>
  <c r="I48" i="7"/>
  <c r="AA74" i="7"/>
  <c r="AA70" i="7"/>
  <c r="M67" i="7"/>
  <c r="M51" i="7"/>
  <c r="F50" i="7"/>
  <c r="F74" i="7"/>
  <c r="N47" i="7"/>
  <c r="N74" i="7"/>
  <c r="N73" i="7"/>
  <c r="P67" i="7"/>
  <c r="P74" i="7"/>
  <c r="C76" i="7"/>
  <c r="C75" i="7"/>
  <c r="K68" i="7"/>
  <c r="K67" i="7"/>
  <c r="S51" i="7"/>
  <c r="S50" i="7"/>
  <c r="J71" i="7"/>
  <c r="J50" i="7"/>
  <c r="U75" i="7"/>
  <c r="U51" i="7"/>
  <c r="E67" i="7"/>
  <c r="E69" i="7"/>
  <c r="R49" i="7"/>
  <c r="R73" i="7"/>
  <c r="R69" i="7"/>
  <c r="V66" i="7"/>
  <c r="V65" i="7"/>
  <c r="D51" i="7"/>
  <c r="D50" i="7"/>
  <c r="AC49" i="7"/>
  <c r="AC48" i="7"/>
  <c r="Z76" i="7"/>
  <c r="Z75" i="7"/>
  <c r="Q76" i="7"/>
  <c r="Q72" i="7"/>
  <c r="O73" i="7"/>
  <c r="O49" i="7"/>
  <c r="AE48" i="7"/>
  <c r="AE49" i="7"/>
  <c r="AE76" i="7"/>
  <c r="H67" i="7"/>
  <c r="H74" i="7"/>
  <c r="AB68" i="7"/>
  <c r="AB50" i="7"/>
  <c r="L51" i="7"/>
  <c r="L49" i="7"/>
  <c r="X65" i="7"/>
  <c r="X69" i="7"/>
  <c r="AD75" i="7"/>
  <c r="AD51" i="7"/>
  <c r="T69" i="7"/>
  <c r="T65" i="7"/>
  <c r="W48" i="7"/>
  <c r="W49" i="7"/>
  <c r="G48" i="7"/>
  <c r="G69" i="7"/>
  <c r="G76" i="7"/>
  <c r="B68" i="7"/>
  <c r="B71" i="7"/>
  <c r="Y73" i="7"/>
  <c r="Y49" i="7"/>
  <c r="I65" i="7"/>
  <c r="I47" i="7"/>
  <c r="AA51" i="7"/>
  <c r="AA50" i="7"/>
  <c r="M75" i="7"/>
  <c r="M68" i="7"/>
  <c r="F67" i="7"/>
  <c r="F71" i="7"/>
  <c r="N70" i="7"/>
  <c r="N72" i="7"/>
  <c r="P51" i="7"/>
  <c r="P75" i="7"/>
  <c r="P71" i="7"/>
  <c r="C71" i="7"/>
  <c r="C47" i="7"/>
  <c r="K76" i="7"/>
  <c r="K75" i="7"/>
  <c r="S68" i="7"/>
  <c r="S67" i="7"/>
  <c r="J48" i="7"/>
  <c r="J67" i="7"/>
  <c r="U47" i="7"/>
  <c r="U68" i="7"/>
  <c r="E75" i="7"/>
  <c r="E51" i="7"/>
  <c r="R66" i="7"/>
  <c r="R70" i="7"/>
  <c r="V70" i="7"/>
  <c r="V74" i="7"/>
  <c r="V73" i="7"/>
  <c r="D68" i="7"/>
  <c r="D67" i="7"/>
  <c r="AC66" i="7"/>
  <c r="AC65" i="7"/>
  <c r="Z48" i="7"/>
  <c r="Z68" i="7"/>
  <c r="Q70" i="7"/>
  <c r="Q65" i="7"/>
  <c r="O67" i="7"/>
  <c r="O66" i="7"/>
  <c r="I35" i="8"/>
  <c r="F19" i="8"/>
  <c r="AE65" i="7"/>
  <c r="AE66" i="7"/>
  <c r="H51" i="7"/>
  <c r="H75" i="7"/>
  <c r="H71" i="7"/>
  <c r="AB76" i="7"/>
  <c r="AB67" i="7"/>
  <c r="L68" i="7"/>
  <c r="L50" i="7"/>
  <c r="X73" i="7"/>
  <c r="X49" i="7"/>
  <c r="AD69" i="7"/>
  <c r="AD68" i="7"/>
  <c r="T71" i="7"/>
  <c r="T73" i="7"/>
  <c r="W65" i="7"/>
  <c r="W66" i="7"/>
  <c r="G65" i="7"/>
  <c r="G75" i="7"/>
  <c r="B65" i="7"/>
  <c r="B76" i="7"/>
  <c r="B72" i="7"/>
  <c r="Y50" i="7"/>
  <c r="Y66" i="7"/>
  <c r="I73" i="7"/>
  <c r="I49" i="7"/>
  <c r="AA68" i="7"/>
  <c r="AA67" i="7"/>
  <c r="M47" i="7"/>
  <c r="M76" i="7"/>
  <c r="F75" i="7"/>
  <c r="F51" i="7"/>
  <c r="N50" i="7"/>
  <c r="N71" i="7"/>
  <c r="P68" i="7"/>
  <c r="P70" i="7"/>
  <c r="C69" i="7"/>
  <c r="C48" i="7"/>
  <c r="C72" i="7"/>
  <c r="K48" i="7"/>
  <c r="K47" i="7"/>
  <c r="S76" i="7"/>
  <c r="S75" i="7"/>
  <c r="J65" i="7"/>
  <c r="J75" i="7"/>
  <c r="U72" i="7"/>
  <c r="U76" i="7"/>
  <c r="E47" i="7"/>
  <c r="E68" i="7"/>
  <c r="R74" i="7"/>
  <c r="R50" i="7"/>
  <c r="V50" i="7"/>
  <c r="V71" i="7"/>
  <c r="D66" i="7"/>
  <c r="D76" i="7"/>
  <c r="D75" i="7"/>
  <c r="AC74" i="7"/>
  <c r="AC73" i="7"/>
  <c r="Z65" i="7"/>
  <c r="Z47" i="7"/>
  <c r="Q48" i="7"/>
  <c r="Q69" i="7"/>
  <c r="O75" i="7"/>
  <c r="O74" i="7"/>
  <c r="E19" i="8"/>
  <c r="AE73" i="7"/>
  <c r="AE74" i="7"/>
  <c r="H68" i="7"/>
  <c r="H47" i="7"/>
  <c r="AB74" i="7"/>
  <c r="AB49" i="7"/>
  <c r="AB75" i="7"/>
  <c r="L76" i="7"/>
  <c r="L67" i="7"/>
  <c r="X50" i="7"/>
  <c r="X66" i="7"/>
  <c r="AD49" i="7"/>
  <c r="AD76" i="7"/>
  <c r="T66" i="7"/>
  <c r="T49" i="7"/>
  <c r="W73" i="7"/>
  <c r="W74" i="7"/>
  <c r="G73" i="7"/>
  <c r="G49" i="7"/>
  <c r="B73" i="7"/>
  <c r="B49" i="7"/>
  <c r="Y71" i="7"/>
  <c r="Y67" i="7"/>
  <c r="Y74" i="7"/>
  <c r="I50" i="7"/>
  <c r="I66" i="7"/>
  <c r="AA76" i="7"/>
  <c r="AA75" i="7"/>
  <c r="M72" i="7"/>
  <c r="M48" i="7"/>
  <c r="F69" i="7"/>
  <c r="F68" i="7"/>
  <c r="N67" i="7"/>
  <c r="N51" i="7"/>
  <c r="P76" i="7"/>
  <c r="P47" i="7"/>
  <c r="C49" i="7"/>
  <c r="C65" i="7"/>
  <c r="K69" i="7"/>
  <c r="K65" i="7"/>
  <c r="K72" i="7"/>
  <c r="S71" i="7"/>
  <c r="S47" i="7"/>
  <c r="J73" i="7"/>
  <c r="J47" i="7"/>
  <c r="U49" i="7"/>
  <c r="U48" i="7"/>
  <c r="E72" i="7"/>
  <c r="E76" i="7"/>
  <c r="R51" i="7"/>
  <c r="R67" i="7"/>
  <c r="V67" i="7"/>
  <c r="V47" i="7"/>
  <c r="D47" i="7"/>
  <c r="D74" i="7"/>
  <c r="AC50" i="7"/>
  <c r="AC69" i="7"/>
  <c r="AC70" i="7"/>
  <c r="Z73" i="7"/>
  <c r="Z72" i="7"/>
  <c r="Q50" i="7"/>
  <c r="Q49" i="7"/>
  <c r="O70" i="7"/>
  <c r="O71" i="7"/>
  <c r="H35" i="8"/>
  <c r="G27" i="8"/>
  <c r="AE70" i="7"/>
  <c r="AE71" i="7"/>
  <c r="H76" i="7"/>
  <c r="H72" i="7"/>
  <c r="AB47" i="7"/>
  <c r="AB66" i="7"/>
  <c r="L72" i="7"/>
  <c r="L66" i="7"/>
  <c r="L75" i="7"/>
  <c r="X67" i="7"/>
  <c r="X74" i="7"/>
  <c r="AD66" i="7"/>
  <c r="AD48" i="7"/>
  <c r="T51" i="7"/>
  <c r="T70" i="7"/>
  <c r="W70" i="7"/>
  <c r="W75" i="7"/>
  <c r="G70" i="7"/>
  <c r="G66" i="7"/>
  <c r="B66" i="7"/>
  <c r="B69" i="7"/>
  <c r="Y51" i="7"/>
  <c r="Y75" i="7"/>
  <c r="I71" i="7"/>
  <c r="I67" i="7"/>
  <c r="I74" i="7"/>
  <c r="AA48" i="7"/>
  <c r="AA47" i="7"/>
  <c r="M49" i="7"/>
  <c r="M65" i="7"/>
  <c r="F47" i="7"/>
  <c r="F76" i="7"/>
  <c r="N75" i="7"/>
  <c r="N68" i="7"/>
  <c r="P48" i="7"/>
  <c r="P72" i="7"/>
  <c r="C66" i="7"/>
  <c r="C73" i="7"/>
  <c r="K49" i="7"/>
  <c r="K73" i="7"/>
  <c r="S69" i="7"/>
  <c r="S48" i="7"/>
  <c r="S72" i="7"/>
  <c r="J68" i="7"/>
  <c r="J72" i="7"/>
  <c r="U66" i="7"/>
  <c r="U65" i="7"/>
  <c r="E49" i="7"/>
  <c r="E48" i="7"/>
  <c r="R71" i="7"/>
  <c r="R75" i="7"/>
  <c r="V75" i="7"/>
  <c r="V51" i="7"/>
  <c r="D72" i="7"/>
  <c r="D48" i="7"/>
  <c r="AC67" i="7"/>
  <c r="AC71" i="7"/>
  <c r="Z49" i="7"/>
  <c r="Z51" i="7"/>
  <c r="Z69" i="7"/>
  <c r="Q67" i="7"/>
  <c r="Q66" i="7"/>
  <c r="O47" i="7"/>
  <c r="O51" i="7"/>
  <c r="C19" i="8"/>
  <c r="G35" i="8"/>
  <c r="D19" i="8"/>
  <c r="C35" i="8"/>
  <c r="H19" i="8"/>
  <c r="D35" i="8"/>
  <c r="AE67" i="7"/>
  <c r="AE50" i="7"/>
  <c r="H48" i="7"/>
  <c r="H70" i="7"/>
  <c r="AB72" i="7"/>
  <c r="AB48" i="7"/>
  <c r="L47" i="7"/>
  <c r="L48" i="7"/>
  <c r="X51" i="7"/>
  <c r="X75" i="7"/>
  <c r="X71" i="7"/>
  <c r="AD74" i="7"/>
  <c r="AD65" i="7"/>
  <c r="T68" i="7"/>
  <c r="T50" i="7"/>
  <c r="W47" i="7"/>
  <c r="W71" i="7"/>
  <c r="G50" i="7"/>
  <c r="G74" i="7"/>
  <c r="B74" i="7"/>
  <c r="B75" i="7"/>
  <c r="Y68" i="7"/>
  <c r="Y72" i="7"/>
  <c r="I51" i="7"/>
  <c r="I75" i="7"/>
  <c r="AA69" i="7"/>
  <c r="AA65" i="7"/>
  <c r="AA72" i="7"/>
  <c r="M66" i="7"/>
  <c r="M73" i="7"/>
  <c r="F72" i="7"/>
  <c r="F48" i="7"/>
  <c r="N69" i="7"/>
  <c r="N76" i="7"/>
  <c r="P65" i="7"/>
  <c r="P69" i="7"/>
  <c r="C74" i="7"/>
  <c r="C70" i="7"/>
  <c r="K66" i="7"/>
  <c r="K71" i="7"/>
  <c r="S49" i="7"/>
  <c r="S65" i="7"/>
  <c r="J49" i="7"/>
  <c r="J76" i="7"/>
  <c r="J69" i="7"/>
  <c r="U74" i="7"/>
  <c r="U73" i="7"/>
  <c r="E66" i="7"/>
  <c r="E65" i="7"/>
  <c r="R76" i="7"/>
  <c r="R47" i="7"/>
  <c r="V69" i="7"/>
  <c r="V68" i="7"/>
  <c r="D49" i="7"/>
  <c r="D65" i="7"/>
  <c r="AC75" i="7"/>
  <c r="AC51" i="7"/>
  <c r="Z66" i="7"/>
  <c r="Z70" i="7"/>
  <c r="Q71" i="7"/>
  <c r="Q75" i="7"/>
  <c r="Q74" i="7"/>
  <c r="O72" i="7"/>
  <c r="O68" i="7"/>
  <c r="C27" i="8"/>
  <c r="AE47" i="7"/>
  <c r="AE75" i="7"/>
  <c r="H65" i="7"/>
  <c r="H69" i="7"/>
  <c r="AB69" i="7"/>
  <c r="AB65" i="7"/>
  <c r="L69" i="7"/>
  <c r="L65" i="7"/>
  <c r="X68" i="7"/>
  <c r="X47" i="7"/>
  <c r="AD70" i="7"/>
  <c r="AD47" i="7"/>
  <c r="AD73" i="7"/>
  <c r="T76" i="7"/>
  <c r="T67" i="7"/>
  <c r="W72" i="7"/>
  <c r="W51" i="7"/>
  <c r="G47" i="7"/>
  <c r="G71" i="7"/>
  <c r="B47" i="7"/>
  <c r="B50" i="7"/>
  <c r="Y76" i="7"/>
  <c r="Y47" i="7"/>
  <c r="I68" i="7"/>
  <c r="I72" i="7"/>
  <c r="AA49" i="7"/>
  <c r="AA73" i="7"/>
  <c r="M69" i="7"/>
  <c r="M74" i="7"/>
  <c r="M70" i="7"/>
  <c r="F49" i="7"/>
  <c r="F65" i="7"/>
  <c r="N49" i="7"/>
  <c r="N48" i="7"/>
  <c r="P73" i="7"/>
  <c r="P49" i="7"/>
  <c r="C51" i="7"/>
  <c r="C50" i="7"/>
  <c r="K74" i="7"/>
  <c r="K70" i="7"/>
  <c r="S66" i="7"/>
  <c r="S73" i="7"/>
  <c r="J66" i="7"/>
  <c r="J70" i="7"/>
  <c r="U50" i="7"/>
  <c r="U71" i="7"/>
  <c r="U70" i="7"/>
  <c r="E74" i="7"/>
  <c r="E73" i="7"/>
  <c r="R48" i="7"/>
  <c r="R72" i="7"/>
  <c r="V72" i="7"/>
  <c r="V76" i="7"/>
  <c r="D69" i="7"/>
  <c r="D73" i="7"/>
  <c r="AC47" i="7"/>
  <c r="AC68" i="7"/>
  <c r="Z74" i="7"/>
  <c r="Z50" i="7"/>
  <c r="Q51" i="7"/>
  <c r="Q73" i="7"/>
  <c r="O48" i="7"/>
  <c r="O50" i="7"/>
  <c r="O25" i="10"/>
  <c r="Q21" i="10"/>
  <c r="O27" i="10"/>
  <c r="Q19" i="10"/>
  <c r="O17" i="10"/>
  <c r="Q29" i="10"/>
  <c r="Q31" i="10"/>
  <c r="Q33" i="10"/>
  <c r="P35" i="10"/>
  <c r="O37" i="10"/>
  <c r="P39" i="10"/>
  <c r="Q41" i="10"/>
  <c r="Q43" i="10"/>
  <c r="O45" i="10"/>
  <c r="P47" i="10"/>
  <c r="O49" i="10"/>
  <c r="P51" i="10"/>
  <c r="Q53" i="10"/>
  <c r="Q55" i="10"/>
  <c r="O57" i="10"/>
  <c r="O59" i="10"/>
  <c r="P61" i="10"/>
  <c r="P63" i="10"/>
  <c r="Q65" i="10"/>
  <c r="P37" i="10"/>
  <c r="P57" i="10"/>
  <c r="D29" i="8"/>
  <c r="O43" i="10"/>
  <c r="P27" i="10"/>
  <c r="Q63" i="10"/>
  <c r="Q17" i="10"/>
  <c r="P49" i="10"/>
  <c r="P25" i="10"/>
  <c r="O55" i="10"/>
  <c r="O53" i="10"/>
  <c r="Q49" i="10"/>
  <c r="Q61" i="10"/>
  <c r="O35" i="10"/>
  <c r="O31" i="10"/>
  <c r="O19" i="10"/>
  <c r="O63" i="10"/>
  <c r="Q47" i="10"/>
  <c r="O33" i="10"/>
  <c r="Q45" i="10"/>
  <c r="P59" i="10"/>
  <c r="P55" i="10"/>
  <c r="Q39" i="10"/>
  <c r="P29" i="10"/>
  <c r="Q35" i="10"/>
  <c r="Q25" i="10"/>
  <c r="P17" i="10"/>
  <c r="P53" i="10"/>
  <c r="Q37" i="10"/>
  <c r="O21" i="10"/>
  <c r="O65" i="10"/>
  <c r="Q59" i="10"/>
  <c r="P45" i="10"/>
  <c r="E28" i="8"/>
  <c r="P41" i="10"/>
  <c r="P31" i="10"/>
  <c r="O56" i="10"/>
  <c r="Q57" i="10"/>
  <c r="P43" i="10"/>
  <c r="Q27" i="10"/>
  <c r="P21" i="10"/>
  <c r="P65" i="10"/>
  <c r="O51" i="10"/>
  <c r="O47" i="10"/>
  <c r="P19" i="10"/>
  <c r="P33" i="10"/>
  <c r="O29" i="10"/>
  <c r="O41" i="10"/>
  <c r="Q51" i="10"/>
  <c r="O39" i="10"/>
  <c r="O61" i="10"/>
  <c r="Q9" i="10"/>
  <c r="P9" i="10"/>
  <c r="O9" i="10"/>
  <c r="Q8" i="10"/>
  <c r="P8" i="10"/>
  <c r="O8" i="10"/>
  <c r="R8" i="10"/>
  <c r="Q11" i="10"/>
  <c r="P11" i="10"/>
  <c r="O11" i="10"/>
  <c r="Q12" i="10"/>
  <c r="Q13" i="10"/>
  <c r="P13" i="10"/>
  <c r="O13" i="10"/>
  <c r="Q15" i="10"/>
  <c r="P15" i="10"/>
  <c r="O15" i="10"/>
  <c r="Q23" i="10"/>
  <c r="P23" i="10"/>
  <c r="O23" i="10"/>
  <c r="R12" i="10"/>
  <c r="O12" i="10"/>
  <c r="P12" i="10"/>
  <c r="R10" i="10"/>
  <c r="Q10" i="10"/>
  <c r="P10" i="10"/>
  <c r="O10" i="10"/>
  <c r="R64" i="10"/>
  <c r="Q64" i="10"/>
  <c r="P64" i="10"/>
  <c r="O64" i="10"/>
  <c r="J64" i="10"/>
  <c r="M64" i="10"/>
  <c r="I64" i="10"/>
  <c r="H64" i="10"/>
  <c r="F64" i="10"/>
  <c r="D64" i="10"/>
  <c r="C64" i="10"/>
  <c r="E64" i="10"/>
  <c r="R62" i="10"/>
  <c r="O62" i="10"/>
  <c r="Q62" i="10"/>
  <c r="P62" i="10"/>
  <c r="E62" i="10"/>
  <c r="M62" i="10"/>
  <c r="D62" i="10"/>
  <c r="C62" i="10"/>
  <c r="J62" i="10"/>
  <c r="I62" i="10"/>
  <c r="F62" i="10"/>
  <c r="H62" i="10"/>
  <c r="R60" i="10"/>
  <c r="Q60" i="10"/>
  <c r="P60" i="10"/>
  <c r="O60" i="10"/>
  <c r="H60" i="10"/>
  <c r="I60" i="10"/>
  <c r="F60" i="10"/>
  <c r="E60" i="10"/>
  <c r="C60" i="10"/>
  <c r="M60" i="10"/>
  <c r="D60" i="10"/>
  <c r="J60" i="10"/>
  <c r="R58" i="10"/>
  <c r="O58" i="10"/>
  <c r="Q58" i="10"/>
  <c r="P58" i="10"/>
  <c r="H58" i="10"/>
  <c r="F58" i="10"/>
  <c r="E58" i="10"/>
  <c r="M58" i="10"/>
  <c r="D58" i="10"/>
  <c r="C58" i="10"/>
  <c r="J58" i="10"/>
  <c r="I58" i="10"/>
  <c r="R56" i="10"/>
  <c r="Q56" i="10"/>
  <c r="P56" i="10"/>
  <c r="J56" i="10"/>
  <c r="I56" i="10"/>
  <c r="H56" i="10"/>
  <c r="M56" i="10"/>
  <c r="C56" i="10"/>
  <c r="F56" i="10"/>
  <c r="E56" i="10"/>
  <c r="D56" i="10"/>
  <c r="R54" i="10"/>
  <c r="O54" i="10"/>
  <c r="Q54" i="10"/>
  <c r="P54" i="10"/>
  <c r="E54" i="10"/>
  <c r="M54" i="10"/>
  <c r="D54" i="10"/>
  <c r="C54" i="10"/>
  <c r="I54" i="10"/>
  <c r="H54" i="10"/>
  <c r="J54" i="10"/>
  <c r="F54" i="10"/>
  <c r="R52" i="10"/>
  <c r="Q52" i="10"/>
  <c r="P52" i="10"/>
  <c r="O52" i="10"/>
  <c r="F52" i="10"/>
  <c r="D52" i="10"/>
  <c r="C52" i="10"/>
  <c r="E52" i="10"/>
  <c r="H52" i="10"/>
  <c r="M52" i="10"/>
  <c r="J52" i="10"/>
  <c r="I52" i="10"/>
  <c r="O50" i="10"/>
  <c r="R50" i="10"/>
  <c r="Q50" i="10"/>
  <c r="P50" i="10"/>
  <c r="H50" i="10"/>
  <c r="F50" i="10"/>
  <c r="E50" i="10"/>
  <c r="J50" i="10"/>
  <c r="I50" i="10"/>
  <c r="M50" i="10"/>
  <c r="D50" i="10"/>
  <c r="C50" i="10"/>
  <c r="R48" i="10"/>
  <c r="Q48" i="10"/>
  <c r="P48" i="10"/>
  <c r="O48" i="10"/>
  <c r="M48" i="10"/>
  <c r="D48" i="10"/>
  <c r="I48" i="10"/>
  <c r="H48" i="10"/>
  <c r="C48" i="10"/>
  <c r="J48" i="10"/>
  <c r="F48" i="10"/>
  <c r="E48" i="10"/>
  <c r="O46" i="10"/>
  <c r="R46" i="10"/>
  <c r="P46" i="10"/>
  <c r="Q46" i="10"/>
  <c r="F46" i="10"/>
  <c r="H46" i="10"/>
  <c r="E46" i="10"/>
  <c r="M46" i="10"/>
  <c r="D46" i="10"/>
  <c r="C46" i="10"/>
  <c r="J46" i="10"/>
  <c r="I46" i="10"/>
  <c r="R44" i="10"/>
  <c r="Q44" i="10"/>
  <c r="P44" i="10"/>
  <c r="O44" i="10"/>
  <c r="E44" i="10"/>
  <c r="C44" i="10"/>
  <c r="M44" i="10"/>
  <c r="D44" i="10"/>
  <c r="J44" i="10"/>
  <c r="F44" i="10"/>
  <c r="I44" i="10"/>
  <c r="H44" i="10"/>
  <c r="R42" i="10"/>
  <c r="Q42" i="10"/>
  <c r="P42" i="10"/>
  <c r="O42" i="10"/>
  <c r="J42" i="10"/>
  <c r="H42" i="10"/>
  <c r="I42" i="10"/>
  <c r="F42" i="10"/>
  <c r="E42" i="10"/>
  <c r="C42" i="10"/>
  <c r="M42" i="10"/>
  <c r="D42" i="10"/>
  <c r="R40" i="10"/>
  <c r="Q40" i="10"/>
  <c r="P40" i="10"/>
  <c r="O40" i="10"/>
  <c r="M40" i="10"/>
  <c r="D40" i="10"/>
  <c r="C40" i="10"/>
  <c r="J40" i="10"/>
  <c r="H40" i="10"/>
  <c r="I40" i="10"/>
  <c r="E40" i="10"/>
  <c r="F40" i="10"/>
  <c r="O38" i="10"/>
  <c r="R38" i="10"/>
  <c r="Q38" i="10"/>
  <c r="P38" i="10"/>
  <c r="F38" i="10"/>
  <c r="M38" i="10"/>
  <c r="D38" i="10"/>
  <c r="J38" i="10"/>
  <c r="C38" i="10"/>
  <c r="I38" i="10"/>
  <c r="E38" i="10"/>
  <c r="H38" i="10"/>
  <c r="R36" i="10"/>
  <c r="Q36" i="10"/>
  <c r="P36" i="10"/>
  <c r="O36" i="10"/>
  <c r="H36" i="10"/>
  <c r="F36" i="10"/>
  <c r="E36" i="10"/>
  <c r="M36" i="10"/>
  <c r="D36" i="10"/>
  <c r="C36" i="10"/>
  <c r="I36" i="10"/>
  <c r="J36" i="10"/>
  <c r="R34" i="10"/>
  <c r="Q34" i="10"/>
  <c r="P34" i="10"/>
  <c r="O34" i="10"/>
  <c r="J34" i="10"/>
  <c r="I34" i="10"/>
  <c r="H34" i="10"/>
  <c r="F34" i="10"/>
  <c r="E34" i="10"/>
  <c r="M34" i="10"/>
  <c r="D34" i="10"/>
  <c r="C34" i="10"/>
  <c r="R32" i="10"/>
  <c r="Q32" i="10"/>
  <c r="P32" i="10"/>
  <c r="O32" i="10"/>
  <c r="M32" i="10"/>
  <c r="D32" i="10"/>
  <c r="C32" i="10"/>
  <c r="E32" i="10"/>
  <c r="J32" i="10"/>
  <c r="I32" i="10"/>
  <c r="H32" i="10"/>
  <c r="F32" i="10"/>
  <c r="P30" i="10"/>
  <c r="R30" i="10"/>
  <c r="Q30" i="10"/>
  <c r="O30" i="10"/>
  <c r="M30" i="10"/>
  <c r="D30" i="10"/>
  <c r="C30" i="10"/>
  <c r="J30" i="10"/>
  <c r="F30" i="10"/>
  <c r="I30" i="10"/>
  <c r="H30" i="10"/>
  <c r="E30" i="10"/>
  <c r="R28" i="10"/>
  <c r="Q28" i="10"/>
  <c r="P28" i="10"/>
  <c r="O28" i="10"/>
  <c r="D28" i="10"/>
  <c r="F28" i="10"/>
  <c r="E28" i="10"/>
  <c r="M28" i="10"/>
  <c r="I28" i="10"/>
  <c r="C28" i="10"/>
  <c r="J28" i="10"/>
  <c r="H28" i="10"/>
  <c r="O26" i="10"/>
  <c r="R26" i="10"/>
  <c r="P26" i="10"/>
  <c r="Q26" i="10"/>
  <c r="J26" i="10"/>
  <c r="C26" i="10"/>
  <c r="I26" i="10"/>
  <c r="D26" i="10"/>
  <c r="H26" i="10"/>
  <c r="F26" i="10"/>
  <c r="M26" i="10"/>
  <c r="E26" i="10"/>
  <c r="R24" i="10"/>
  <c r="Q24" i="10"/>
  <c r="P24" i="10"/>
  <c r="O24" i="10"/>
  <c r="M24" i="10"/>
  <c r="D24" i="10"/>
  <c r="J24" i="10"/>
  <c r="E24" i="10"/>
  <c r="C24" i="10"/>
  <c r="I24" i="10"/>
  <c r="H24" i="10"/>
  <c r="F24" i="10"/>
  <c r="R22" i="10"/>
  <c r="Q22" i="10"/>
  <c r="O22" i="10"/>
  <c r="P22" i="10"/>
  <c r="F22" i="10"/>
  <c r="E22" i="10"/>
  <c r="M22" i="10"/>
  <c r="D22" i="10"/>
  <c r="C22" i="10"/>
  <c r="I22" i="10"/>
  <c r="J22" i="10"/>
  <c r="H22" i="10"/>
  <c r="R20" i="10"/>
  <c r="Q20" i="10"/>
  <c r="P20" i="10"/>
  <c r="O20" i="10"/>
  <c r="H20" i="10"/>
  <c r="I20" i="10"/>
  <c r="F20" i="10"/>
  <c r="E20" i="10"/>
  <c r="M20" i="10"/>
  <c r="D20" i="10"/>
  <c r="J20" i="10"/>
  <c r="C20" i="10"/>
  <c r="O18" i="10"/>
  <c r="R18" i="10"/>
  <c r="Q18" i="10"/>
  <c r="P18" i="10"/>
  <c r="J18" i="10"/>
  <c r="I18" i="10"/>
  <c r="H18" i="10"/>
  <c r="F18" i="10"/>
  <c r="E18" i="10"/>
  <c r="M18" i="10"/>
  <c r="D18" i="10"/>
  <c r="C18" i="10"/>
  <c r="R16" i="10"/>
  <c r="Q16" i="10"/>
  <c r="P16" i="10"/>
  <c r="O16" i="10"/>
  <c r="M16" i="10"/>
  <c r="D16" i="10"/>
  <c r="J16" i="10"/>
  <c r="I16" i="10"/>
  <c r="E16" i="10"/>
  <c r="H16" i="10"/>
  <c r="C16" i="10"/>
  <c r="F16" i="10"/>
  <c r="P14" i="10"/>
  <c r="O14" i="10"/>
  <c r="Q14" i="10"/>
  <c r="R14" i="10"/>
  <c r="M14" i="10"/>
  <c r="D14" i="10"/>
  <c r="C14" i="10"/>
  <c r="J14" i="10"/>
  <c r="I14" i="10"/>
  <c r="F14" i="10"/>
  <c r="E14" i="10"/>
  <c r="H14" i="10"/>
  <c r="E12" i="10"/>
  <c r="M12" i="10"/>
  <c r="D12" i="10"/>
  <c r="C12" i="10"/>
  <c r="J12" i="10"/>
  <c r="I12" i="10"/>
  <c r="H12" i="10"/>
  <c r="F12" i="10"/>
  <c r="E10" i="10"/>
  <c r="M10" i="10"/>
  <c r="D10" i="10"/>
  <c r="C10" i="10"/>
  <c r="J10" i="10"/>
  <c r="I10" i="10"/>
  <c r="H10" i="10"/>
  <c r="F10" i="10"/>
  <c r="B62" i="10"/>
  <c r="B46" i="10"/>
  <c r="B30" i="10"/>
  <c r="B14" i="10"/>
  <c r="B8" i="10"/>
  <c r="B56" i="10"/>
  <c r="B40" i="10"/>
  <c r="B24" i="10"/>
  <c r="J8" i="10"/>
  <c r="B50" i="10"/>
  <c r="B34" i="10"/>
  <c r="B18" i="10"/>
  <c r="I8" i="10"/>
  <c r="B60" i="10"/>
  <c r="B44" i="10"/>
  <c r="B28" i="10"/>
  <c r="B12" i="10"/>
  <c r="B54" i="10"/>
  <c r="B38" i="10"/>
  <c r="B22" i="10"/>
  <c r="F8" i="10"/>
  <c r="B64" i="10"/>
  <c r="B48" i="10"/>
  <c r="B32" i="10"/>
  <c r="B16" i="10"/>
  <c r="E8" i="10"/>
  <c r="B58" i="10"/>
  <c r="B42" i="10"/>
  <c r="B26" i="10"/>
  <c r="B10" i="10"/>
  <c r="D8" i="10"/>
  <c r="B52" i="10"/>
  <c r="B36" i="10"/>
  <c r="B20" i="10"/>
  <c r="M8" i="10"/>
  <c r="C8" i="10"/>
  <c r="H8" i="10"/>
  <c r="D35" i="1"/>
  <c r="H20" i="8"/>
  <c r="I20" i="8"/>
  <c r="C20" i="8"/>
  <c r="D20" i="8"/>
  <c r="F20" i="8"/>
  <c r="E20" i="8"/>
  <c r="G28" i="8"/>
  <c r="I28" i="8"/>
  <c r="C28" i="8"/>
  <c r="D28" i="8"/>
  <c r="F28" i="8"/>
  <c r="I31" i="8"/>
  <c r="E29" i="8"/>
  <c r="C21" i="8"/>
  <c r="J18" i="8"/>
  <c r="C29" i="8"/>
  <c r="G21" i="8"/>
  <c r="H21" i="8"/>
  <c r="H29" i="8"/>
  <c r="G29" i="8"/>
  <c r="E21" i="8"/>
  <c r="I21" i="8"/>
  <c r="I29" i="8"/>
  <c r="J22" i="8"/>
  <c r="F25" i="8"/>
  <c r="G25" i="8"/>
  <c r="K10" i="8"/>
  <c r="J7" i="8"/>
  <c r="K34" i="8"/>
  <c r="K7" i="8"/>
  <c r="F10" i="1"/>
  <c r="J16" i="1"/>
  <c r="E23" i="1"/>
  <c r="H29" i="1"/>
  <c r="B9" i="1"/>
  <c r="D12" i="1"/>
  <c r="G18" i="1"/>
  <c r="K24" i="1"/>
  <c r="C31" i="1"/>
  <c r="H18" i="1"/>
  <c r="I10" i="1"/>
  <c r="D17" i="1"/>
  <c r="G23" i="1"/>
  <c r="K29" i="1"/>
  <c r="H10" i="1"/>
  <c r="F12" i="1"/>
  <c r="J18" i="1"/>
  <c r="E25" i="1"/>
  <c r="H31" i="1"/>
  <c r="H22" i="1"/>
  <c r="D14" i="1"/>
  <c r="G20" i="1"/>
  <c r="K26" i="1"/>
  <c r="C33" i="1"/>
  <c r="E10" i="1"/>
  <c r="H16" i="1"/>
  <c r="B23" i="1"/>
  <c r="F29" i="1"/>
  <c r="J35" i="1"/>
  <c r="D11" i="1"/>
  <c r="G17" i="1"/>
  <c r="K23" i="1"/>
  <c r="C30" i="1"/>
  <c r="E11" i="1"/>
  <c r="H17" i="1"/>
  <c r="B24" i="1"/>
  <c r="F30" i="1"/>
  <c r="F15" i="1"/>
  <c r="K12" i="1"/>
  <c r="C19" i="1"/>
  <c r="I25" i="1"/>
  <c r="D32" i="1"/>
  <c r="E24" i="1"/>
  <c r="G11" i="1"/>
  <c r="K17" i="1"/>
  <c r="C24" i="1"/>
  <c r="I30" i="1"/>
  <c r="E16" i="1"/>
  <c r="E13" i="1"/>
  <c r="H19" i="1"/>
  <c r="B26" i="1"/>
  <c r="F32" i="1"/>
  <c r="B29" i="1"/>
  <c r="K14" i="1"/>
  <c r="C21" i="1"/>
  <c r="I27" i="1"/>
  <c r="D34" i="1"/>
  <c r="B11" i="1"/>
  <c r="F17" i="1"/>
  <c r="J23" i="1"/>
  <c r="E30" i="1"/>
  <c r="E12" i="1"/>
  <c r="K11" i="1"/>
  <c r="C18" i="1"/>
  <c r="I24" i="1"/>
  <c r="D31" i="1"/>
  <c r="J9" i="1"/>
  <c r="B12" i="1"/>
  <c r="F18" i="1"/>
  <c r="J24" i="1"/>
  <c r="E31" i="1"/>
  <c r="B21" i="1"/>
  <c r="I13" i="1"/>
  <c r="D20" i="1"/>
  <c r="G26" i="1"/>
  <c r="K32" i="1"/>
  <c r="E28" i="1"/>
  <c r="C12" i="1"/>
  <c r="I18" i="1"/>
  <c r="D25" i="1"/>
  <c r="G31" i="1"/>
  <c r="J21" i="1"/>
  <c r="B14" i="1"/>
  <c r="F20" i="1"/>
  <c r="J26" i="1"/>
  <c r="E33" i="1"/>
  <c r="C9" i="1"/>
  <c r="I15" i="1"/>
  <c r="D22" i="1"/>
  <c r="G28" i="1"/>
  <c r="K34" i="1"/>
  <c r="J11" i="1"/>
  <c r="E18" i="1"/>
  <c r="H24" i="1"/>
  <c r="B31" i="1"/>
  <c r="J17" i="1"/>
  <c r="I12" i="1"/>
  <c r="D19" i="1"/>
  <c r="G25" i="1"/>
  <c r="K31" i="1"/>
  <c r="H14" i="1"/>
  <c r="J12" i="1"/>
  <c r="E19" i="1"/>
  <c r="H25" i="1"/>
  <c r="B32" i="1"/>
  <c r="J25" i="1"/>
  <c r="G14" i="1"/>
  <c r="K20" i="1"/>
  <c r="C27" i="1"/>
  <c r="I33" i="1"/>
  <c r="H30" i="1"/>
  <c r="D13" i="1"/>
  <c r="G19" i="1"/>
  <c r="K25" i="1"/>
  <c r="C32" i="1"/>
  <c r="J29" i="1"/>
  <c r="J14" i="1"/>
  <c r="E21" i="1"/>
  <c r="H27" i="1"/>
  <c r="B34" i="1"/>
  <c r="D10" i="1"/>
  <c r="G16" i="1"/>
  <c r="K22" i="1"/>
  <c r="C29" i="1"/>
  <c r="I35" i="1"/>
  <c r="H12" i="1"/>
  <c r="B19" i="1"/>
  <c r="F25" i="1"/>
  <c r="J31" i="1"/>
  <c r="F23" i="1"/>
  <c r="G13" i="1"/>
  <c r="K19" i="1"/>
  <c r="C26" i="1"/>
  <c r="I32" i="1"/>
  <c r="E20" i="1"/>
  <c r="H13" i="1"/>
  <c r="B20" i="1"/>
  <c r="F26" i="1"/>
  <c r="J32" i="1"/>
  <c r="B33" i="1"/>
  <c r="C15" i="1"/>
  <c r="I21" i="1"/>
  <c r="D28" i="1"/>
  <c r="G34" i="1"/>
  <c r="E32" i="1"/>
  <c r="K13" i="1"/>
  <c r="C20" i="1"/>
  <c r="I26" i="1"/>
  <c r="D33" i="1"/>
  <c r="E9" i="1"/>
  <c r="H15" i="1"/>
  <c r="B22" i="1"/>
  <c r="F28" i="1"/>
  <c r="J34" i="1"/>
  <c r="K10" i="1"/>
  <c r="C17" i="1"/>
  <c r="I23" i="1"/>
  <c r="D30" i="1"/>
  <c r="J13" i="1"/>
  <c r="F13" i="1"/>
  <c r="J19" i="1"/>
  <c r="E26" i="1"/>
  <c r="H32" i="1"/>
  <c r="F27" i="1"/>
  <c r="C14" i="1"/>
  <c r="I20" i="1"/>
  <c r="D27" i="1"/>
  <c r="G33" i="1"/>
  <c r="B25" i="1"/>
  <c r="F14" i="1"/>
  <c r="J20" i="1"/>
  <c r="E27" i="1"/>
  <c r="H33" i="1"/>
  <c r="I9" i="1"/>
  <c r="D16" i="1"/>
  <c r="G22" i="1"/>
  <c r="K28" i="1"/>
  <c r="C35" i="1"/>
  <c r="H34" i="1"/>
  <c r="I14" i="1"/>
  <c r="D21" i="1"/>
  <c r="G27" i="1"/>
  <c r="K33" i="1"/>
  <c r="B10" i="1"/>
  <c r="F16" i="1"/>
  <c r="J22" i="1"/>
  <c r="E29" i="1"/>
  <c r="H35" i="1"/>
  <c r="I11" i="1"/>
  <c r="D18" i="1"/>
  <c r="G24" i="1"/>
  <c r="K30" i="1"/>
  <c r="F19" i="1"/>
  <c r="E14" i="1"/>
  <c r="H20" i="1"/>
  <c r="B27" i="1"/>
  <c r="F33" i="1"/>
  <c r="F31" i="1"/>
  <c r="D15" i="1"/>
  <c r="G21" i="1"/>
  <c r="K27" i="1"/>
  <c r="C34" i="1"/>
  <c r="J33" i="1"/>
  <c r="E15" i="1"/>
  <c r="H21" i="1"/>
  <c r="B28" i="1"/>
  <c r="F34" i="1"/>
  <c r="G10" i="1"/>
  <c r="K16" i="1"/>
  <c r="C23" i="1"/>
  <c r="I29" i="1"/>
  <c r="F35" i="1"/>
  <c r="D9" i="1"/>
  <c r="G15" i="1"/>
  <c r="K21" i="1"/>
  <c r="C28" i="1"/>
  <c r="I34" i="1"/>
  <c r="J10" i="1"/>
  <c r="E17" i="1"/>
  <c r="H23" i="1"/>
  <c r="B30" i="1"/>
  <c r="F11" i="1"/>
  <c r="G12" i="1"/>
  <c r="K18" i="1"/>
  <c r="C25" i="1"/>
  <c r="I31" i="1"/>
  <c r="H26" i="1"/>
  <c r="B15" i="1"/>
  <c r="F21" i="1"/>
  <c r="J27" i="1"/>
  <c r="E34" i="1"/>
  <c r="G9" i="1"/>
  <c r="K15" i="1"/>
  <c r="C22" i="1"/>
  <c r="I28" i="1"/>
  <c r="A6" i="8"/>
  <c r="A6" i="1"/>
  <c r="H9" i="1"/>
  <c r="B16" i="1"/>
  <c r="F22" i="1"/>
  <c r="J28" i="1"/>
  <c r="E35" i="1"/>
  <c r="C11" i="1"/>
  <c r="I17" i="1"/>
  <c r="D24" i="1"/>
  <c r="G30" i="1"/>
  <c r="B13" i="1"/>
  <c r="K9" i="1"/>
  <c r="C16" i="1"/>
  <c r="I22" i="1"/>
  <c r="D29" i="1"/>
  <c r="G35" i="1"/>
  <c r="H11" i="1"/>
  <c r="B18" i="1"/>
  <c r="F24" i="1"/>
  <c r="J30" i="1"/>
  <c r="B17" i="1"/>
  <c r="C13" i="1"/>
  <c r="I19" i="1"/>
  <c r="D26" i="1"/>
  <c r="G32" i="1"/>
  <c r="F9" i="1"/>
  <c r="J15" i="1"/>
  <c r="E22" i="1"/>
  <c r="H28" i="1"/>
  <c r="B35" i="1"/>
  <c r="C10" i="1"/>
  <c r="I16" i="1"/>
  <c r="D23" i="1"/>
  <c r="G29" i="1"/>
  <c r="K35" i="1"/>
  <c r="K7" i="1"/>
  <c r="D7" i="1"/>
  <c r="J7" i="1"/>
  <c r="B7" i="1"/>
  <c r="I7" i="1"/>
  <c r="H7" i="1"/>
  <c r="G7" i="1"/>
  <c r="F7" i="1"/>
  <c r="C7" i="1"/>
  <c r="E7" i="1"/>
  <c r="C8" i="8"/>
  <c r="I8" i="8"/>
  <c r="H8" i="8"/>
  <c r="G8" i="8"/>
  <c r="F8" i="8"/>
  <c r="E8" i="8"/>
  <c r="D8" i="8"/>
  <c r="I8" i="1"/>
  <c r="H8" i="1"/>
  <c r="G8" i="1"/>
  <c r="F8" i="1"/>
  <c r="C8" i="1"/>
  <c r="E8" i="1"/>
  <c r="K8" i="1"/>
  <c r="D8" i="1"/>
  <c r="J8" i="1"/>
  <c r="B8" i="1"/>
  <c r="K13" i="8"/>
  <c r="J30" i="8"/>
  <c r="K12" i="8"/>
  <c r="K14" i="8"/>
  <c r="K24" i="8"/>
  <c r="H17" i="8"/>
  <c r="I17" i="8"/>
  <c r="K11" i="8"/>
  <c r="C15" i="8"/>
  <c r="I23" i="8"/>
  <c r="D25" i="8"/>
  <c r="G17" i="8"/>
  <c r="C31" i="8"/>
  <c r="D31" i="8"/>
  <c r="E31" i="8"/>
  <c r="K22" i="8"/>
  <c r="F31" i="8"/>
  <c r="E17" i="8"/>
  <c r="C33" i="8"/>
  <c r="F17" i="8"/>
  <c r="F23" i="8"/>
  <c r="G23" i="8"/>
  <c r="H23" i="8"/>
  <c r="C23" i="8"/>
  <c r="E33" i="8"/>
  <c r="H15" i="8"/>
  <c r="F33" i="8"/>
  <c r="I15" i="8"/>
  <c r="G33" i="8"/>
  <c r="H33" i="8"/>
  <c r="J10" i="8"/>
  <c r="D23" i="8"/>
  <c r="H25" i="8"/>
  <c r="C17" i="8"/>
  <c r="I25" i="8"/>
  <c r="E25" i="8"/>
  <c r="F15" i="8"/>
  <c r="D33" i="8"/>
  <c r="G15" i="8"/>
  <c r="E15" i="8"/>
  <c r="H30" i="8"/>
  <c r="K30" i="8" s="1"/>
  <c r="J26" i="8"/>
  <c r="J34" i="8"/>
  <c r="I9" i="8"/>
  <c r="H9" i="8"/>
  <c r="G9" i="8"/>
  <c r="F9" i="8"/>
  <c r="E9" i="8"/>
  <c r="D9" i="8"/>
  <c r="C9" i="8"/>
  <c r="J11" i="8"/>
  <c r="J12" i="8"/>
  <c r="J13" i="8"/>
  <c r="A6" i="10"/>
  <c r="B34" i="7"/>
  <c r="Z35" i="7"/>
  <c r="Z19" i="7"/>
  <c r="B35" i="7"/>
  <c r="B24" i="7"/>
  <c r="Z22" i="7"/>
  <c r="D19" i="7"/>
  <c r="D20" i="7"/>
  <c r="G35" i="7"/>
  <c r="D21" i="7"/>
  <c r="Z21" i="7"/>
  <c r="Z34" i="7"/>
  <c r="Z33" i="7"/>
  <c r="B21" i="7"/>
  <c r="G19" i="7"/>
  <c r="G34" i="7"/>
  <c r="B19" i="7"/>
  <c r="D22" i="7"/>
  <c r="D24" i="7"/>
  <c r="D23" i="7"/>
  <c r="G21" i="7"/>
  <c r="B22" i="7"/>
  <c r="B33" i="7"/>
  <c r="Z24" i="7"/>
  <c r="Z20" i="7"/>
  <c r="Z23" i="7"/>
  <c r="G20" i="7"/>
  <c r="G33" i="7"/>
  <c r="B23" i="7"/>
  <c r="G22" i="7"/>
  <c r="G24" i="7"/>
  <c r="J24" i="7"/>
  <c r="T19" i="7"/>
  <c r="AC22" i="7"/>
  <c r="M19" i="7"/>
  <c r="U24" i="7"/>
  <c r="U20" i="7"/>
  <c r="R19" i="7"/>
  <c r="V22" i="7"/>
  <c r="V23" i="7"/>
  <c r="F34" i="7"/>
  <c r="F19" i="7"/>
  <c r="O35" i="7"/>
  <c r="O23" i="7"/>
  <c r="W33" i="7"/>
  <c r="N34" i="7"/>
  <c r="N22" i="7"/>
  <c r="H21" i="7"/>
  <c r="P34" i="7"/>
  <c r="P35" i="7"/>
  <c r="X20" i="7"/>
  <c r="L21" i="7"/>
  <c r="AE35" i="7"/>
  <c r="I24" i="7"/>
  <c r="Q22" i="7"/>
  <c r="Q20" i="7"/>
  <c r="Y33" i="7"/>
  <c r="Y19" i="7"/>
  <c r="AA23" i="7"/>
  <c r="AA24" i="7"/>
  <c r="J33" i="7"/>
  <c r="J34" i="7"/>
  <c r="J19" i="7"/>
  <c r="T22" i="7"/>
  <c r="C35" i="7"/>
  <c r="M20" i="7"/>
  <c r="AD23" i="7"/>
  <c r="V20" i="7"/>
  <c r="F35" i="7"/>
  <c r="F22" i="7"/>
  <c r="O22" i="7"/>
  <c r="O21" i="7"/>
  <c r="W34" i="7"/>
  <c r="W21" i="7"/>
  <c r="E22" i="7"/>
  <c r="N35" i="7"/>
  <c r="N19" i="7"/>
  <c r="P23" i="7"/>
  <c r="X33" i="7"/>
  <c r="AE22" i="7"/>
  <c r="AE21" i="7"/>
  <c r="I19" i="7"/>
  <c r="Q23" i="7"/>
  <c r="T23" i="7"/>
  <c r="T24" i="7"/>
  <c r="T21" i="7"/>
  <c r="AC24" i="7"/>
  <c r="AC23" i="7"/>
  <c r="C23" i="7"/>
  <c r="C24" i="7"/>
  <c r="M34" i="7"/>
  <c r="U21" i="7"/>
  <c r="AD34" i="7"/>
  <c r="AD19" i="7"/>
  <c r="R35" i="7"/>
  <c r="R21" i="7"/>
  <c r="V24" i="7"/>
  <c r="W35" i="7"/>
  <c r="W23" i="7"/>
  <c r="E34" i="7"/>
  <c r="H20" i="7"/>
  <c r="X34" i="7"/>
  <c r="L23" i="7"/>
  <c r="L24" i="7"/>
  <c r="AE23" i="7"/>
  <c r="I33" i="7"/>
  <c r="Y35" i="7"/>
  <c r="Y20" i="7"/>
  <c r="K23" i="7"/>
  <c r="K24" i="7"/>
  <c r="AB23" i="7"/>
  <c r="AB24" i="7"/>
  <c r="AC21" i="7"/>
  <c r="C20" i="7"/>
  <c r="M33" i="7"/>
  <c r="M35" i="7"/>
  <c r="U19" i="7"/>
  <c r="AD35" i="7"/>
  <c r="R23" i="7"/>
  <c r="R20" i="7"/>
  <c r="V33" i="7"/>
  <c r="F20" i="7"/>
  <c r="O24" i="7"/>
  <c r="W22" i="7"/>
  <c r="E33" i="7"/>
  <c r="E35" i="7"/>
  <c r="N20" i="7"/>
  <c r="H33" i="7"/>
  <c r="H24" i="7"/>
  <c r="P19" i="7"/>
  <c r="X35" i="7"/>
  <c r="L22" i="7"/>
  <c r="AE24" i="7"/>
  <c r="AE19" i="7"/>
  <c r="I22" i="7"/>
  <c r="Y22" i="7"/>
  <c r="Y21" i="7"/>
  <c r="J35" i="7"/>
  <c r="J22" i="7"/>
  <c r="AC19" i="7"/>
  <c r="C21" i="7"/>
  <c r="M22" i="7"/>
  <c r="U34" i="7"/>
  <c r="AD22" i="7"/>
  <c r="AD33" i="7"/>
  <c r="R22" i="7"/>
  <c r="V21" i="7"/>
  <c r="F24" i="7"/>
  <c r="F33" i="7"/>
  <c r="E20" i="7"/>
  <c r="N24" i="7"/>
  <c r="N33" i="7"/>
  <c r="H19" i="7"/>
  <c r="P20" i="7"/>
  <c r="X22" i="7"/>
  <c r="L20" i="7"/>
  <c r="Q19" i="7"/>
  <c r="Y23" i="7"/>
  <c r="AA33" i="7"/>
  <c r="AA34" i="7"/>
  <c r="AA19" i="7"/>
  <c r="J23" i="7"/>
  <c r="J21" i="7"/>
  <c r="AC20" i="7"/>
  <c r="M23" i="7"/>
  <c r="U33" i="7"/>
  <c r="U35" i="7"/>
  <c r="AD20" i="7"/>
  <c r="R24" i="7"/>
  <c r="F21" i="7"/>
  <c r="O19" i="7"/>
  <c r="W24" i="7"/>
  <c r="W19" i="7"/>
  <c r="E21" i="7"/>
  <c r="N23" i="7"/>
  <c r="H22" i="7"/>
  <c r="P33" i="7"/>
  <c r="P22" i="7"/>
  <c r="X23" i="7"/>
  <c r="AE20" i="7"/>
  <c r="I35" i="7"/>
  <c r="I20" i="7"/>
  <c r="Q33" i="7"/>
  <c r="Q34" i="7"/>
  <c r="T33" i="7"/>
  <c r="T34" i="7"/>
  <c r="T35" i="7"/>
  <c r="AC34" i="7"/>
  <c r="C33" i="7"/>
  <c r="C34" i="7"/>
  <c r="C19" i="7"/>
  <c r="M24" i="7"/>
  <c r="M21" i="7"/>
  <c r="U22" i="7"/>
  <c r="AD24" i="7"/>
  <c r="AD21" i="7"/>
  <c r="V34" i="7"/>
  <c r="V19" i="7"/>
  <c r="F23" i="7"/>
  <c r="O33" i="7"/>
  <c r="W20" i="7"/>
  <c r="E24" i="7"/>
  <c r="E19" i="7"/>
  <c r="N21" i="7"/>
  <c r="H34" i="7"/>
  <c r="H35" i="7"/>
  <c r="P24" i="7"/>
  <c r="X24" i="7"/>
  <c r="X21" i="7"/>
  <c r="L33" i="7"/>
  <c r="L34" i="7"/>
  <c r="L35" i="7"/>
  <c r="AE33" i="7"/>
  <c r="I23" i="7"/>
  <c r="I34" i="7"/>
  <c r="K33" i="7"/>
  <c r="K34" i="7"/>
  <c r="S22" i="7"/>
  <c r="AB33" i="7"/>
  <c r="AB34" i="7"/>
  <c r="AB20" i="7"/>
  <c r="AC35" i="7"/>
  <c r="R34" i="7"/>
  <c r="O34" i="7"/>
  <c r="I21" i="7"/>
  <c r="AA21" i="7"/>
  <c r="S19" i="7"/>
  <c r="AB19" i="7"/>
  <c r="S23" i="7"/>
  <c r="E23" i="7"/>
  <c r="L19" i="7"/>
  <c r="Q35" i="7"/>
  <c r="AA22" i="7"/>
  <c r="K22" i="7"/>
  <c r="S34" i="7"/>
  <c r="J20" i="7"/>
  <c r="U23" i="7"/>
  <c r="O20" i="7"/>
  <c r="AE34" i="7"/>
  <c r="K20" i="7"/>
  <c r="AB21" i="7"/>
  <c r="V35" i="7"/>
  <c r="P21" i="7"/>
  <c r="Q24" i="7"/>
  <c r="K21" i="7"/>
  <c r="S33" i="7"/>
  <c r="AB22" i="7"/>
  <c r="C22" i="7"/>
  <c r="Q21" i="7"/>
  <c r="K35" i="7"/>
  <c r="K19" i="7"/>
  <c r="S24" i="7"/>
  <c r="T20" i="7"/>
  <c r="Y24" i="7"/>
  <c r="Y34" i="7"/>
  <c r="S20" i="7"/>
  <c r="AC33" i="7"/>
  <c r="X19" i="7"/>
  <c r="R33" i="7"/>
  <c r="H23" i="7"/>
  <c r="AA35" i="7"/>
  <c r="AA20" i="7"/>
  <c r="S35" i="7"/>
  <c r="S21" i="7"/>
  <c r="AB35" i="7"/>
  <c r="D35" i="7"/>
  <c r="D34" i="7"/>
  <c r="D33" i="7"/>
  <c r="G23" i="7"/>
  <c r="B20" i="7"/>
  <c r="K18" i="8" l="1"/>
  <c r="K32" i="8"/>
  <c r="J24" i="8"/>
  <c r="K31" i="8"/>
  <c r="J32" i="8"/>
  <c r="K6" i="10"/>
  <c r="G6" i="10"/>
  <c r="L6" i="10"/>
  <c r="K16" i="8"/>
  <c r="K27" i="8"/>
  <c r="J16" i="8"/>
  <c r="J27" i="8"/>
  <c r="K19" i="8"/>
  <c r="C6" i="8"/>
  <c r="C38" i="8" s="1"/>
  <c r="B6" i="8"/>
  <c r="J19" i="8"/>
  <c r="J35" i="8"/>
  <c r="K35" i="8"/>
  <c r="P7" i="10"/>
  <c r="Q7" i="10"/>
  <c r="P6" i="10"/>
  <c r="O6" i="10"/>
  <c r="R6" i="10"/>
  <c r="Q6" i="10"/>
  <c r="O7" i="10"/>
  <c r="M6" i="10"/>
  <c r="D6" i="10"/>
  <c r="J6" i="10"/>
  <c r="H6" i="10"/>
  <c r="I6" i="10"/>
  <c r="F6" i="10"/>
  <c r="E6" i="10"/>
  <c r="C6" i="10"/>
  <c r="K20" i="8"/>
  <c r="J28" i="8"/>
  <c r="J20" i="8"/>
  <c r="J21" i="8"/>
  <c r="K28" i="8"/>
  <c r="K21" i="8"/>
  <c r="K29" i="8"/>
  <c r="J29" i="8"/>
  <c r="J25" i="8"/>
  <c r="J33" i="8"/>
  <c r="G6" i="8"/>
  <c r="G37" i="8" s="1"/>
  <c r="H6" i="8"/>
  <c r="H38" i="8" s="1"/>
  <c r="F6" i="8"/>
  <c r="F38" i="8" s="1"/>
  <c r="E6" i="8"/>
  <c r="E38" i="8" s="1"/>
  <c r="D6" i="8"/>
  <c r="D37" i="8" s="1"/>
  <c r="I6" i="8"/>
  <c r="I37" i="8" s="1"/>
  <c r="J17" i="8"/>
  <c r="I6" i="1"/>
  <c r="G6" i="1"/>
  <c r="F6" i="1"/>
  <c r="K6" i="1"/>
  <c r="J6" i="1"/>
  <c r="H6" i="1"/>
  <c r="E6" i="1"/>
  <c r="B6" i="1"/>
  <c r="C6" i="1"/>
  <c r="D6" i="1"/>
  <c r="K8" i="8"/>
  <c r="J31" i="8"/>
  <c r="J8" i="8"/>
  <c r="K17" i="8"/>
  <c r="K25" i="8"/>
  <c r="K33" i="8"/>
  <c r="J23" i="8"/>
  <c r="K15" i="8"/>
  <c r="J15" i="8"/>
  <c r="K23" i="8"/>
  <c r="J9" i="8"/>
  <c r="K9" i="8"/>
  <c r="B6" i="10"/>
  <c r="F37" i="8" l="1"/>
  <c r="F39" i="8" s="1"/>
  <c r="I38" i="8"/>
  <c r="I39" i="8" s="1"/>
  <c r="G38" i="8"/>
  <c r="G39" i="8" s="1"/>
  <c r="D38" i="8"/>
  <c r="D39" i="8" s="1"/>
  <c r="H37" i="8"/>
  <c r="H39" i="8" s="1"/>
  <c r="E37" i="8"/>
  <c r="E39" i="8" s="1"/>
  <c r="C37" i="8"/>
  <c r="C39" i="8" s="1"/>
  <c r="J6" i="8"/>
  <c r="J37" i="8" s="1"/>
  <c r="K6" i="8"/>
  <c r="K38" i="8" s="1"/>
  <c r="J38" i="8" l="1"/>
  <c r="J39" i="8" s="1"/>
  <c r="K37" i="8"/>
  <c r="K39" i="8" s="1"/>
  <c r="B80" i="7" l="1"/>
</calcChain>
</file>

<file path=xl/sharedStrings.xml><?xml version="1.0" encoding="utf-8"?>
<sst xmlns="http://schemas.openxmlformats.org/spreadsheetml/2006/main" count="1976" uniqueCount="505">
  <si>
    <t>CHARMS &amp; PROBAST template</t>
  </si>
  <si>
    <t>Information:</t>
  </si>
  <si>
    <t xml:space="preserve">This Excel document is a template for data extraction and critical appraisal of a systematic review of clinical prediction model development and/or validation studies. </t>
  </si>
  <si>
    <r>
      <t xml:space="preserve">
</t>
    </r>
    <r>
      <rPr>
        <b/>
        <sz val="12"/>
        <color theme="1"/>
        <rFont val="Calibri"/>
        <family val="2"/>
        <scheme val="minor"/>
      </rPr>
      <t xml:space="preserve">Templates designed by: </t>
    </r>
    <r>
      <rPr>
        <sz val="12"/>
        <color theme="1"/>
        <rFont val="Calibri"/>
        <family val="2"/>
        <scheme val="minor"/>
      </rPr>
      <t xml:space="preserve">
</t>
    </r>
    <r>
      <rPr>
        <sz val="11"/>
        <color theme="1"/>
        <rFont val="Calibri"/>
        <family val="2"/>
        <scheme val="minor"/>
      </rPr>
      <t xml:space="preserve">Fernandez-Felix BM </t>
    </r>
    <r>
      <rPr>
        <vertAlign val="superscript"/>
        <sz val="11"/>
        <color theme="1"/>
        <rFont val="Calibri"/>
        <family val="2"/>
        <scheme val="minor"/>
      </rPr>
      <t>1,2</t>
    </r>
    <r>
      <rPr>
        <sz val="11"/>
        <color theme="1"/>
        <rFont val="Calibri"/>
        <family val="2"/>
        <scheme val="minor"/>
      </rPr>
      <t xml:space="preserve"> </t>
    </r>
    <r>
      <rPr>
        <sz val="12"/>
        <color theme="1"/>
        <rFont val="Calibri"/>
        <family val="2"/>
        <scheme val="minor"/>
      </rPr>
      <t xml:space="preserve">
</t>
    </r>
    <r>
      <rPr>
        <b/>
        <sz val="12"/>
        <color theme="1"/>
        <rFont val="Calibri"/>
        <family val="2"/>
        <scheme val="minor"/>
      </rPr>
      <t xml:space="preserve">Affiliations: </t>
    </r>
    <r>
      <rPr>
        <sz val="12"/>
        <color theme="1"/>
        <rFont val="Calibri"/>
        <family val="2"/>
        <scheme val="minor"/>
      </rPr>
      <t xml:space="preserve">
</t>
    </r>
    <r>
      <rPr>
        <vertAlign val="superscript"/>
        <sz val="11"/>
        <color theme="1"/>
        <rFont val="Calibri"/>
        <family val="2"/>
        <scheme val="minor"/>
      </rPr>
      <t>1</t>
    </r>
    <r>
      <rPr>
        <sz val="11"/>
        <color theme="1"/>
        <rFont val="Calibri"/>
        <family val="2"/>
        <scheme val="minor"/>
      </rPr>
      <t xml:space="preserve"> Clinical Biostatistics Unit, Hospital Universitario Ramón y Cajal, IRYCIS, Madrid, Spain. 
</t>
    </r>
    <r>
      <rPr>
        <vertAlign val="superscript"/>
        <sz val="11"/>
        <color theme="1"/>
        <rFont val="Calibri"/>
        <family val="2"/>
        <scheme val="minor"/>
      </rPr>
      <t>2</t>
    </r>
    <r>
      <rPr>
        <sz val="11"/>
        <color theme="1"/>
        <rFont val="Calibri"/>
        <family val="2"/>
        <scheme val="minor"/>
      </rPr>
      <t xml:space="preserve"> CIBER de Epidemiología y Salud Pública (CIBERESP), Madrid, Spain.
</t>
    </r>
    <r>
      <rPr>
        <b/>
        <sz val="12"/>
        <color theme="1"/>
        <rFont val="Calibri"/>
        <family val="2"/>
        <scheme val="minor"/>
      </rPr>
      <t xml:space="preserve"> Contact: </t>
    </r>
    <r>
      <rPr>
        <sz val="12"/>
        <color theme="1"/>
        <rFont val="Calibri"/>
        <family val="2"/>
        <scheme val="minor"/>
      </rPr>
      <t xml:space="preserve">
</t>
    </r>
    <r>
      <rPr>
        <b/>
        <sz val="12"/>
        <color rgb="FF0070C0"/>
        <rFont val="Calibri"/>
        <family val="2"/>
        <scheme val="minor"/>
      </rPr>
      <t xml:space="preserve">borjamanuel.fernandez@salud.madrid.org </t>
    </r>
    <r>
      <rPr>
        <b/>
        <sz val="11"/>
        <color rgb="FF0070C0"/>
        <rFont val="Calibri"/>
        <family val="2"/>
        <scheme val="minor"/>
      </rPr>
      <t xml:space="preserve">
</t>
    </r>
  </si>
  <si>
    <t>Contents:</t>
  </si>
  <si>
    <t>Instructions for use:</t>
  </si>
  <si>
    <t>To begin data extraction (CHARMS) and risk of bias and applicability evaluation (PROBAST) of each model included in the systematic review, check in "new model" on the SUMMARY sheet. Complete the basic study information. The template can be used to evaluate up to 30 models.
Go to:</t>
  </si>
  <si>
    <r>
      <t xml:space="preserve">
</t>
    </r>
    <r>
      <rPr>
        <b/>
        <sz val="11"/>
        <color theme="4" tint="-0.499984740745262"/>
        <rFont val="Calibri"/>
        <family val="2"/>
        <scheme val="minor"/>
      </rPr>
      <t xml:space="preserve">CHARMS </t>
    </r>
    <r>
      <rPr>
        <sz val="11"/>
        <color theme="4" tint="-0.499984740745262"/>
        <rFont val="Calibri"/>
        <family val="2"/>
        <scheme val="minor"/>
      </rPr>
      <t>(Adapted from Moons K. 2014)</t>
    </r>
    <r>
      <rPr>
        <sz val="11"/>
        <color theme="1"/>
        <rFont val="Calibri"/>
        <family val="2"/>
        <scheme val="minor"/>
      </rPr>
      <t xml:space="preserve">
Complete the data extraction for each predictive model included in the systematic review. You should fill in the cells shaded in yellow. Fill in the cell with "No Information" (NI) when the information in the study report is not available. In the case of blank cells, the status of the data extraction form will be incomplete ⚠️. When all domains in the form are filled out, the data extraction will be complete ✅.
Go to:</t>
    </r>
  </si>
  <si>
    <r>
      <t xml:space="preserve">
</t>
    </r>
    <r>
      <rPr>
        <b/>
        <sz val="11"/>
        <color theme="4" tint="-0.499984740745262"/>
        <rFont val="Calibri"/>
        <family val="2"/>
        <scheme val="minor"/>
      </rPr>
      <t>PROBAST</t>
    </r>
    <r>
      <rPr>
        <sz val="11"/>
        <color theme="4" tint="-0.499984740745262"/>
        <rFont val="Calibri"/>
        <family val="2"/>
        <scheme val="minor"/>
      </rPr>
      <t xml:space="preserve"> (Adapted from Wolff RF. 2019)</t>
    </r>
    <r>
      <rPr>
        <sz val="11"/>
        <color theme="1"/>
        <rFont val="Calibri"/>
        <family val="2"/>
        <scheme val="minor"/>
      </rPr>
      <t xml:space="preserve">
Complete the risk of bias assessment and applicability for each model included in the systematic review. You should answer signalling questions shaded in yellow for each key domain (Participant, Predictor, Outcome and Analysis) as "Yes", "Probably yes", "Probably no", "No" or "No information". For each domain, once all signalling questions are answered, RoB and applicability assessment cells will become unblocked. Any signally question rated as "No" or "Probably no" flags the potential for bias; You will need to use your judgement to determine whether the domain should be rated as "High", "Low" or "Unclear" risk of bias, and rated for concern regarding applicability "High", "Low" or "Unclear" to your review question. When RoB assessment and applicability were rated for all domains in the form, the PROBAST assessment will be complete ✅.
Go to:</t>
    </r>
  </si>
  <si>
    <t>Summary information:</t>
  </si>
  <si>
    <t>Incomplete</t>
  </si>
  <si>
    <t>Complete</t>
  </si>
  <si>
    <t>Models included for data extraction and RoB assessment:</t>
  </si>
  <si>
    <t>New model</t>
  </si>
  <si>
    <t>No model</t>
  </si>
  <si>
    <t>Author</t>
  </si>
  <si>
    <t>Publication year</t>
  </si>
  <si>
    <t>Publication identifier (Title/PMID/DOI)</t>
  </si>
  <si>
    <t>Publication journal</t>
  </si>
  <si>
    <t>Model name</t>
  </si>
  <si>
    <t>Identifier</t>
  </si>
  <si>
    <t>CHARMS</t>
  </si>
  <si>
    <t>PROBAST</t>
  </si>
  <si>
    <t>CHARMS checklist</t>
  </si>
  <si>
    <t>CHARMS checklist. Relevant items to extract from individual studies for purposes of description and assessment of risk of bias and applicability. (Adapted from Moons KG. 2014)</t>
  </si>
  <si>
    <t>Gen</t>
  </si>
  <si>
    <t>App</t>
  </si>
  <si>
    <t>RoB</t>
  </si>
  <si>
    <t>Domain/ Key items</t>
  </si>
  <si>
    <t>Model 3</t>
  </si>
  <si>
    <t>Model 4</t>
  </si>
  <si>
    <t>0. Study information</t>
  </si>
  <si>
    <t>X</t>
  </si>
  <si>
    <t>0.1 Author</t>
  </si>
  <si>
    <t>0.2 Publication year</t>
  </si>
  <si>
    <t>0.3 Publication identifier (Title/PMID/DOI)</t>
  </si>
  <si>
    <t>0.4 Publication journal</t>
  </si>
  <si>
    <t>0.5 Model name</t>
  </si>
  <si>
    <t>1. Source of data</t>
  </si>
  <si>
    <t>1.1 Source of data</t>
  </si>
  <si>
    <t>Existing registry</t>
  </si>
  <si>
    <t>Retrospective cohort</t>
  </si>
  <si>
    <t>2. Participants</t>
  </si>
  <si>
    <t>x</t>
  </si>
  <si>
    <t>2.1 Recruitment method</t>
  </si>
  <si>
    <t>Prospective recruitment</t>
  </si>
  <si>
    <t>No information</t>
  </si>
  <si>
    <t>2.2 Recruitment dates</t>
  </si>
  <si>
    <t>2.3 Study setting</t>
  </si>
  <si>
    <t>2.4 Study sites (Regions)</t>
  </si>
  <si>
    <t>2.5 Study sites (Number of centers)</t>
  </si>
  <si>
    <t>Unclear</t>
  </si>
  <si>
    <t>2.6 Criteria inclusion</t>
  </si>
  <si>
    <t>2.7 Criteria exclusion</t>
  </si>
  <si>
    <t>2.8 Participant description</t>
  </si>
  <si>
    <t>Characteristics</t>
  </si>
  <si>
    <t>Values</t>
  </si>
  <si>
    <t>Measures</t>
  </si>
  <si>
    <t>Age of participants</t>
  </si>
  <si>
    <t>Median (IQR)</t>
  </si>
  <si>
    <t>Mean (sd)</t>
  </si>
  <si>
    <t>n (%)</t>
  </si>
  <si>
    <t>Other</t>
  </si>
  <si>
    <t>3. Outcome to be predicted</t>
  </si>
  <si>
    <t>3.1 Outcome</t>
  </si>
  <si>
    <t>3.2 Outcome definition</t>
  </si>
  <si>
    <t>3.3 Same outcome definition for all participants</t>
  </si>
  <si>
    <t>Yes</t>
  </si>
  <si>
    <t>3.4 Type of outcome</t>
  </si>
  <si>
    <t>Single</t>
  </si>
  <si>
    <t>3.5 Was the outcome assessed without knowledge of the predictors?</t>
  </si>
  <si>
    <t>3.6 Were candidate predictors part of outcome?</t>
  </si>
  <si>
    <t>No</t>
  </si>
  <si>
    <t>3.7 Time of outcome ocurrence</t>
  </si>
  <si>
    <t>4. Candidate predictors</t>
  </si>
  <si>
    <t>4.1 Number of candidate predictors (or parameters) assessed</t>
  </si>
  <si>
    <t>4.2 Type of predictors</t>
  </si>
  <si>
    <t>4.3 Timing of predictors measurement</t>
  </si>
  <si>
    <t>4.4 Predictors definition and measurement similar for all participants</t>
  </si>
  <si>
    <t>4.5 Were predictors assessed blinded for outcome?</t>
  </si>
  <si>
    <t>4.6 Handling of continuous predictors</t>
  </si>
  <si>
    <t>5. Sample size</t>
  </si>
  <si>
    <t>5.1 Number of participants</t>
  </si>
  <si>
    <t>5.2 Number of outcomes/events</t>
  </si>
  <si>
    <t>5.3 Number events per variable (EPV) or per parameter (EPP)</t>
  </si>
  <si>
    <t>6. Missing data</t>
  </si>
  <si>
    <t>6.1 Number of participants with any missing value</t>
  </si>
  <si>
    <t>6.2 Handling of missing data</t>
  </si>
  <si>
    <t>Complete-case analysis</t>
  </si>
  <si>
    <t>7. Model development</t>
  </si>
  <si>
    <t>7.1 Modelling method</t>
  </si>
  <si>
    <t>Logistic regression</t>
  </si>
  <si>
    <t xml:space="preserve">7.2 Method for selection of candidate predictors </t>
  </si>
  <si>
    <t>Based on univariable associations</t>
  </si>
  <si>
    <t>Based on univariable associations and clinical relevance</t>
  </si>
  <si>
    <t>Based on prior knowledge</t>
  </si>
  <si>
    <t>7.3 Method for selection of predictors during multivariable modelling</t>
  </si>
  <si>
    <t>Stepwise selection</t>
  </si>
  <si>
    <t>Backward elimination</t>
  </si>
  <si>
    <t>Bootstrap selection</t>
  </si>
  <si>
    <t>7.4 Shrinkage of predictor weights or regression coefficients</t>
  </si>
  <si>
    <t>8. Model performance</t>
  </si>
  <si>
    <t>8.1 Calibration measures</t>
  </si>
  <si>
    <t>8.1.1 Calibration plot</t>
  </si>
  <si>
    <t>8.1.2 Calibration slope</t>
  </si>
  <si>
    <t>value (95% CI):</t>
  </si>
  <si>
    <t>8.1.3 Calibration-in-the-large (CITL)</t>
  </si>
  <si>
    <t>8.1.4 Hosmer-Lemeshow test</t>
  </si>
  <si>
    <t>8.1.5 Other</t>
  </si>
  <si>
    <t>Specify:</t>
  </si>
  <si>
    <t>8.2 Discrimination measures</t>
  </si>
  <si>
    <t>8.2.1 C-Statistic</t>
  </si>
  <si>
    <t>8.2.2 D-Statistic</t>
  </si>
  <si>
    <t>8.2.3 AUC graph</t>
  </si>
  <si>
    <t>8.2.4 Log-rank test (if survival analysis)</t>
  </si>
  <si>
    <t>Not applicable</t>
  </si>
  <si>
    <t>8.2.5 Risk group curves (if survival analysis)</t>
  </si>
  <si>
    <t>8.2.6 Other</t>
  </si>
  <si>
    <t>8.3 Overall measures</t>
  </si>
  <si>
    <r>
      <t>8.3.1 R-squared (e.g. Cox-Snell R</t>
    </r>
    <r>
      <rPr>
        <vertAlign val="superscript"/>
        <sz val="10"/>
        <color theme="1"/>
        <rFont val="Calibri"/>
        <family val="2"/>
        <scheme val="minor"/>
      </rPr>
      <t>2</t>
    </r>
    <r>
      <rPr>
        <sz val="10"/>
        <color theme="1"/>
        <rFont val="Calibri"/>
        <family val="2"/>
        <scheme val="minor"/>
      </rPr>
      <t>, Nagelkerke's R</t>
    </r>
    <r>
      <rPr>
        <vertAlign val="superscript"/>
        <sz val="10"/>
        <color theme="1"/>
        <rFont val="Calibri"/>
        <family val="2"/>
        <scheme val="minor"/>
      </rPr>
      <t>2</t>
    </r>
    <r>
      <rPr>
        <sz val="10"/>
        <color theme="1"/>
        <rFont val="Calibri"/>
        <family val="2"/>
        <scheme val="minor"/>
      </rPr>
      <t>,..)</t>
    </r>
  </si>
  <si>
    <t xml:space="preserve">8.3.2 Brier score </t>
  </si>
  <si>
    <t xml:space="preserve">8.3.3 Other </t>
  </si>
  <si>
    <t>8.4 Clinical utility</t>
  </si>
  <si>
    <t>8.4.1 Decision Curve Analysis (DCA)</t>
  </si>
  <si>
    <t>8.4.2 Other</t>
  </si>
  <si>
    <t>9. Model evaluation</t>
  </si>
  <si>
    <t>9.1 Method used for testing model performance</t>
  </si>
  <si>
    <t>9.1.1 Internal validation</t>
  </si>
  <si>
    <t>Random split data</t>
  </si>
  <si>
    <t>None (Apparent performance)</t>
  </si>
  <si>
    <t>Bootstrap</t>
  </si>
  <si>
    <t>9.1.2 External validation</t>
  </si>
  <si>
    <t>None</t>
  </si>
  <si>
    <t>Geographical</t>
  </si>
  <si>
    <t>9.2 In case of poor validation, whether model was adjusted or updated</t>
  </si>
  <si>
    <t>10. Results</t>
  </si>
  <si>
    <t>10.1 Number of predictors (or parameters) included in final model</t>
  </si>
  <si>
    <t>10.2 Final model included predictor weights or regression coefficients</t>
  </si>
  <si>
    <t>Regression coefficients</t>
  </si>
  <si>
    <t>Predictor weights</t>
  </si>
  <si>
    <t>10.3 Final model included intercept (or baseline survival)</t>
  </si>
  <si>
    <t>10.4 Alternative presentation of the final prediction models</t>
  </si>
  <si>
    <t>Score system</t>
  </si>
  <si>
    <t>Nomogram</t>
  </si>
  <si>
    <t>11. Interpretation</t>
  </si>
  <si>
    <t>11.1 Interpretation of presented model</t>
  </si>
  <si>
    <t>12. Observations</t>
  </si>
  <si>
    <t xml:space="preserve">12.1 Data extraction process </t>
  </si>
  <si>
    <t>12.2 Additional information</t>
  </si>
  <si>
    <r>
      <t xml:space="preserve">Abbreviation: </t>
    </r>
    <r>
      <rPr>
        <i/>
        <sz val="11"/>
        <color theme="1"/>
        <rFont val="Calibri"/>
        <family val="2"/>
        <scheme val="minor"/>
      </rPr>
      <t>Gen: General description; App: Applicability; RoB: Risk of Bias</t>
    </r>
  </si>
  <si>
    <t>PROBAST checklist</t>
  </si>
  <si>
    <t>PROBAST. Prediction model study Risk Of Bias Assessment Tool</t>
  </si>
  <si>
    <t>Domain/ Key questions</t>
  </si>
  <si>
    <t>1. Participants</t>
  </si>
  <si>
    <t>1.1 Were appropriate data sources used?</t>
  </si>
  <si>
    <t>Probably Yes</t>
  </si>
  <si>
    <t>1.2 Were all inclusions and exclusions of participants appropriate?</t>
  </si>
  <si>
    <t>Probably No</t>
  </si>
  <si>
    <t>No Information</t>
  </si>
  <si>
    <t>Risk of bias introduced by selection of participants</t>
  </si>
  <si>
    <t>High RoB</t>
  </si>
  <si>
    <t>Low RoB</t>
  </si>
  <si>
    <t>Applicability</t>
  </si>
  <si>
    <t>Low concern</t>
  </si>
  <si>
    <t>High concern</t>
  </si>
  <si>
    <t>Relevant information extracted from CHARMS:</t>
  </si>
  <si>
    <t>Source of data</t>
  </si>
  <si>
    <t>Recruitment methods</t>
  </si>
  <si>
    <t>Recruitment dates</t>
  </si>
  <si>
    <t>Study setting</t>
  </si>
  <si>
    <t>Inclusion criteria</t>
  </si>
  <si>
    <t>Exclusion criteria</t>
  </si>
  <si>
    <t>Rationale of bias and applicability rating:</t>
  </si>
  <si>
    <t>2. Predictors</t>
  </si>
  <si>
    <t>2.1 Were predictors defined and assessed in a similar way for all participants?</t>
  </si>
  <si>
    <t>2.2 Were predictor assessments made without knowledge of outcome data?</t>
  </si>
  <si>
    <t>2.3 Are all predictors available at the time the model is intended to be used?</t>
  </si>
  <si>
    <t>Risk of bias introduced by predictors or their assessment</t>
  </si>
  <si>
    <t>Predictors definition and measurement similar for all participants</t>
  </si>
  <si>
    <t>Were predictors assessed blinded for outcome?</t>
  </si>
  <si>
    <t>Timing of predictors measurement</t>
  </si>
  <si>
    <t>Databases were not homogeneous, but authors did an effort to homogenize it, we did not penalized the RoB. Systolic pulmonary artery pressure predictor could be hard to recovery.</t>
  </si>
  <si>
    <t>Databases were not homogeneous, but authors did an effort to homogenize it, we did not penalized the RoB.</t>
  </si>
  <si>
    <t>3. Outcome</t>
  </si>
  <si>
    <t>3.1 Was the outcome determined appropriately?</t>
  </si>
  <si>
    <t>3.2 Was a pre-specified or standard outcome definition used?</t>
  </si>
  <si>
    <t>3.3 Were predictors excluded from the outcome definition?</t>
  </si>
  <si>
    <t>3.4 Was the outcome defined and determined in a similar way for all participants?</t>
  </si>
  <si>
    <t>3.5 Was the outcome determined without knowledge of predictor information?</t>
  </si>
  <si>
    <t>3.6 Was the time interval between predictor assessment and outcome determination appropriate?</t>
  </si>
  <si>
    <t>Risk of bias introduced by the outcome or its determination</t>
  </si>
  <si>
    <t>Outcome definition</t>
  </si>
  <si>
    <t>Same outcome definition for all participants</t>
  </si>
  <si>
    <t>Was the outcome assessed without knowledge of the predictors</t>
  </si>
  <si>
    <t>Were candidate predictors part of outcome?</t>
  </si>
  <si>
    <t>Time of outcome ocurrence</t>
  </si>
  <si>
    <t>4. Analysis</t>
  </si>
  <si>
    <t>4.1 Were there a reasonable number of participants with the outcome?</t>
  </si>
  <si>
    <t>4.2 Were continuous and categorical predictors handled appropriately?</t>
  </si>
  <si>
    <t>4.3 Were all enrolled participants included in the analysis?</t>
  </si>
  <si>
    <t>4.4 Were participants with missing data handled appropriately?</t>
  </si>
  <si>
    <t>4.5 Was selection of predictors based on univariable analysis avoided?</t>
  </si>
  <si>
    <t>4.6 Were complexities in the data accounted for appropriately?</t>
  </si>
  <si>
    <t>4.7 Were relevant model performance measures evaluated appropriately?</t>
  </si>
  <si>
    <t>4.8 Were model overfitting and optimism in model performance accounted for?</t>
  </si>
  <si>
    <t>4.9 Do predictors and their assigned weights in the final model correspond to the results from multivariable analysis?</t>
  </si>
  <si>
    <t>Risk of bias introduced by the analysis</t>
  </si>
  <si>
    <t>Outcome frecuency</t>
  </si>
  <si>
    <t>Event per variable (EPV) or per parameter (EPP)</t>
  </si>
  <si>
    <t>Handling of continuous predictors</t>
  </si>
  <si>
    <t>Number of participants with any missing value</t>
  </si>
  <si>
    <t>Handling of missing data</t>
  </si>
  <si>
    <t>Method for selection of candidate predictors</t>
  </si>
  <si>
    <t>Validation method</t>
  </si>
  <si>
    <t>Performance measures</t>
  </si>
  <si>
    <t>Shrinkage of predictor weights or regression coefficients</t>
  </si>
  <si>
    <t>EPP was slightly lower than required but were not univariable selection and model performance was optimism adjusted by bootstrap validation. The complete data analysis were not worrying because only 4 (0.5%) patients were excluded. We did not penalized RoB.</t>
  </si>
  <si>
    <r>
      <rPr>
        <b/>
        <sz val="11"/>
        <color theme="1"/>
        <rFont val="Calibri Light"/>
        <family val="2"/>
        <scheme val="major"/>
      </rPr>
      <t>Table 1.</t>
    </r>
    <r>
      <rPr>
        <sz val="11"/>
        <color theme="1"/>
        <rFont val="Calibri Light"/>
        <family val="2"/>
        <scheme val="major"/>
      </rPr>
      <t xml:space="preserve"> Characteristics of the studies included in the systematic review.</t>
    </r>
  </si>
  <si>
    <t>Author, Year</t>
  </si>
  <si>
    <t>Study design</t>
  </si>
  <si>
    <t>Enrolment period</t>
  </si>
  <si>
    <t>Study region</t>
  </si>
  <si>
    <t>Participant characteristics:</t>
  </si>
  <si>
    <r>
      <rPr>
        <b/>
        <sz val="11"/>
        <color theme="1"/>
        <rFont val="Calibri Light"/>
        <family val="2"/>
        <scheme val="major"/>
      </rPr>
      <t>Table 2.</t>
    </r>
    <r>
      <rPr>
        <sz val="11"/>
        <color theme="1"/>
        <rFont val="Calibri Light"/>
        <family val="2"/>
        <scheme val="major"/>
      </rPr>
      <t xml:space="preserve"> Characteristics of the models included in the systematic review and critical appraisal for risk of bias and applicability.</t>
    </r>
  </si>
  <si>
    <t>Modelling method</t>
  </si>
  <si>
    <t>Sample size</t>
  </si>
  <si>
    <t>Events</t>
  </si>
  <si>
    <t>No predictors</t>
  </si>
  <si>
    <t>EPV or EPP</t>
  </si>
  <si>
    <t xml:space="preserve">Selection of candidate predictors </t>
  </si>
  <si>
    <t>Selection of final predictors</t>
  </si>
  <si>
    <t>Number (%) and handling of missng data</t>
  </si>
  <si>
    <t>Type of validation</t>
  </si>
  <si>
    <t>Critical appraisal (PROBAST)</t>
  </si>
  <si>
    <t>Cand.</t>
  </si>
  <si>
    <t>Final</t>
  </si>
  <si>
    <t>P</t>
  </si>
  <si>
    <t>Pr</t>
  </si>
  <si>
    <t>O</t>
  </si>
  <si>
    <t>A</t>
  </si>
  <si>
    <r>
      <t xml:space="preserve">Table 3. </t>
    </r>
    <r>
      <rPr>
        <sz val="11"/>
        <color theme="1"/>
        <rFont val="Calibri Light"/>
        <family val="2"/>
        <scheme val="major"/>
      </rPr>
      <t>Risk of bias and applicability assessment</t>
    </r>
  </si>
  <si>
    <t>Risk of Bias</t>
  </si>
  <si>
    <t xml:space="preserve">Overall </t>
  </si>
  <si>
    <t xml:space="preserve"> 1. Participants</t>
  </si>
  <si>
    <t xml:space="preserve"> 2. Predictors</t>
  </si>
  <si>
    <t xml:space="preserve"> 3. Outcome</t>
  </si>
  <si>
    <t xml:space="preserve"> 4. Analysis</t>
  </si>
  <si>
    <t xml:space="preserve"> Risk of Bias</t>
  </si>
  <si>
    <t xml:space="preserve"> Applicability</t>
  </si>
  <si>
    <t>CHARMS sheet</t>
  </si>
  <si>
    <t>2.8 Participant description (Measures)</t>
  </si>
  <si>
    <t>7.2 Method for selection of candidate predictors</t>
  </si>
  <si>
    <t>Prospective cohort</t>
  </si>
  <si>
    <t>Mean</t>
  </si>
  <si>
    <t>All available predictors</t>
  </si>
  <si>
    <t>Pre-specified model (not selection)</t>
  </si>
  <si>
    <t>Combined</t>
  </si>
  <si>
    <t>Single imputation</t>
  </si>
  <si>
    <t>Multilevel logistic regression</t>
  </si>
  <si>
    <t>Temporal</t>
  </si>
  <si>
    <t>Sum score</t>
  </si>
  <si>
    <t>Case-control</t>
  </si>
  <si>
    <t>Median</t>
  </si>
  <si>
    <t>Multiple imputation</t>
  </si>
  <si>
    <t>Cox regression</t>
  </si>
  <si>
    <t>Forward selection</t>
  </si>
  <si>
    <t>Non-random split data</t>
  </si>
  <si>
    <t>Nested case-control</t>
  </si>
  <si>
    <t>Machine learning techniques</t>
  </si>
  <si>
    <t>Cross-validation</t>
  </si>
  <si>
    <t>Different setting</t>
  </si>
  <si>
    <t>Score chart</t>
  </si>
  <si>
    <t>Median (min-max)</t>
  </si>
  <si>
    <t>(Add field)</t>
  </si>
  <si>
    <t>Neural network</t>
  </si>
  <si>
    <t>LASSO selection</t>
  </si>
  <si>
    <t>Different investigator</t>
  </si>
  <si>
    <t>Randomized trial</t>
  </si>
  <si>
    <t>Ridge regression</t>
  </si>
  <si>
    <t>Completely independent</t>
  </si>
  <si>
    <t>On-line calculator</t>
  </si>
  <si>
    <t>Combined data (e.g. IPD of combination of cohorts)</t>
  </si>
  <si>
    <t>App calculator</t>
  </si>
  <si>
    <t>Aggregated data</t>
  </si>
  <si>
    <t>Drop-down lists for CHARMS</t>
  </si>
  <si>
    <r>
      <rPr>
        <b/>
        <sz val="11"/>
        <color theme="4" tint="-0.499984740745262"/>
        <rFont val="Calibri"/>
        <family val="2"/>
        <scheme val="minor"/>
      </rPr>
      <t xml:space="preserve">SUMMARY TABLES </t>
    </r>
    <r>
      <rPr>
        <sz val="11"/>
        <color theme="1"/>
        <rFont val="Calibri"/>
        <family val="2"/>
        <scheme val="minor"/>
      </rPr>
      <t xml:space="preserve">
The summary tables will be automatically generated based on the information in the CHARMS and PROBAST forms.
 - Study Characteristics.
 - Model Characteristics.
 - Risk of Bias summary (PROBAST).
Go to:</t>
    </r>
  </si>
  <si>
    <r>
      <rPr>
        <b/>
        <sz val="11"/>
        <color theme="4" tint="-0.499984740745262"/>
        <rFont val="Calibri"/>
        <family val="2"/>
        <scheme val="minor"/>
      </rPr>
      <t>- HOME:</t>
    </r>
    <r>
      <rPr>
        <sz val="11"/>
        <color theme="1"/>
        <rFont val="Calibri"/>
        <family val="2"/>
        <scheme val="minor"/>
      </rPr>
      <t xml:space="preserve"> A description of the material in the file and instructions on how to use it.
</t>
    </r>
    <r>
      <rPr>
        <b/>
        <sz val="11"/>
        <color theme="4" tint="-0.499984740745262"/>
        <rFont val="Calibri"/>
        <family val="2"/>
        <scheme val="minor"/>
      </rPr>
      <t>- SUMMARY:</t>
    </r>
    <r>
      <rPr>
        <sz val="11"/>
        <color theme="1"/>
        <rFont val="Calibri"/>
        <family val="2"/>
        <scheme val="minor"/>
      </rPr>
      <t xml:space="preserve"> Table summarizing the status of the data extraction process and the assessment of bias and applicability.
</t>
    </r>
    <r>
      <rPr>
        <b/>
        <sz val="11"/>
        <color theme="4" tint="-0.499984740745262"/>
        <rFont val="Calibri"/>
        <family val="2"/>
        <scheme val="minor"/>
      </rPr>
      <t>- CHARMS:</t>
    </r>
    <r>
      <rPr>
        <sz val="11"/>
        <color theme="1"/>
        <rFont val="Calibri"/>
        <family val="2"/>
        <scheme val="minor"/>
      </rPr>
      <t xml:space="preserve"> Data extraction form
</t>
    </r>
    <r>
      <rPr>
        <b/>
        <sz val="11"/>
        <color theme="4" tint="-0.499984740745262"/>
        <rFont val="Calibri"/>
        <family val="2"/>
        <scheme val="minor"/>
      </rPr>
      <t>- PROBAST:</t>
    </r>
    <r>
      <rPr>
        <sz val="11"/>
        <color theme="1"/>
        <rFont val="Calibri"/>
        <family val="2"/>
        <scheme val="minor"/>
      </rPr>
      <t xml:space="preserve"> Risk of Bias and Applicability Assessment form
</t>
    </r>
    <r>
      <rPr>
        <b/>
        <sz val="11"/>
        <color theme="4" tint="-0.499984740745262"/>
        <rFont val="Calibri"/>
        <family val="2"/>
        <scheme val="minor"/>
      </rPr>
      <t>- TABLES:</t>
    </r>
    <r>
      <rPr>
        <sz val="11"/>
        <color theme="1"/>
        <rFont val="Calibri"/>
        <family val="2"/>
        <scheme val="minor"/>
      </rPr>
      <t xml:space="preserve"> A proposal tables containing information on study characteristics, models characteristics, and an overview of risk of bias assessment and applicability.</t>
    </r>
  </si>
  <si>
    <t>Matthew-David Ogbechie</t>
  </si>
  <si>
    <t>Predicting Treatment Interruption Among People Living With HIV in Nigeria: Machine Learning Approach</t>
  </si>
  <si>
    <t>JMIR AI</t>
  </si>
  <si>
    <t>Esra, Rachel</t>
  </si>
  <si>
    <t>Validation and Improvement of a Machine Learning Model to Predict Interruptions in Antiretroviral Treatment in South Africa</t>
  </si>
  <si>
    <t>JAIDS</t>
  </si>
  <si>
    <t xml:space="preserve">Stockman, Jeni </t>
  </si>
  <si>
    <t>Predictive analytics using machine learning to identify ART clients at health system level at greatest risk of treatment interruption in Mozambique and Nigeria</t>
  </si>
  <si>
    <t>Random Forest</t>
  </si>
  <si>
    <t>Arthi, Ramachandran</t>
  </si>
  <si>
    <t>Predictive Analytics for Retention in Care in an Urban HIV Clinic</t>
  </si>
  <si>
    <t>Scientific Reports</t>
  </si>
  <si>
    <t>Brian W. Pence</t>
  </si>
  <si>
    <t>Who will show? Predicting missed visits among patients in routine HIV primary care in the United States</t>
  </si>
  <si>
    <t xml:space="preserve">AIDS and Behaviour </t>
  </si>
  <si>
    <t>Mhairi, Maskew</t>
  </si>
  <si>
    <t>Applying machine learning and predictive modeling to retention and viral suppression in South African HIV treatment cohorts</t>
  </si>
  <si>
    <t>Retrospective recruitment</t>
  </si>
  <si>
    <t>January 2005 to February 2021</t>
  </si>
  <si>
    <t>Health facility</t>
  </si>
  <si>
    <t>Nigeria</t>
  </si>
  <si>
    <t>All patients aged 21-35 years, newly enrooled on ART and provided 30-day supply of ARVs at one of the SIDHAS-supported treatment facilities</t>
  </si>
  <si>
    <t>Participants transferred in from other facilities; participants enrrolled too recently to have an observed end point and date of next appointment after enrollment was missing.</t>
  </si>
  <si>
    <t>Female</t>
  </si>
  <si>
    <t>Male</t>
  </si>
  <si>
    <t>IIT</t>
  </si>
  <si>
    <t>91982 (67.3)</t>
  </si>
  <si>
    <t>44765 (32.7)</t>
  </si>
  <si>
    <t>56581(41.5)</t>
  </si>
  <si>
    <t>Interruption in Treatment (IIT)</t>
  </si>
  <si>
    <t>Individuals were defined as having IIT if they were provided a 30-day supply of antiretrovirals but did not return for a refill within 28 days of their scheduled follow-up visit date.</t>
  </si>
  <si>
    <t>At next appointment (28 - 30 days)</t>
  </si>
  <si>
    <t>Demographics (Age, gender, marital status), Clinic data (TB, pregnancy, breastfeeding status) and facility characteristics</t>
  </si>
  <si>
    <t>Collected during ART initiation and routine clinic visits</t>
  </si>
  <si>
    <t>36 (75%) health said tool was useful</t>
  </si>
  <si>
    <t>Multiple</t>
  </si>
  <si>
    <t>Knn Imputation</t>
  </si>
  <si>
    <t>Missing values excluded in analysis</t>
  </si>
  <si>
    <t>Feature selection using random forest</t>
  </si>
  <si>
    <t>Provider feedback</t>
  </si>
  <si>
    <t>Cross-validation and random split data</t>
  </si>
  <si>
    <t>The model was integrated into the HMIS system</t>
  </si>
  <si>
    <t>January 1, 2017 to March 31, 2020</t>
  </si>
  <si>
    <t>Public health faciliities</t>
  </si>
  <si>
    <t>Participants were the newly initiated on ART between January 2017 to October 2018 who had at least 18 months of observation before the study's end date of 31st March 2020.</t>
  </si>
  <si>
    <t>Patients who had transferred out to different facilities, patients who had died, pre-ART visits, patients with at least one missing or incorrectly captured visit</t>
  </si>
  <si>
    <t>33 (27-41)</t>
  </si>
  <si>
    <t>172170 (65)</t>
  </si>
  <si>
    <t>92707 (35)</t>
  </si>
  <si>
    <t>260467 (11.9)</t>
  </si>
  <si>
    <t>interruption in treatment (IIT)</t>
  </si>
  <si>
    <t>visits were classified as an IIT if not attended within 28 days of the scheduled visit date</t>
  </si>
  <si>
    <t>Next appointment time (Within 28 days)</t>
  </si>
  <si>
    <t>Demographic, clinical, visit history</t>
  </si>
  <si>
    <t xml:space="preserve">Based on visit attendance and ART dispensing records collected during the study period. </t>
  </si>
  <si>
    <t>0.672 (0.670 - 0.674)</t>
  </si>
  <si>
    <t>Our score may serve to this scope, provided that it will be validated in other larger series, possibly in multicentric The AdaBoost model demonstrated a sensitivity of 60% and a positive predictive value (PPV) of 18%, indicating it could correctly predict nearly two-thirds of missed visits. It outperformed logistic regression, demonstrating better overall accuracy and predictive power.		design.</t>
  </si>
  <si>
    <t>The study also analyzed model performance across different periods within a patient's ART trajectory.</t>
  </si>
  <si>
    <t>Recursive feature elimination</t>
  </si>
  <si>
    <t xml:space="preserve">Retrospecive recruitmrnt </t>
  </si>
  <si>
    <t xml:space="preserve">Retrospective recruitment </t>
  </si>
  <si>
    <t>purporsive recruitment</t>
  </si>
  <si>
    <t>January 1, 2017 - October 1, 2018</t>
  </si>
  <si>
    <t>January 1, 2010 -  November 28, 2019</t>
  </si>
  <si>
    <t>January 1, 2008 to May 31, 2015</t>
  </si>
  <si>
    <t>2002 - 2015</t>
  </si>
  <si>
    <t>January 2016 to December 2018</t>
  </si>
  <si>
    <t>Public Sector ART clinics</t>
  </si>
  <si>
    <t>University of Chicago HIV care clinic</t>
  </si>
  <si>
    <t>US-based HIV primary care clinics</t>
  </si>
  <si>
    <t>Public Sector HIV care facilities</t>
  </si>
  <si>
    <t>Mozambique</t>
  </si>
  <si>
    <t>USA</t>
  </si>
  <si>
    <t>South Africa</t>
  </si>
  <si>
    <t>Patient enrolled in ART care at PEPFAR-suported clinics in Mozambique</t>
  </si>
  <si>
    <t>Included only records for all patients newly initiated on ART between 1st January 2017 to 1st October 2018</t>
  </si>
  <si>
    <t>18 years and &gt; HIV positive individuals who attended at least one medical appointment at the university of Chicago adult HIV care clinic between 1st January 2008 and 31st May 2025</t>
  </si>
  <si>
    <t>All CNICS patients who attended 2 or more HIV primary care appointments in 2002 - 2015 at 6 CNICS sites</t>
  </si>
  <si>
    <t>Patients who accessed HIV care and had at least one recorded clinic visit during 2016-2018</t>
  </si>
  <si>
    <t>Patients with missing critical data such as incomplete clinical or pharmacy visit records and patients who were not actively enrolled in ART or those who did not meet he defined threshhold  for being late for visits (more than 28 days late)</t>
  </si>
  <si>
    <t>All other outpatients appointments, hospitalisations and emergency departments visits within the University of Chicago clinic</t>
  </si>
  <si>
    <t>Patients with no clinic visit recorded during the study period, invalid visit observations, missing next appointment dates</t>
  </si>
  <si>
    <t>LTFU</t>
  </si>
  <si>
    <t>patient attendance vs miss (no show)given scheduled HIV primary care appointment</t>
  </si>
  <si>
    <t>Retention in care (missed clinic visits)</t>
  </si>
  <si>
    <t>Visits were classified as an IIT if not attended within 28 days of the scheduled visit date</t>
  </si>
  <si>
    <t>LTFU defined as being more than 28 days late for a clinical appointment or pharmacy pick up</t>
  </si>
  <si>
    <t xml:space="preserve"> retention  in care was defined as attending at least two HIV care visits greater than 90 days apart within a 12-month period; access to care was also defined as having a single HIV care visit within a 6 month period</t>
  </si>
  <si>
    <t>patient visit or miss with appointments for which the patient does not show without notification</t>
  </si>
  <si>
    <t>Attending clinic visits within 28 days of the next scheduled visit</t>
  </si>
  <si>
    <t>47.3 (13.6)</t>
  </si>
  <si>
    <t>314 (44%)</t>
  </si>
  <si>
    <t>399 (56%)</t>
  </si>
  <si>
    <t>46 (39 - 52)</t>
  </si>
  <si>
    <t>1660 (16)</t>
  </si>
  <si>
    <t>8714 (84)</t>
  </si>
  <si>
    <t>17957  (17)</t>
  </si>
  <si>
    <t>39 (31 - 49)</t>
  </si>
  <si>
    <t>311,945(70%)</t>
  </si>
  <si>
    <t>133,690 (30%)</t>
  </si>
  <si>
    <t>Next scheduled clinical appointment or pharmacy visit</t>
  </si>
  <si>
    <t>At least 90 dats apart within a 12-month period for retention</t>
  </si>
  <si>
    <t xml:space="preserve">Next scheduled HIV clinic after the attended visit. </t>
  </si>
  <si>
    <t>During the next clinic visit after enrollment</t>
  </si>
  <si>
    <t>Demographics (age, sex), clinical data (ART start date, adherence), geospatial and temporal factors</t>
  </si>
  <si>
    <t>demographics, diagnosis, location-based features, laboratory test results, medical visits, and specific providers seen</t>
  </si>
  <si>
    <t>Demographic, clinical (CD4 count, viral load), psychosocia (depression, anxiety, alcohol use), past visit experience)</t>
  </si>
  <si>
    <t>Demographics, visit history, ART regimen data, laboratory results</t>
  </si>
  <si>
    <t>Measured during clinical visits and pharmacy pickups</t>
  </si>
  <si>
    <t>Collected during clinic visits before the outcome occurrence</t>
  </si>
  <si>
    <t>same time as outcome</t>
  </si>
  <si>
    <t>Measured at same time as outcome occurrence</t>
  </si>
  <si>
    <t>Various aggregation functions (mean, minimum, maximum, standard deviation)</t>
  </si>
  <si>
    <t>Continuous predictors were handled using cubic splines and ctergorical specifications where appropriate</t>
  </si>
  <si>
    <t>no information</t>
  </si>
  <si>
    <t>Models showed good predictive power, helping to identify patients at risk of LTFU and target interventions accordingly</t>
  </si>
  <si>
    <t xml:space="preserve"> 0.45 MCC compared with an underlying rate of appointment LTFU of 23% across the testing period (the reference point for AUC-PR is the precision of a random model, which is equivalent to the prevalence of the positive class, or 0.23</t>
  </si>
  <si>
    <t>0.698 (0.695 - 0.70)</t>
  </si>
  <si>
    <t>The CatBoost model achieved a sensitivity of 62% and a positive predictive value (PPV) of 20%, indicating it correctly predicted a significant portion of missed visits.  It performed best within the first 6 months of treatment, aligning with higher attrition rates during this period.</t>
  </si>
  <si>
    <t xml:space="preserve">The study also analyzed model performance across different periods within a patient's ART trajectory. Model sensitivity and specificity were highest within the first 6 months of patient ART history.	</t>
  </si>
  <si>
    <t>Models showed moderate predictive power in Nigeria, helping to identify patients at risk of LTFU and target interventions accordingly</t>
  </si>
  <si>
    <t>It achieved 0.52 AUC-PR and 0.37 MCC compared with an underlying of appointment LTFU of 27% across the testing period.</t>
  </si>
  <si>
    <t>PPV (24.5, SD = 0.01)</t>
  </si>
  <si>
    <t>In predicting retention in care, the random forest model achieved a positive predictive value (PPV) of 24.5% for the top 10% of patients at risk. This indicated improvement over both the prior baseline (8-12%) and the state-of-the-art logistic regression model, which had a PPV of 14.1%. The model was able to provide more accurate predictions of which patients were most likely to drop out of care, enabling more efficient allocation of intervention resources.</t>
  </si>
  <si>
    <t xml:space="preserve">Data from patrients attending the University of Chicago HIV clinic were extracted retrospectively. The study demonstrated te use of machine learning to predict rentention in HIV care and amphasized the importance of targeted intervention for high-risk patients. </t>
  </si>
  <si>
    <t>PPV (15.5, 0.04)</t>
  </si>
  <si>
    <t>The decision tree model showed a PPV of 15.5% for the top 10% of high-risk patients and also provides clear decision paths used in identifying key factors influencing retention, such as the number of prior missed appointments or demographic characteristics</t>
  </si>
  <si>
    <t>0.70 (0.67 - 0.73)</t>
  </si>
  <si>
    <t xml:space="preserve">Past-year missed visits were the strongest predictor of future missed visits. Clinical and psycosocial predictors added little predictive value. </t>
  </si>
  <si>
    <t>The data source is facility level data derived from a database.</t>
  </si>
  <si>
    <t>Clearly defined inclusison an exclusion citeria</t>
  </si>
  <si>
    <t>The data source was appropriate and the inclusion criteria was clearly stated</t>
  </si>
  <si>
    <t>Clear definition of inclusion/exclusion criteria</t>
  </si>
  <si>
    <t>Data source was appropriate, and inclusion criteria clearly defined. Exclusion criteria was unclear</t>
  </si>
  <si>
    <t>Both predictors and outcome were measured at the same time</t>
  </si>
  <si>
    <t>Predictors and outcome were measured at the same time</t>
  </si>
  <si>
    <t>Both predictors an outcome were measured at the same time, blined of each other.</t>
  </si>
  <si>
    <t>Outcome definition did not include predictors</t>
  </si>
  <si>
    <t xml:space="preserve">Predictors and outcome variabkles are collected at the same time </t>
  </si>
  <si>
    <t>Outcome was clearly defined and no predictor was included in the definition.</t>
  </si>
  <si>
    <t>Outcome and predictors were measured at the same time</t>
  </si>
  <si>
    <t xml:space="preserve">Predictors were not part of the outcome definition, their measurements were independent of each other and same definition was applied to all participants </t>
  </si>
  <si>
    <t>Both outcome and predictors were measured at the same time independent of each other</t>
  </si>
  <si>
    <t>Outcome and predictors measured at the same time</t>
  </si>
  <si>
    <t>There was no information about the magnitude of missing data and how that was handled.</t>
  </si>
  <si>
    <t>Addressing issues of ovefitting was not clear</t>
  </si>
  <si>
    <t>The frequency of the outcome measure information was missing, and there was no information on how data complexity and overfiting was handled</t>
  </si>
  <si>
    <t>Model overfitting and handling of data complexity was not clear</t>
  </si>
  <si>
    <t>Addressing overfitting and missing data was unclear</t>
  </si>
  <si>
    <t>Our approach could enable anticipation of future outcomes before any visible
signs and/or poor outcomes occur (e.g., an unsuppressed VL) and, most importantly, while the patient is still
engaged in care. This affords the opportunity to take a proactive approach to patient management—specific targeted
interventions can be designed on identified subsets of the treatment cohorts, allowing for cost-effective differentiated
models on care and treatment to be applied across the cascade.</t>
  </si>
  <si>
    <t>Different dataset and provider feedback</t>
  </si>
  <si>
    <t>we were able to successfully develop
and deploy an ML model into LAMIS, Nigeria’s routine HIV
information system. There was a high level of acceptance of
the ML model among staff at the pilot facilities.</t>
  </si>
  <si>
    <t>Triaging clients at risk of disengagement from HIV care: Application of a predictive model to clinical trial data in South Africa</t>
  </si>
  <si>
    <t>medRxiv</t>
  </si>
  <si>
    <t>EMR/medical records database</t>
  </si>
  <si>
    <t>January 2016 - December 2018</t>
  </si>
  <si>
    <t>defined a client to have experienced an interruption in treatment (IIT) when a client did not attend a clinic visit within 28 days of their scheduled appointment</t>
  </si>
  <si>
    <t>We restricted the analysis to visits scheduled a minimum of three months prior to the database censor date to allow for one month to meet the outcome definition and a further two months to allow for capturing visit data into the EMR</t>
  </si>
  <si>
    <t>Retention in HIV care</t>
  </si>
  <si>
    <t>demographics, HIV testing and ART treatment history, socio-economic indicators (employment, income), disclosure, drug regimen data, visit history and patterns, and ART monitoring laboratory test results</t>
  </si>
  <si>
    <t>Risk Score</t>
  </si>
  <si>
    <t>39 (27 - 49)</t>
  </si>
  <si>
    <t>315124 (68)</t>
  </si>
  <si>
    <t>148294 (32)</t>
  </si>
  <si>
    <t>First, the threshold risk triaging approach allows for identifying clients at risk of treatment interruptions while the archetype approach could potentially inform underlying obstacles to visit adherence and possible intervention mapping efforts. Beyond improving the accuracy of risk prediction, our results represent an important step in introducing the results of machine learning and predictive analytic risk profiling into a routine practice setting.</t>
  </si>
  <si>
    <t>The exclusion criteria was unclear. Though pregnant women were include in the PREDICT model, they were exluded in the SLATE model</t>
  </si>
  <si>
    <t>During the next visit</t>
  </si>
  <si>
    <t>All raw data available in the source datasets were considered as potential predictors of IIT. Number of predictors included was unclear</t>
  </si>
  <si>
    <t>EPP was not determined</t>
  </si>
  <si>
    <t xml:space="preserve">Retention in care </t>
  </si>
  <si>
    <t>Temporal cross-validation</t>
  </si>
  <si>
    <t>Joseph A Mason</t>
  </si>
  <si>
    <t>No-show Prediction Model Performance Among People With HIV:External Validation Study</t>
  </si>
  <si>
    <t>J Meds Internet Res</t>
  </si>
  <si>
    <t>Propective recruitment</t>
  </si>
  <si>
    <t>Hospital in a university</t>
  </si>
  <si>
    <t>No show</t>
  </si>
  <si>
    <t>Clients not honring a scheduled appointment</t>
  </si>
  <si>
    <t>Appointment changed, appointment day of the week, appointment hour of day,
appointment month of year, appointment zip code, confirmation status, department
ID, department specialty, last communication, appointment lead time, patient
called, referral to appointment, referral to appointment required, rescheduled appointment,
service area ID, visit type, no-show rate, number of past appointments,
number of past canceled appointments, number of past EDa visits, number of past
hospitalizations, number of scheduled appointments</t>
  </si>
  <si>
    <t>No variable transformation</t>
  </si>
  <si>
    <t>The improvement in the performance of the alternate model over the proprietary Epic model demonstrates that among populations with extreme disparities, such as people with HIV, the inclusion of demographic information may enhance the prediction of appointment attendance. The alternate model further reveals that the prediction of appointment attendance in people with HIV can be improved by using HIV clinical information such as CD4 count and HIV viral load test results as features in the model. Hospitals and electronic medical record systems interested in developing or improving their no-show prediction models among diseases with high patient disparity may benefit from including these features.</t>
  </si>
  <si>
    <t>0.78 (0.75 - 0.82)</t>
  </si>
  <si>
    <t>Carolyn A Fahey</t>
  </si>
  <si>
    <t>Plos Global Public Health</t>
  </si>
  <si>
    <t>Machine learning with routine electronic medical record data to identify people at high risk of disengagement from HIV care in Tanzania</t>
  </si>
  <si>
    <t>Essemble Decision Trees</t>
  </si>
  <si>
    <t>HIV-positive individuals aged 18 years or older who had initiated ART within the past 30 days were recruited during routine clinic visits in 2018</t>
  </si>
  <si>
    <t>disengagement</t>
  </si>
  <si>
    <t>Ever missing an appointment for 28 or more days (a standard PEPFAR monitoring and evaluation indicator within specified intervals</t>
  </si>
  <si>
    <t>HIV care center</t>
  </si>
  <si>
    <t>Tanzania</t>
  </si>
  <si>
    <t>age, sex, and marital status (measured at ART initiation); measures that were regularly collected at clinic visits (typically monthly), including weight (kg), WHO clinical stage (1–4), family planning use, and antiretroviral drug (ARV) status (start, continue, substitution, or stop); and HIV viral load (copies/mL, measured every 6 months)</t>
  </si>
  <si>
    <t>65 (36.5)</t>
  </si>
  <si>
    <t>113 (63.5)</t>
  </si>
  <si>
    <t>36 (10)</t>
  </si>
  <si>
    <t>0.704 (0.530 - 0.878)</t>
  </si>
  <si>
    <t>Accuracy (0.723)</t>
  </si>
  <si>
    <t>machine learning methods applied to routine EMR data in Tanzania predicted future risk of disengagement from HIV care. Incorporating time-varying EMR information enhanced the prediction accuracy compared to only using point-in-time EMR data. The addition of survey data collected through a research study modestly improved the accuracy. This approach, using EMR data alone or in combination with other data sources, could potentially be used to improve the efficiency of HIV prevention and care programs by targeting supportive interventions to individuals who could most benefit.</t>
  </si>
  <si>
    <t>The exclusion criteria was unclear</t>
  </si>
  <si>
    <t>Accuracy 0.85 (0.85 - 0.86), Sensitivity - 0.81; Specificity - 0.88; PPV - 0.83; NPV - 0.87; Kappa 0.70</t>
  </si>
  <si>
    <t>F1 Score (0.288, 0.286 - 0.290)</t>
  </si>
  <si>
    <t>F1 Core (0.299, 0.297 - 0.301)</t>
  </si>
  <si>
    <t>Sensitivity (0.74,  0.70 - 0.78), Specificity (0.54, 0.44 - 0.64)</t>
  </si>
  <si>
    <t>Sensitivity (0.608, 0.604 - 0.611),  specificity (0.647, 0.646 - 0.648), ppv (0.189, 0.187 - 0.190), npv (0.924, 0.924 - 0.925)</t>
  </si>
  <si>
    <t>Sensitivity (0.646, 0.642 - 0.649),  specificity (0.646, 0.645 - 0.648), ppv (0.195, 0.193 - 0.196), npv (0.932, 0.931 - 0.933)</t>
  </si>
  <si>
    <t>F1 Score (0.29)</t>
  </si>
  <si>
    <t>Accuracy (0.786), sensitivity (0.406), specificity (0.83), npv (0.92), ppv (0.22)</t>
  </si>
  <si>
    <t>Accuracy = 0.63, Specificity = 0.52, specificity =0.64, ppv = 0.19, NPV = 0.89</t>
  </si>
  <si>
    <t>Adaptive Boosting (AdaBoost)</t>
  </si>
  <si>
    <t>Extreme Gradient Boosting (XGBoost)</t>
  </si>
  <si>
    <t>Categorical Boosting (CatBoost)</t>
  </si>
  <si>
    <t>Decision Trees</t>
  </si>
  <si>
    <t>XGBoost</t>
  </si>
  <si>
    <t>CatBoost</t>
  </si>
  <si>
    <t>AdaBoost</t>
  </si>
  <si>
    <t>AUC-PR, MCC (0.45)</t>
  </si>
  <si>
    <t>AUC-PR, MCC(0.37)</t>
  </si>
  <si>
    <t>Jan 21 - March 30,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</si>
</sst>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53" x14ac:knownFonts="1">
    <font>
      <sz val="11"/>
      <color theme="1"/>
      <name val="Calibri"/>
      <family val="2"/>
      <scheme val="minor"/>
    </font>
    <font>
      <sz val="12"/>
      <color theme="1"/>
      <name val="Calibri"/>
      <family val="2"/>
      <scheme val="minor"/>
    </font>
    <font>
      <b/>
      <sz val="11"/>
      <color theme="1"/>
      <name val="Calibri"/>
      <family val="2"/>
      <scheme val="minor"/>
    </font>
    <font>
      <sz val="11"/>
      <color theme="1"/>
      <name val="Calibri"/>
      <family val="2"/>
      <scheme val="minor"/>
    </font>
    <font>
      <b/>
      <sz val="11"/>
      <color theme="0"/>
      <name val="Calibri"/>
      <family val="2"/>
      <scheme val="minor"/>
    </font>
    <font>
      <i/>
      <sz val="11"/>
      <color theme="1"/>
      <name val="Calibri"/>
      <family val="2"/>
      <scheme val="minor"/>
    </font>
    <font>
      <sz val="8"/>
      <name val="Calibri"/>
      <family val="2"/>
      <scheme val="minor"/>
    </font>
    <font>
      <b/>
      <sz val="12"/>
      <color theme="1"/>
      <name val="Calibri"/>
      <family val="2"/>
      <scheme val="minor"/>
    </font>
    <font>
      <sz val="12"/>
      <color theme="1"/>
      <name val="Calibri"/>
      <family val="2"/>
      <scheme val="minor"/>
    </font>
    <font>
      <b/>
      <sz val="11"/>
      <color theme="8" tint="-0.499984740745262"/>
      <name val="Calibri"/>
      <family val="2"/>
      <scheme val="minor"/>
    </font>
    <font>
      <b/>
      <sz val="10"/>
      <color theme="1"/>
      <name val="Calibri"/>
      <family val="2"/>
      <scheme val="minor"/>
    </font>
    <font>
      <sz val="9"/>
      <color theme="1"/>
      <name val="Calibri"/>
      <family val="2"/>
      <scheme val="minor"/>
    </font>
    <font>
      <b/>
      <sz val="16"/>
      <color theme="1"/>
      <name val="Calibri"/>
      <family val="2"/>
      <scheme val="minor"/>
    </font>
    <font>
      <b/>
      <i/>
      <sz val="10"/>
      <color theme="1"/>
      <name val="Calibri"/>
      <family val="2"/>
      <scheme val="minor"/>
    </font>
    <font>
      <b/>
      <i/>
      <u/>
      <sz val="14"/>
      <color theme="8" tint="-0.249977111117893"/>
      <name val="Calibri"/>
      <family val="2"/>
      <scheme val="minor"/>
    </font>
    <font>
      <sz val="11"/>
      <color theme="0"/>
      <name val="Calibri"/>
      <family val="2"/>
      <scheme val="minor"/>
    </font>
    <font>
      <i/>
      <sz val="9"/>
      <color theme="1"/>
      <name val="Calibri"/>
      <family val="2"/>
      <scheme val="minor"/>
    </font>
    <font>
      <i/>
      <sz val="9"/>
      <color theme="2" tint="-0.499984740745262"/>
      <name val="Calibri"/>
      <family val="2"/>
      <scheme val="minor"/>
    </font>
    <font>
      <sz val="10"/>
      <color theme="1"/>
      <name val="Calibri"/>
      <family val="2"/>
      <scheme val="minor"/>
    </font>
    <font>
      <b/>
      <sz val="10"/>
      <color theme="4" tint="-0.499984740745262"/>
      <name val="Calibri"/>
      <family val="2"/>
      <scheme val="minor"/>
    </font>
    <font>
      <sz val="11"/>
      <name val="Calibri"/>
      <family val="2"/>
      <scheme val="minor"/>
    </font>
    <font>
      <sz val="10"/>
      <color theme="4" tint="-0.499984740745262"/>
      <name val="Calibri"/>
      <family val="2"/>
      <scheme val="minor"/>
    </font>
    <font>
      <vertAlign val="superscript"/>
      <sz val="10"/>
      <color theme="1"/>
      <name val="Calibri"/>
      <family val="2"/>
      <scheme val="minor"/>
    </font>
    <font>
      <sz val="10"/>
      <color theme="0"/>
      <name val="Calibri"/>
      <family val="2"/>
      <scheme val="minor"/>
    </font>
    <font>
      <sz val="11"/>
      <color rgb="FF333333"/>
      <name val="Arial"/>
      <family val="2"/>
    </font>
    <font>
      <b/>
      <sz val="11"/>
      <name val="Calibri"/>
      <family val="2"/>
      <scheme val="minor"/>
    </font>
    <font>
      <u/>
      <sz val="11"/>
      <color theme="10"/>
      <name val="Calibri"/>
      <family val="2"/>
      <scheme val="minor"/>
    </font>
    <font>
      <b/>
      <sz val="12"/>
      <color theme="1"/>
      <name val="Calibri Light"/>
      <family val="2"/>
      <scheme val="major"/>
    </font>
    <font>
      <i/>
      <sz val="10"/>
      <color theme="0" tint="-0.249977111117893"/>
      <name val="Calibri"/>
      <family val="2"/>
      <scheme val="minor"/>
    </font>
    <font>
      <i/>
      <sz val="10"/>
      <color theme="1"/>
      <name val="Calibri"/>
      <family val="2"/>
      <scheme val="minor"/>
    </font>
    <font>
      <sz val="11"/>
      <color theme="1"/>
      <name val="Calibri Light"/>
      <family val="2"/>
      <scheme val="major"/>
    </font>
    <font>
      <b/>
      <sz val="9"/>
      <color theme="1"/>
      <name val="Calibri Light"/>
      <family val="2"/>
      <scheme val="major"/>
    </font>
    <font>
      <sz val="9"/>
      <color theme="1"/>
      <name val="Calibri Light"/>
      <family val="2"/>
      <scheme val="major"/>
    </font>
    <font>
      <sz val="14"/>
      <color theme="1"/>
      <name val="Calibri Light"/>
      <family val="2"/>
      <scheme val="major"/>
    </font>
    <font>
      <b/>
      <sz val="9"/>
      <color theme="4" tint="-0.499984740745262"/>
      <name val="Calibri Light"/>
      <family val="2"/>
      <scheme val="major"/>
    </font>
    <font>
      <sz val="9"/>
      <color theme="0"/>
      <name val="Calibri Light"/>
      <family val="2"/>
      <scheme val="major"/>
    </font>
    <font>
      <b/>
      <sz val="9"/>
      <name val="Calibri Light"/>
      <family val="2"/>
      <scheme val="major"/>
    </font>
    <font>
      <sz val="9"/>
      <name val="Calibri Light"/>
      <family val="2"/>
      <scheme val="major"/>
    </font>
    <font>
      <sz val="10"/>
      <name val="Calibri Light"/>
      <family val="2"/>
      <scheme val="major"/>
    </font>
    <font>
      <b/>
      <sz val="10"/>
      <name val="Calibri Light"/>
      <family val="2"/>
      <scheme val="major"/>
    </font>
    <font>
      <sz val="12"/>
      <name val="Calibri Light"/>
      <family val="2"/>
      <scheme val="major"/>
    </font>
    <font>
      <sz val="12"/>
      <color theme="0"/>
      <name val="Calibri Light"/>
      <family val="2"/>
      <scheme val="major"/>
    </font>
    <font>
      <sz val="11"/>
      <color theme="0"/>
      <name val="Calibri Light"/>
      <family val="2"/>
      <scheme val="major"/>
    </font>
    <font>
      <b/>
      <sz val="16"/>
      <color theme="4" tint="-0.499984740745262"/>
      <name val="Constantia"/>
      <family val="1"/>
    </font>
    <font>
      <b/>
      <sz val="16"/>
      <color theme="8" tint="-0.249977111117893"/>
      <name val="Constantia"/>
      <family val="1"/>
    </font>
    <font>
      <b/>
      <sz val="11"/>
      <color theme="1"/>
      <name val="Calibri Light"/>
      <family val="2"/>
      <scheme val="major"/>
    </font>
    <font>
      <b/>
      <sz val="12"/>
      <color theme="4" tint="-0.499984740745262"/>
      <name val="Calibri"/>
      <family val="2"/>
      <scheme val="minor"/>
    </font>
    <font>
      <sz val="11"/>
      <color theme="4" tint="-0.499984740745262"/>
      <name val="Calibri"/>
      <family val="2"/>
      <scheme val="minor"/>
    </font>
    <font>
      <b/>
      <u/>
      <sz val="14"/>
      <color theme="4" tint="-0.499984740745262"/>
      <name val="Calibri"/>
      <family val="2"/>
      <scheme val="minor"/>
    </font>
    <font>
      <vertAlign val="superscript"/>
      <sz val="11"/>
      <color theme="1"/>
      <name val="Calibri"/>
      <family val="2"/>
      <scheme val="minor"/>
    </font>
    <font>
      <b/>
      <sz val="12"/>
      <color rgb="FF0070C0"/>
      <name val="Calibri"/>
      <family val="2"/>
      <scheme val="minor"/>
    </font>
    <font>
      <b/>
      <sz val="11"/>
      <color rgb="FF0070C0"/>
      <name val="Calibri"/>
      <family val="2"/>
      <scheme val="minor"/>
    </font>
    <font>
      <b/>
      <sz val="11"/>
      <color theme="4" tint="-0.499984740745262"/>
      <name val="Calibri"/>
      <family val="2"/>
      <scheme val="minor"/>
    </font>
  </fonts>
  <fills count="8">
    <fill>
      <patternFill patternType="none"/>
    </fill>
    <fill>
      <patternFill patternType="gray125"/>
    </fill>
    <fill>
      <patternFill patternType="solid">
        <fgColor theme="4" tint="-0.499984740745262"/>
        <bgColor indexed="64"/>
      </patternFill>
    </fill>
    <fill>
      <patternFill patternType="solid">
        <fgColor theme="0"/>
        <bgColor indexed="64"/>
      </patternFill>
    </fill>
    <fill>
      <patternFill patternType="solid">
        <fgColor theme="8" tint="0.79998168889431442"/>
        <bgColor indexed="64"/>
      </patternFill>
    </fill>
    <fill>
      <patternFill patternType="solid">
        <fgColor theme="0" tint="-4.9989318521683403E-2"/>
        <bgColor indexed="64"/>
      </patternFill>
    </fill>
    <fill>
      <patternFill patternType="solid">
        <fgColor theme="2"/>
        <bgColor indexed="64"/>
      </patternFill>
    </fill>
    <fill>
      <patternFill patternType="solid">
        <fgColor theme="8" tint="-0.499984740745262"/>
        <bgColor indexed="64"/>
      </patternFill>
    </fill>
  </fills>
  <borders count="131">
    <border>
      <left/>
      <right/>
      <top/>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style="thin">
        <color theme="4" tint="-0.499984740745262"/>
      </bottom>
      <diagonal/>
    </border>
    <border>
      <left style="thin">
        <color theme="0"/>
      </left>
      <right style="thin">
        <color theme="0"/>
      </right>
      <top/>
      <bottom style="thin">
        <color theme="0"/>
      </bottom>
      <diagonal/>
    </border>
    <border>
      <left/>
      <right/>
      <top style="thin">
        <color theme="4" tint="-0.499984740745262"/>
      </top>
      <bottom style="thin">
        <color theme="2"/>
      </bottom>
      <diagonal/>
    </border>
    <border>
      <left/>
      <right/>
      <top style="thin">
        <color theme="2"/>
      </top>
      <bottom style="thin">
        <color theme="4" tint="-0.499984740745262"/>
      </bottom>
      <diagonal/>
    </border>
    <border>
      <left style="thin">
        <color theme="0"/>
      </left>
      <right style="thin">
        <color theme="0"/>
      </right>
      <top style="medium">
        <color theme="4" tint="-0.499984740745262"/>
      </top>
      <bottom style="thin">
        <color theme="0"/>
      </bottom>
      <diagonal/>
    </border>
    <border>
      <left/>
      <right/>
      <top style="thin">
        <color theme="2"/>
      </top>
      <bottom style="thin">
        <color theme="2"/>
      </bottom>
      <diagonal/>
    </border>
    <border>
      <left/>
      <right style="thin">
        <color theme="4" tint="-0.499984740745262"/>
      </right>
      <top style="thin">
        <color theme="2"/>
      </top>
      <bottom style="thin">
        <color theme="2"/>
      </bottom>
      <diagonal/>
    </border>
    <border>
      <left/>
      <right/>
      <top/>
      <bottom style="thin">
        <color theme="2"/>
      </bottom>
      <diagonal/>
    </border>
    <border>
      <left/>
      <right style="thin">
        <color theme="4" tint="-0.499984740745262"/>
      </right>
      <top style="thin">
        <color theme="2"/>
      </top>
      <bottom style="thin">
        <color theme="4" tint="-0.499984740745262"/>
      </bottom>
      <diagonal/>
    </border>
    <border>
      <left style="thin">
        <color theme="0"/>
      </left>
      <right/>
      <top style="thin">
        <color theme="2"/>
      </top>
      <bottom style="thin">
        <color theme="2"/>
      </bottom>
      <diagonal/>
    </border>
    <border>
      <left style="thin">
        <color theme="0"/>
      </left>
      <right style="thin">
        <color theme="0"/>
      </right>
      <top style="thin">
        <color theme="0"/>
      </top>
      <bottom/>
      <diagonal/>
    </border>
    <border>
      <left style="thin">
        <color theme="0"/>
      </left>
      <right style="thin">
        <color theme="0"/>
      </right>
      <top style="thin">
        <color theme="4" tint="-0.499984740745262"/>
      </top>
      <bottom style="thin">
        <color theme="4" tint="-0.499984740745262"/>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right style="thin">
        <color theme="4" tint="-0.499984740745262"/>
      </right>
      <top style="thin">
        <color theme="4" tint="-0.499984740745262"/>
      </top>
      <bottom style="thin">
        <color theme="4" tint="-0.499984740745262"/>
      </bottom>
      <diagonal/>
    </border>
    <border>
      <left/>
      <right style="thin">
        <color theme="4" tint="-0.499984740745262"/>
      </right>
      <top style="thin">
        <color theme="2"/>
      </top>
      <bottom/>
      <diagonal/>
    </border>
    <border>
      <left/>
      <right/>
      <top style="thin">
        <color theme="2"/>
      </top>
      <bottom/>
      <diagonal/>
    </border>
    <border>
      <left/>
      <right style="thin">
        <color theme="4" tint="-0.499984740745262"/>
      </right>
      <top/>
      <bottom style="thin">
        <color theme="2"/>
      </bottom>
      <diagonal/>
    </border>
    <border>
      <left/>
      <right/>
      <top/>
      <bottom style="thin">
        <color theme="4" tint="-0.499984740745262"/>
      </bottom>
      <diagonal/>
    </border>
    <border>
      <left style="medium">
        <color theme="4" tint="-0.499984740745262"/>
      </left>
      <right style="thin">
        <color theme="4" tint="-0.499984740745262"/>
      </right>
      <top style="medium">
        <color theme="4" tint="-0.499984740745262"/>
      </top>
      <bottom style="thin">
        <color theme="4" tint="-0.499984740745262"/>
      </bottom>
      <diagonal/>
    </border>
    <border>
      <left style="thin">
        <color theme="4" tint="-0.499984740745262"/>
      </left>
      <right style="thin">
        <color theme="4" tint="-0.499984740745262"/>
      </right>
      <top style="medium">
        <color theme="4" tint="-0.499984740745262"/>
      </top>
      <bottom style="thin">
        <color theme="4" tint="-0.499984740745262"/>
      </bottom>
      <diagonal/>
    </border>
    <border>
      <left/>
      <right/>
      <top style="thin">
        <color theme="4" tint="-0.499984740745262"/>
      </top>
      <bottom style="thin">
        <color theme="4" tint="-0.499984740745262"/>
      </bottom>
      <diagonal/>
    </border>
    <border>
      <left style="thin">
        <color theme="0"/>
      </left>
      <right style="thin">
        <color theme="0"/>
      </right>
      <top style="thin">
        <color theme="4" tint="-0.499984740745262"/>
      </top>
      <bottom style="thin">
        <color theme="0"/>
      </bottom>
      <diagonal/>
    </border>
    <border>
      <left/>
      <right style="thin">
        <color theme="4" tint="-0.499984740745262"/>
      </right>
      <top/>
      <bottom style="medium">
        <color theme="4" tint="-0.499984740745262"/>
      </bottom>
      <diagonal/>
    </border>
    <border>
      <left/>
      <right/>
      <top style="medium">
        <color theme="4" tint="-0.499984740745262"/>
      </top>
      <bottom style="thin">
        <color theme="4" tint="-0.499984740745262"/>
      </bottom>
      <diagonal/>
    </border>
    <border>
      <left style="thin">
        <color theme="4" tint="-0.499984740745262"/>
      </left>
      <right/>
      <top style="medium">
        <color theme="4" tint="-0.499984740745262"/>
      </top>
      <bottom style="thin">
        <color theme="4" tint="-0.499984740745262"/>
      </bottom>
      <diagonal/>
    </border>
    <border>
      <left/>
      <right style="thin">
        <color theme="4" tint="-0.499984740745262"/>
      </right>
      <top style="medium">
        <color theme="4" tint="-0.499984740745262"/>
      </top>
      <bottom style="thin">
        <color theme="4" tint="-0.499984740745262"/>
      </bottom>
      <diagonal/>
    </border>
    <border>
      <left style="thin">
        <color theme="4" tint="-0.499984740745262"/>
      </left>
      <right/>
      <top style="thin">
        <color theme="2"/>
      </top>
      <bottom style="thin">
        <color theme="4" tint="-0.499984740745262"/>
      </bottom>
      <diagonal/>
    </border>
    <border>
      <left style="thin">
        <color theme="4" tint="-0.499984740745262"/>
      </left>
      <right/>
      <top style="thin">
        <color theme="2"/>
      </top>
      <bottom style="thin">
        <color theme="2"/>
      </bottom>
      <diagonal/>
    </border>
    <border>
      <left style="thin">
        <color theme="4" tint="-0.499984740745262"/>
      </left>
      <right/>
      <top style="thin">
        <color theme="4" tint="-0.499984740745262"/>
      </top>
      <bottom style="thin">
        <color theme="2"/>
      </bottom>
      <diagonal/>
    </border>
    <border>
      <left style="thin">
        <color theme="4" tint="-0.499984740745262"/>
      </left>
      <right/>
      <top/>
      <bottom style="thin">
        <color theme="2"/>
      </bottom>
      <diagonal/>
    </border>
    <border>
      <left/>
      <right/>
      <top style="thin">
        <color indexed="64"/>
      </top>
      <bottom style="thin">
        <color indexed="64"/>
      </bottom>
      <diagonal/>
    </border>
    <border>
      <left/>
      <right/>
      <top style="thin">
        <color auto="1"/>
      </top>
      <bottom/>
      <diagonal/>
    </border>
    <border>
      <left style="thin">
        <color theme="4" tint="-0.499984740745262"/>
      </left>
      <right/>
      <top style="thin">
        <color theme="4" tint="-0.499984740745262"/>
      </top>
      <bottom style="thin">
        <color theme="4" tint="-0.499984740745262"/>
      </bottom>
      <diagonal/>
    </border>
    <border>
      <left style="thin">
        <color theme="4" tint="-0.499984740745262"/>
      </left>
      <right/>
      <top/>
      <bottom style="thin">
        <color theme="4" tint="-0.499984740745262"/>
      </bottom>
      <diagonal/>
    </border>
    <border>
      <left style="thin">
        <color theme="8" tint="-0.499984740745262"/>
      </left>
      <right style="thin">
        <color theme="0"/>
      </right>
      <top style="thin">
        <color theme="4" tint="-0.499984740745262"/>
      </top>
      <bottom style="thin">
        <color theme="8" tint="-0.499984740745262"/>
      </bottom>
      <diagonal/>
    </border>
    <border>
      <left style="thin">
        <color theme="0"/>
      </left>
      <right style="thin">
        <color theme="0"/>
      </right>
      <top style="thin">
        <color theme="4" tint="-0.499984740745262"/>
      </top>
      <bottom style="thin">
        <color theme="8" tint="-0.499984740745262"/>
      </bottom>
      <diagonal/>
    </border>
    <border>
      <left/>
      <right style="thin">
        <color theme="4" tint="-0.499984740745262"/>
      </right>
      <top style="thin">
        <color theme="4" tint="-0.499984740745262"/>
      </top>
      <bottom style="thin">
        <color theme="8" tint="-0.499984740745262"/>
      </bottom>
      <diagonal/>
    </border>
    <border>
      <left style="thin">
        <color theme="4" tint="-0.499984740745262"/>
      </left>
      <right/>
      <top style="thin">
        <color theme="4" tint="-0.499984740745262"/>
      </top>
      <bottom style="thin">
        <color theme="8" tint="-0.499984740745262"/>
      </bottom>
      <diagonal/>
    </border>
    <border>
      <left/>
      <right/>
      <top style="thin">
        <color theme="4" tint="-0.499984740745262"/>
      </top>
      <bottom style="thin">
        <color theme="8" tint="-0.499984740745262"/>
      </bottom>
      <diagonal/>
    </border>
    <border>
      <left style="thin">
        <color theme="0"/>
      </left>
      <right/>
      <top style="thin">
        <color theme="4" tint="-0.499984740745262"/>
      </top>
      <bottom/>
      <diagonal/>
    </border>
    <border>
      <left/>
      <right/>
      <top style="thin">
        <color theme="4" tint="-0.499984740745262"/>
      </top>
      <bottom/>
      <diagonal/>
    </border>
    <border>
      <left style="thin">
        <color theme="0"/>
      </left>
      <right/>
      <top/>
      <bottom style="medium">
        <color theme="4" tint="-0.499984740745262"/>
      </bottom>
      <diagonal/>
    </border>
    <border>
      <left/>
      <right/>
      <top/>
      <bottom style="medium">
        <color theme="4" tint="-0.499984740745262"/>
      </bottom>
      <diagonal/>
    </border>
    <border>
      <left style="thin">
        <color theme="4" tint="-0.499984740745262"/>
      </left>
      <right/>
      <top style="thin">
        <color theme="4" tint="-0.499984740745262"/>
      </top>
      <bottom/>
      <diagonal/>
    </border>
    <border>
      <left/>
      <right style="thin">
        <color theme="4" tint="-0.499984740745262"/>
      </right>
      <top style="thin">
        <color theme="4" tint="-0.499984740745262"/>
      </top>
      <bottom/>
      <diagonal/>
    </border>
    <border>
      <left style="thin">
        <color theme="4" tint="-0.499984740745262"/>
      </left>
      <right/>
      <top/>
      <bottom style="medium">
        <color theme="4" tint="-0.499984740745262"/>
      </bottom>
      <diagonal/>
    </border>
    <border>
      <left style="thin">
        <color theme="4" tint="-0.499984740745262"/>
      </left>
      <right/>
      <top/>
      <bottom/>
      <diagonal/>
    </border>
    <border>
      <left/>
      <right style="thin">
        <color theme="4" tint="-0.499984740745262"/>
      </right>
      <top/>
      <bottom/>
      <diagonal/>
    </border>
    <border>
      <left style="thin">
        <color theme="4" tint="-0.499984740745262"/>
      </left>
      <right/>
      <top style="thin">
        <color theme="2"/>
      </top>
      <bottom/>
      <diagonal/>
    </border>
    <border>
      <left style="thin">
        <color theme="4" tint="-0.499984740745262"/>
      </left>
      <right style="thin">
        <color theme="4" tint="-0.499984740745262"/>
      </right>
      <top style="thin">
        <color theme="4" tint="-0.499984740745262"/>
      </top>
      <bottom style="thin">
        <color theme="4" tint="-0.499984740745262"/>
      </bottom>
      <diagonal/>
    </border>
    <border>
      <left style="thin">
        <color theme="4" tint="-0.499984740745262"/>
      </left>
      <right style="thin">
        <color theme="4" tint="-0.499984740745262"/>
      </right>
      <top style="thin">
        <color theme="4" tint="-0.499984740745262"/>
      </top>
      <bottom/>
      <diagonal/>
    </border>
    <border>
      <left style="thin">
        <color theme="4" tint="-0.499984740745262"/>
      </left>
      <right style="thin">
        <color theme="4" tint="-0.499984740745262"/>
      </right>
      <top style="thin">
        <color theme="4" tint="-0.499984740745262"/>
      </top>
      <bottom style="thin">
        <color theme="0"/>
      </bottom>
      <diagonal/>
    </border>
    <border>
      <left style="thin">
        <color theme="4" tint="-0.499984740745262"/>
      </left>
      <right style="thin">
        <color theme="4" tint="-0.499984740745262"/>
      </right>
      <top style="thin">
        <color theme="0"/>
      </top>
      <bottom style="thin">
        <color theme="4" tint="-0.499984740745262"/>
      </bottom>
      <diagonal/>
    </border>
    <border>
      <left style="thin">
        <color theme="4" tint="-0.499984740745262"/>
      </left>
      <right style="thin">
        <color theme="4" tint="-0.499984740745262"/>
      </right>
      <top style="thin">
        <color theme="0"/>
      </top>
      <bottom style="thin">
        <color theme="0"/>
      </bottom>
      <diagonal/>
    </border>
    <border>
      <left style="thin">
        <color theme="4" tint="-0.499984740745262"/>
      </left>
      <right style="thin">
        <color theme="4" tint="-0.499984740745262"/>
      </right>
      <top style="thin">
        <color theme="4" tint="-0.499984740745262"/>
      </top>
      <bottom style="medium">
        <color theme="4" tint="-0.499984740745262"/>
      </bottom>
      <diagonal/>
    </border>
    <border>
      <left style="thin">
        <color theme="4" tint="-0.499984740745262"/>
      </left>
      <right style="thin">
        <color theme="4" tint="-0.499984740745262"/>
      </right>
      <top style="thin">
        <color theme="4" tint="-0.499984740745262"/>
      </top>
      <bottom style="thin">
        <color theme="0" tint="-4.9989318521683403E-2"/>
      </bottom>
      <diagonal/>
    </border>
    <border>
      <left style="thin">
        <color theme="4" tint="-0.499984740745262"/>
      </left>
      <right style="thin">
        <color theme="4" tint="-0.499984740745262"/>
      </right>
      <top style="thin">
        <color theme="0" tint="-4.9989318521683403E-2"/>
      </top>
      <bottom style="thin">
        <color theme="0" tint="-4.9989318521683403E-2"/>
      </bottom>
      <diagonal/>
    </border>
    <border>
      <left style="thin">
        <color theme="4" tint="-0.499984740745262"/>
      </left>
      <right style="thin">
        <color theme="4" tint="-0.499984740745262"/>
      </right>
      <top style="thin">
        <color theme="0" tint="-4.9989318521683403E-2"/>
      </top>
      <bottom style="thin">
        <color theme="4" tint="-0.499984740745262"/>
      </bottom>
      <diagonal/>
    </border>
    <border>
      <left style="thin">
        <color theme="4" tint="-0.499984740745262"/>
      </left>
      <right style="thin">
        <color theme="4" tint="-0.499984740745262"/>
      </right>
      <top/>
      <bottom style="thin">
        <color theme="0" tint="-4.9989318521683403E-2"/>
      </bottom>
      <diagonal/>
    </border>
    <border>
      <left/>
      <right/>
      <top style="medium">
        <color indexed="64"/>
      </top>
      <bottom style="medium">
        <color indexed="64"/>
      </bottom>
      <diagonal/>
    </border>
    <border>
      <left/>
      <right/>
      <top style="medium">
        <color indexed="64"/>
      </top>
      <bottom/>
      <diagonal/>
    </border>
    <border>
      <left/>
      <right/>
      <top/>
      <bottom style="medium">
        <color indexed="64"/>
      </bottom>
      <diagonal/>
    </border>
    <border>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top style="medium">
        <color auto="1"/>
      </top>
      <bottom style="thin">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style="thin">
        <color theme="0"/>
      </left>
      <right/>
      <top style="thin">
        <color theme="4" tint="-0.499984740745262"/>
      </top>
      <bottom style="thin">
        <color theme="2"/>
      </bottom>
      <diagonal/>
    </border>
    <border>
      <left/>
      <right style="thin">
        <color theme="4" tint="-0.499984740745262"/>
      </right>
      <top style="thin">
        <color theme="4" tint="-0.499984740745262"/>
      </top>
      <bottom style="thin">
        <color theme="2"/>
      </bottom>
      <diagonal/>
    </border>
    <border>
      <left style="thin">
        <color theme="0"/>
      </left>
      <right/>
      <top style="thin">
        <color theme="2"/>
      </top>
      <bottom/>
      <diagonal/>
    </border>
    <border>
      <left style="thin">
        <color theme="0"/>
      </left>
      <right/>
      <top style="thin">
        <color theme="4" tint="-0.499984740745262"/>
      </top>
      <bottom style="thin">
        <color theme="4" tint="-0.499984740745262"/>
      </bottom>
      <diagonal/>
    </border>
    <border>
      <left style="thin">
        <color theme="0"/>
      </left>
      <right/>
      <top style="thin">
        <color theme="2"/>
      </top>
      <bottom style="thin">
        <color theme="4" tint="-0.499984740745262"/>
      </bottom>
      <diagonal/>
    </border>
    <border>
      <left style="thin">
        <color theme="0"/>
      </left>
      <right/>
      <top/>
      <bottom style="thin">
        <color theme="2"/>
      </bottom>
      <diagonal/>
    </border>
    <border>
      <left/>
      <right/>
      <top style="thin">
        <color theme="8" tint="-0.499984740745262"/>
      </top>
      <bottom style="thin">
        <color theme="4" tint="-0.499984740745262"/>
      </bottom>
      <diagonal/>
    </border>
    <border>
      <left style="thin">
        <color theme="0"/>
      </left>
      <right/>
      <top style="thin">
        <color theme="4" tint="-0.499984740745262"/>
      </top>
      <bottom style="thin">
        <color theme="8" tint="-0.499984740745262"/>
      </bottom>
      <diagonal/>
    </border>
    <border>
      <left style="thin">
        <color theme="4" tint="-0.499984740745262"/>
      </left>
      <right style="thin">
        <color theme="0" tint="-0.14996795556505021"/>
      </right>
      <top style="thin">
        <color theme="4" tint="-0.499984740745262"/>
      </top>
      <bottom style="thin">
        <color theme="2"/>
      </bottom>
      <diagonal/>
    </border>
    <border>
      <left style="thin">
        <color theme="0" tint="-0.14996795556505021"/>
      </left>
      <right style="thin">
        <color theme="0" tint="-0.14996795556505021"/>
      </right>
      <top style="thin">
        <color theme="4" tint="-0.499984740745262"/>
      </top>
      <bottom style="thin">
        <color theme="2"/>
      </bottom>
      <diagonal/>
    </border>
    <border>
      <left style="thin">
        <color theme="0" tint="-0.14996795556505021"/>
      </left>
      <right/>
      <top style="thin">
        <color theme="4" tint="-0.499984740745262"/>
      </top>
      <bottom style="thin">
        <color theme="2"/>
      </bottom>
      <diagonal/>
    </border>
    <border>
      <left style="thin">
        <color theme="4" tint="-0.499984740745262"/>
      </left>
      <right style="thin">
        <color theme="0" tint="-0.14996795556505021"/>
      </right>
      <top style="thin">
        <color theme="2"/>
      </top>
      <bottom style="thin">
        <color theme="2"/>
      </bottom>
      <diagonal/>
    </border>
    <border>
      <left style="thin">
        <color theme="0" tint="-0.14996795556505021"/>
      </left>
      <right style="thin">
        <color theme="0" tint="-0.14996795556505021"/>
      </right>
      <top style="thin">
        <color theme="2"/>
      </top>
      <bottom style="thin">
        <color theme="2"/>
      </bottom>
      <diagonal/>
    </border>
    <border>
      <left style="thin">
        <color theme="0" tint="-0.14996795556505021"/>
      </left>
      <right/>
      <top style="thin">
        <color theme="2"/>
      </top>
      <bottom style="thin">
        <color theme="2"/>
      </bottom>
      <diagonal/>
    </border>
    <border>
      <left style="thin">
        <color theme="4" tint="-0.499984740745262"/>
      </left>
      <right style="thin">
        <color theme="0" tint="-0.14996795556505021"/>
      </right>
      <top style="thin">
        <color theme="2"/>
      </top>
      <bottom style="thin">
        <color theme="4" tint="-0.499984740745262"/>
      </bottom>
      <diagonal/>
    </border>
    <border>
      <left style="thin">
        <color theme="0" tint="-0.14996795556505021"/>
      </left>
      <right style="thin">
        <color theme="0" tint="-0.14996795556505021"/>
      </right>
      <top style="thin">
        <color theme="2"/>
      </top>
      <bottom style="thin">
        <color theme="4" tint="-0.499984740745262"/>
      </bottom>
      <diagonal/>
    </border>
    <border>
      <left style="thin">
        <color theme="0" tint="-0.14996795556505021"/>
      </left>
      <right/>
      <top style="thin">
        <color theme="2"/>
      </top>
      <bottom style="thin">
        <color theme="4" tint="-0.499984740745262"/>
      </bottom>
      <diagonal/>
    </border>
    <border>
      <left style="medium">
        <color indexed="64"/>
      </left>
      <right/>
      <top/>
      <bottom/>
      <diagonal/>
    </border>
    <border>
      <left/>
      <right style="medium">
        <color indexed="64"/>
      </right>
      <top/>
      <bottom/>
      <diagonal/>
    </border>
    <border>
      <left/>
      <right style="thin">
        <color theme="0"/>
      </right>
      <top/>
      <bottom/>
      <diagonal/>
    </border>
    <border>
      <left style="thin">
        <color theme="0"/>
      </left>
      <right style="thin">
        <color theme="0"/>
      </right>
      <top/>
      <bottom/>
      <diagonal/>
    </border>
    <border>
      <left style="thin">
        <color theme="0"/>
      </left>
      <right style="medium">
        <color indexed="64"/>
      </right>
      <top/>
      <bottom/>
      <diagonal/>
    </border>
    <border>
      <left style="medium">
        <color indexed="64"/>
      </left>
      <right style="thin">
        <color theme="0"/>
      </right>
      <top/>
      <bottom/>
      <diagonal/>
    </border>
    <border>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medium">
        <color indexed="64"/>
      </right>
      <top/>
      <bottom/>
      <diagonal/>
    </border>
    <border>
      <left/>
      <right style="medium">
        <color indexed="64"/>
      </right>
      <top style="thin">
        <color indexed="64"/>
      </top>
      <bottom/>
      <diagonal/>
    </border>
    <border>
      <left style="medium">
        <color indexed="64"/>
      </left>
      <right/>
      <top style="thin">
        <color indexed="64"/>
      </top>
      <bottom/>
      <diagonal/>
    </border>
    <border>
      <left/>
      <right style="double">
        <color indexed="64"/>
      </right>
      <top style="thin">
        <color indexed="64"/>
      </top>
      <bottom/>
      <diagonal/>
    </border>
    <border>
      <left style="double">
        <color indexed="64"/>
      </left>
      <right/>
      <top style="thin">
        <color indexed="64"/>
      </top>
      <bottom/>
      <diagonal/>
    </border>
    <border>
      <left/>
      <right style="medium">
        <color indexed="64"/>
      </right>
      <top/>
      <bottom style="thin">
        <color indexed="64"/>
      </bottom>
      <diagonal/>
    </border>
    <border>
      <left/>
      <right style="thin">
        <color theme="0"/>
      </right>
      <top/>
      <bottom style="thin">
        <color theme="0"/>
      </bottom>
      <diagonal/>
    </border>
    <border>
      <left style="thin">
        <color theme="0"/>
      </left>
      <right style="thin">
        <color theme="0"/>
      </right>
      <top style="thin">
        <color theme="1"/>
      </top>
      <bottom style="thin">
        <color theme="0"/>
      </bottom>
      <diagonal/>
    </border>
    <border>
      <left style="thin">
        <color theme="0"/>
      </left>
      <right style="thin">
        <color theme="0"/>
      </right>
      <top style="thin">
        <color theme="1"/>
      </top>
      <bottom style="thin">
        <color theme="1"/>
      </bottom>
      <diagonal/>
    </border>
    <border>
      <left/>
      <right style="thin">
        <color theme="0"/>
      </right>
      <top style="thin">
        <color theme="1"/>
      </top>
      <bottom style="thin">
        <color theme="1"/>
      </bottom>
      <diagonal/>
    </border>
    <border>
      <left style="thin">
        <color theme="0"/>
      </left>
      <right/>
      <top style="thin">
        <color theme="1"/>
      </top>
      <bottom style="thin">
        <color theme="1"/>
      </bottom>
      <diagonal/>
    </border>
    <border>
      <left style="thin">
        <color theme="0"/>
      </left>
      <right/>
      <top style="thin">
        <color theme="0"/>
      </top>
      <bottom style="medium">
        <color indexed="64"/>
      </bottom>
      <diagonal/>
    </border>
    <border>
      <left/>
      <right/>
      <top style="thin">
        <color theme="0"/>
      </top>
      <bottom style="medium">
        <color indexed="64"/>
      </bottom>
      <diagonal/>
    </border>
    <border>
      <left/>
      <right style="thin">
        <color theme="0"/>
      </right>
      <top style="thin">
        <color theme="0"/>
      </top>
      <bottom style="medium">
        <color indexed="64"/>
      </bottom>
      <diagonal/>
    </border>
    <border>
      <left style="thin">
        <color theme="0"/>
      </left>
      <right/>
      <top style="thin">
        <color theme="0"/>
      </top>
      <bottom style="thin">
        <color indexed="64"/>
      </bottom>
      <diagonal/>
    </border>
    <border>
      <left/>
      <right/>
      <top style="thin">
        <color theme="0"/>
      </top>
      <bottom style="thin">
        <color indexed="64"/>
      </bottom>
      <diagonal/>
    </border>
    <border>
      <left/>
      <right style="thin">
        <color theme="0"/>
      </right>
      <top style="thin">
        <color theme="0"/>
      </top>
      <bottom style="thin">
        <color indexed="64"/>
      </bottom>
      <diagonal/>
    </border>
    <border>
      <left/>
      <right/>
      <top/>
      <bottom style="thin">
        <color theme="1"/>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medium">
        <color theme="4" tint="-0.499984740745262"/>
      </left>
      <right/>
      <top style="medium">
        <color theme="4" tint="-0.499984740745262"/>
      </top>
      <bottom/>
      <diagonal/>
    </border>
    <border>
      <left/>
      <right/>
      <top style="medium">
        <color theme="4" tint="-0.499984740745262"/>
      </top>
      <bottom/>
      <diagonal/>
    </border>
    <border>
      <left/>
      <right style="medium">
        <color theme="4" tint="-0.499984740745262"/>
      </right>
      <top style="medium">
        <color theme="4" tint="-0.499984740745262"/>
      </top>
      <bottom/>
      <diagonal/>
    </border>
    <border>
      <left style="medium">
        <color theme="0"/>
      </left>
      <right/>
      <top style="medium">
        <color theme="4" tint="-0.499984740745262"/>
      </top>
      <bottom/>
      <diagonal/>
    </border>
    <border>
      <left style="medium">
        <color theme="4" tint="-0.499984740745262"/>
      </left>
      <right/>
      <top/>
      <bottom/>
      <diagonal/>
    </border>
    <border>
      <left/>
      <right style="medium">
        <color theme="4" tint="-0.499984740745262"/>
      </right>
      <top/>
      <bottom/>
      <diagonal/>
    </border>
    <border>
      <left style="medium">
        <color theme="0"/>
      </left>
      <right/>
      <top/>
      <bottom/>
      <diagonal/>
    </border>
    <border>
      <left style="medium">
        <color theme="4" tint="-0.499984740745262"/>
      </left>
      <right/>
      <top/>
      <bottom style="medium">
        <color theme="0"/>
      </bottom>
      <diagonal/>
    </border>
    <border>
      <left/>
      <right/>
      <top/>
      <bottom style="medium">
        <color theme="0"/>
      </bottom>
      <diagonal/>
    </border>
    <border>
      <left style="medium">
        <color theme="0"/>
      </left>
      <right/>
      <top/>
      <bottom style="medium">
        <color theme="0"/>
      </bottom>
      <diagonal/>
    </border>
    <border>
      <left/>
      <right style="medium">
        <color theme="4" tint="-0.499984740745262"/>
      </right>
      <top/>
      <bottom style="medium">
        <color theme="0"/>
      </bottom>
      <diagonal/>
    </border>
    <border>
      <left style="medium">
        <color theme="4" tint="-0.499984740745262"/>
      </left>
      <right/>
      <top/>
      <bottom style="medium">
        <color theme="4" tint="-0.499984740745262"/>
      </bottom>
      <diagonal/>
    </border>
    <border>
      <left/>
      <right style="medium">
        <color theme="4" tint="-0.499984740745262"/>
      </right>
      <top/>
      <bottom style="medium">
        <color theme="4" tint="-0.499984740745262"/>
      </bottom>
      <diagonal/>
    </border>
  </borders>
  <cellStyleXfs count="3">
    <xf numFmtId="0" fontId="0" fillId="0" borderId="0"/>
    <xf numFmtId="9" fontId="3" fillId="0" borderId="0" applyFont="0" applyFill="0" applyBorder="0" applyAlignment="0" applyProtection="0"/>
    <xf numFmtId="0" fontId="26" fillId="0" borderId="0" applyNumberFormat="0" applyFill="0" applyBorder="0" applyAlignment="0" applyProtection="0"/>
  </cellStyleXfs>
  <cellXfs count="392">
    <xf numFmtId="0" fontId="0" fillId="0" borderId="0" xfId="0"/>
    <xf numFmtId="0" fontId="0" fillId="0" borderId="0" xfId="0" applyAlignment="1">
      <alignment horizontal="center" vertical="center"/>
    </xf>
    <xf numFmtId="0" fontId="0" fillId="0" borderId="0" xfId="0" applyAlignment="1">
      <alignment horizontal="left" vertical="center"/>
    </xf>
    <xf numFmtId="0" fontId="0" fillId="0" borderId="1" xfId="0" applyBorder="1"/>
    <xf numFmtId="0" fontId="0" fillId="0" borderId="1" xfId="0" applyBorder="1" applyAlignment="1">
      <alignment vertical="top"/>
    </xf>
    <xf numFmtId="0" fontId="0" fillId="0" borderId="1" xfId="0" applyBorder="1" applyAlignment="1">
      <alignment horizontal="center" vertical="center"/>
    </xf>
    <xf numFmtId="0" fontId="0" fillId="0" borderId="1" xfId="0" applyBorder="1" applyAlignment="1">
      <alignment horizontal="left" vertical="center"/>
    </xf>
    <xf numFmtId="0" fontId="2" fillId="0" borderId="12" xfId="0" applyFont="1" applyBorder="1" applyAlignment="1">
      <alignment horizontal="left" vertical="center"/>
    </xf>
    <xf numFmtId="0" fontId="2" fillId="0" borderId="12" xfId="0" applyFont="1" applyBorder="1" applyAlignment="1">
      <alignment horizontal="center" vertical="center"/>
    </xf>
    <xf numFmtId="0" fontId="0" fillId="0" borderId="12" xfId="0" applyBorder="1" applyAlignment="1">
      <alignment horizontal="left" vertical="center"/>
    </xf>
    <xf numFmtId="0" fontId="0" fillId="0" borderId="12" xfId="0" applyBorder="1"/>
    <xf numFmtId="0" fontId="0" fillId="0" borderId="3" xfId="0" applyBorder="1"/>
    <xf numFmtId="0" fontId="8" fillId="0" borderId="1" xfId="0" applyFont="1" applyBorder="1"/>
    <xf numFmtId="0" fontId="18" fillId="0" borderId="0" xfId="0" applyFont="1" applyAlignment="1">
      <alignment horizontal="center" vertical="center"/>
    </xf>
    <xf numFmtId="0" fontId="18" fillId="0" borderId="0" xfId="0" applyFont="1"/>
    <xf numFmtId="0" fontId="0" fillId="0" borderId="1" xfId="0" quotePrefix="1" applyBorder="1" applyAlignment="1">
      <alignment horizontal="left" indent="2"/>
    </xf>
    <xf numFmtId="0" fontId="14" fillId="0" borderId="0" xfId="0" applyFont="1"/>
    <xf numFmtId="0" fontId="7" fillId="0" borderId="0" xfId="0" applyFont="1"/>
    <xf numFmtId="0" fontId="8" fillId="0" borderId="0" xfId="0" applyFont="1" applyAlignment="1">
      <alignment wrapText="1"/>
    </xf>
    <xf numFmtId="0" fontId="0" fillId="0" borderId="0" xfId="0" applyAlignment="1">
      <alignment horizontal="right"/>
    </xf>
    <xf numFmtId="0" fontId="9" fillId="0" borderId="0" xfId="0" applyFont="1" applyAlignment="1">
      <alignment horizontal="right" indent="1"/>
    </xf>
    <xf numFmtId="0" fontId="18" fillId="0" borderId="34" xfId="0" applyFont="1" applyBorder="1" applyAlignment="1">
      <alignment horizontal="center" vertical="center"/>
    </xf>
    <xf numFmtId="0" fontId="18" fillId="0" borderId="34" xfId="0" applyFont="1" applyBorder="1" applyAlignment="1" applyProtection="1">
      <alignment vertical="center"/>
      <protection locked="0"/>
    </xf>
    <xf numFmtId="0" fontId="10" fillId="4" borderId="34" xfId="0" applyFont="1" applyFill="1" applyBorder="1" applyAlignment="1">
      <alignment horizontal="center" vertical="center" wrapText="1"/>
    </xf>
    <xf numFmtId="0" fontId="10" fillId="4" borderId="34" xfId="0" applyFont="1" applyFill="1" applyBorder="1" applyAlignment="1">
      <alignment horizontal="center" vertical="center"/>
    </xf>
    <xf numFmtId="0" fontId="24" fillId="0" borderId="0" xfId="0" applyFont="1"/>
    <xf numFmtId="0" fontId="18" fillId="0" borderId="34" xfId="0" applyFont="1" applyBorder="1" applyAlignment="1" applyProtection="1">
      <alignment horizontal="center" vertical="center"/>
      <protection locked="0"/>
    </xf>
    <xf numFmtId="0" fontId="18" fillId="0" borderId="55" xfId="0" applyFont="1" applyBorder="1" applyAlignment="1" applyProtection="1">
      <alignment horizontal="center" vertical="top" wrapText="1"/>
      <protection locked="0"/>
    </xf>
    <xf numFmtId="0" fontId="18" fillId="0" borderId="56" xfId="0" applyFont="1" applyBorder="1" applyAlignment="1" applyProtection="1">
      <alignment horizontal="center" vertical="top" wrapText="1"/>
      <protection locked="0"/>
    </xf>
    <xf numFmtId="0" fontId="16" fillId="0" borderId="53" xfId="0" applyFont="1" applyBorder="1" applyAlignment="1" applyProtection="1">
      <alignment horizontal="center" vertical="top" wrapText="1"/>
      <protection locked="0"/>
    </xf>
    <xf numFmtId="0" fontId="18" fillId="0" borderId="57" xfId="0" applyFont="1" applyBorder="1" applyAlignment="1" applyProtection="1">
      <alignment horizontal="center" vertical="top" wrapText="1"/>
      <protection locked="0"/>
    </xf>
    <xf numFmtId="0" fontId="16" fillId="0" borderId="58" xfId="0" applyFont="1" applyBorder="1" applyAlignment="1" applyProtection="1">
      <alignment horizontal="center" vertical="top" wrapText="1"/>
      <protection locked="0"/>
    </xf>
    <xf numFmtId="0" fontId="2" fillId="2" borderId="53" xfId="0" applyFont="1" applyFill="1" applyBorder="1" applyAlignment="1" applyProtection="1">
      <alignment horizontal="center" vertical="center" wrapText="1"/>
      <protection locked="0"/>
    </xf>
    <xf numFmtId="0" fontId="2" fillId="2" borderId="55" xfId="0" applyFont="1" applyFill="1" applyBorder="1" applyAlignment="1" applyProtection="1">
      <alignment horizontal="center" vertical="center" wrapText="1"/>
      <protection locked="0"/>
    </xf>
    <xf numFmtId="0" fontId="2" fillId="2" borderId="56" xfId="0" applyFont="1" applyFill="1" applyBorder="1" applyAlignment="1" applyProtection="1">
      <alignment horizontal="center" vertical="center" wrapText="1"/>
      <protection locked="0"/>
    </xf>
    <xf numFmtId="0" fontId="0" fillId="0" borderId="0" xfId="0" applyAlignment="1">
      <alignment horizontal="right" vertical="center"/>
    </xf>
    <xf numFmtId="0" fontId="27" fillId="0" borderId="0" xfId="0" applyFont="1"/>
    <xf numFmtId="0" fontId="18" fillId="0" borderId="52" xfId="0" applyFont="1" applyBorder="1" applyAlignment="1" applyProtection="1">
      <alignment horizontal="center" vertical="top" wrapText="1"/>
      <protection locked="0"/>
    </xf>
    <xf numFmtId="0" fontId="18" fillId="0" borderId="19" xfId="0" applyFont="1" applyBorder="1" applyAlignment="1" applyProtection="1">
      <alignment horizontal="center" vertical="top" wrapText="1"/>
      <protection locked="0"/>
    </xf>
    <xf numFmtId="0" fontId="44" fillId="0" borderId="0" xfId="0" applyFont="1"/>
    <xf numFmtId="0" fontId="0" fillId="0" borderId="12" xfId="0" applyBorder="1" applyAlignment="1">
      <alignment horizontal="center" vertical="center"/>
    </xf>
    <xf numFmtId="0" fontId="23" fillId="0" borderId="35" xfId="0" applyFont="1" applyBorder="1" applyAlignment="1" applyProtection="1">
      <alignment horizontal="center" vertical="center"/>
      <protection locked="0"/>
    </xf>
    <xf numFmtId="0" fontId="15" fillId="0" borderId="0" xfId="0" applyFont="1" applyAlignment="1" applyProtection="1">
      <alignment horizontal="center" vertical="center"/>
      <protection locked="0"/>
    </xf>
    <xf numFmtId="0" fontId="15" fillId="0" borderId="0" xfId="0" applyFont="1" applyProtection="1">
      <protection locked="0"/>
    </xf>
    <xf numFmtId="0" fontId="0" fillId="0" borderId="34" xfId="0" applyBorder="1" applyAlignment="1" applyProtection="1">
      <alignment horizontal="center" vertical="center"/>
      <protection hidden="1"/>
    </xf>
    <xf numFmtId="0" fontId="2" fillId="0" borderId="0" xfId="0" applyFont="1" applyAlignment="1" applyProtection="1">
      <alignment horizontal="left"/>
      <protection hidden="1"/>
    </xf>
    <xf numFmtId="0" fontId="18" fillId="4" borderId="17" xfId="0" applyFont="1" applyFill="1" applyBorder="1" applyAlignment="1" applyProtection="1">
      <alignment horizontal="center" vertical="top" wrapText="1"/>
      <protection locked="0"/>
    </xf>
    <xf numFmtId="0" fontId="18" fillId="4" borderId="48" xfId="0" applyFont="1" applyFill="1" applyBorder="1" applyAlignment="1" applyProtection="1">
      <alignment horizontal="center" vertical="top" wrapText="1"/>
      <protection locked="0"/>
    </xf>
    <xf numFmtId="0" fontId="20" fillId="4" borderId="24" xfId="0" applyFont="1" applyFill="1" applyBorder="1" applyAlignment="1" applyProtection="1">
      <alignment horizontal="center" vertical="center" wrapText="1"/>
      <protection hidden="1"/>
    </xf>
    <xf numFmtId="0" fontId="0" fillId="4" borderId="24" xfId="0" applyFill="1" applyBorder="1" applyAlignment="1" applyProtection="1">
      <alignment horizontal="center" vertical="top" wrapText="1"/>
      <protection hidden="1"/>
    </xf>
    <xf numFmtId="0" fontId="0" fillId="4" borderId="24" xfId="0" applyFill="1" applyBorder="1" applyAlignment="1" applyProtection="1">
      <alignment horizontal="center" vertical="center" wrapText="1"/>
      <protection hidden="1"/>
    </xf>
    <xf numFmtId="0" fontId="0" fillId="4" borderId="36" xfId="0" applyFill="1" applyBorder="1" applyAlignment="1" applyProtection="1">
      <alignment horizontal="center" vertical="center" wrapText="1"/>
      <protection hidden="1"/>
    </xf>
    <xf numFmtId="0" fontId="18" fillId="4" borderId="24" xfId="0" applyFont="1" applyFill="1" applyBorder="1" applyAlignment="1" applyProtection="1">
      <alignment horizontal="center" vertical="top" wrapText="1"/>
      <protection hidden="1"/>
    </xf>
    <xf numFmtId="0" fontId="18" fillId="4" borderId="44" xfId="0" applyFont="1" applyFill="1" applyBorder="1" applyAlignment="1" applyProtection="1">
      <alignment horizontal="center" vertical="top" wrapText="1"/>
      <protection hidden="1"/>
    </xf>
    <xf numFmtId="0" fontId="0" fillId="4" borderId="21" xfId="0" applyFill="1" applyBorder="1" applyAlignment="1" applyProtection="1">
      <alignment horizontal="center" vertical="center" wrapText="1"/>
      <protection hidden="1"/>
    </xf>
    <xf numFmtId="0" fontId="0" fillId="4" borderId="21" xfId="0" applyFill="1" applyBorder="1" applyAlignment="1" applyProtection="1">
      <alignment horizontal="center" vertical="top" wrapText="1"/>
      <protection hidden="1"/>
    </xf>
    <xf numFmtId="0" fontId="0" fillId="4" borderId="37" xfId="0" applyFill="1" applyBorder="1" applyAlignment="1" applyProtection="1">
      <alignment horizontal="center" vertical="center" wrapText="1"/>
      <protection hidden="1"/>
    </xf>
    <xf numFmtId="0" fontId="29" fillId="4" borderId="17" xfId="0" applyFont="1" applyFill="1" applyBorder="1" applyAlignment="1" applyProtection="1">
      <alignment horizontal="center" vertical="center" wrapText="1"/>
      <protection hidden="1"/>
    </xf>
    <xf numFmtId="0" fontId="18" fillId="0" borderId="2" xfId="0" applyFont="1" applyBorder="1" applyAlignment="1" applyProtection="1">
      <alignment horizontal="center" vertical="top"/>
      <protection hidden="1"/>
    </xf>
    <xf numFmtId="0" fontId="19" fillId="3" borderId="22" xfId="0" applyFont="1" applyFill="1" applyBorder="1" applyAlignment="1" applyProtection="1">
      <alignment horizontal="center" vertical="center" wrapText="1"/>
      <protection hidden="1"/>
    </xf>
    <xf numFmtId="0" fontId="19" fillId="3" borderId="23" xfId="0" applyFont="1" applyFill="1" applyBorder="1" applyAlignment="1" applyProtection="1">
      <alignment horizontal="center" vertical="center" wrapText="1"/>
      <protection hidden="1"/>
    </xf>
    <xf numFmtId="0" fontId="18" fillId="0" borderId="25" xfId="0" applyFont="1" applyBorder="1" applyAlignment="1" applyProtection="1">
      <alignment horizontal="center" vertical="top"/>
      <protection hidden="1"/>
    </xf>
    <xf numFmtId="0" fontId="18" fillId="0" borderId="1" xfId="0" applyFont="1" applyBorder="1" applyAlignment="1" applyProtection="1">
      <alignment horizontal="center" vertical="top"/>
      <protection hidden="1"/>
    </xf>
    <xf numFmtId="0" fontId="18" fillId="0" borderId="12" xfId="0" applyFont="1" applyBorder="1" applyAlignment="1" applyProtection="1">
      <alignment horizontal="center" vertical="top"/>
      <protection hidden="1"/>
    </xf>
    <xf numFmtId="0" fontId="18" fillId="0" borderId="13" xfId="0" applyFont="1" applyBorder="1" applyAlignment="1" applyProtection="1">
      <alignment horizontal="center" vertical="top"/>
      <protection hidden="1"/>
    </xf>
    <xf numFmtId="0" fontId="18" fillId="0" borderId="7" xfId="0" applyFont="1" applyBorder="1" applyAlignment="1" applyProtection="1">
      <alignment horizontal="left" vertical="top" indent="1"/>
      <protection hidden="1"/>
    </xf>
    <xf numFmtId="0" fontId="28" fillId="0" borderId="51" xfId="0" applyFont="1" applyBorder="1" applyAlignment="1" applyProtection="1">
      <alignment horizontal="center" vertical="center"/>
      <protection hidden="1"/>
    </xf>
    <xf numFmtId="0" fontId="28" fillId="0" borderId="7" xfId="0" applyFont="1" applyBorder="1" applyAlignment="1" applyProtection="1">
      <alignment horizontal="left" vertical="top" indent="2"/>
      <protection hidden="1"/>
    </xf>
    <xf numFmtId="0" fontId="28" fillId="0" borderId="5" xfId="0" applyFont="1" applyBorder="1" applyAlignment="1" applyProtection="1">
      <alignment horizontal="left" vertical="top" indent="2"/>
      <protection hidden="1"/>
    </xf>
    <xf numFmtId="0" fontId="18" fillId="0" borderId="3" xfId="0" applyFont="1" applyBorder="1" applyAlignment="1" applyProtection="1">
      <alignment horizontal="center" vertical="top"/>
      <protection hidden="1"/>
    </xf>
    <xf numFmtId="0" fontId="18" fillId="0" borderId="19" xfId="0" applyFont="1" applyBorder="1" applyAlignment="1" applyProtection="1">
      <alignment horizontal="left" vertical="top" indent="1"/>
      <protection hidden="1"/>
    </xf>
    <xf numFmtId="0" fontId="18" fillId="0" borderId="38" xfId="0" applyFont="1" applyBorder="1" applyAlignment="1" applyProtection="1">
      <alignment horizontal="center" vertical="top"/>
      <protection hidden="1"/>
    </xf>
    <xf numFmtId="0" fontId="18" fillId="0" borderId="39" xfId="0" applyFont="1" applyBorder="1" applyAlignment="1" applyProtection="1">
      <alignment horizontal="center" vertical="top"/>
      <protection hidden="1"/>
    </xf>
    <xf numFmtId="0" fontId="18" fillId="0" borderId="43" xfId="0" applyFont="1" applyBorder="1" applyAlignment="1" applyProtection="1">
      <alignment horizontal="center" vertical="top"/>
      <protection hidden="1"/>
    </xf>
    <xf numFmtId="0" fontId="18" fillId="0" borderId="44" xfId="0" applyFont="1" applyBorder="1" applyAlignment="1" applyProtection="1">
      <alignment horizontal="center" vertical="top"/>
      <protection hidden="1"/>
    </xf>
    <xf numFmtId="0" fontId="18" fillId="0" borderId="45" xfId="0" applyFont="1" applyBorder="1" applyAlignment="1" applyProtection="1">
      <alignment horizontal="center" vertical="top"/>
      <protection hidden="1"/>
    </xf>
    <xf numFmtId="0" fontId="18" fillId="0" borderId="46" xfId="0" applyFont="1" applyBorder="1" applyAlignment="1" applyProtection="1">
      <alignment horizontal="center" vertical="top"/>
      <protection hidden="1"/>
    </xf>
    <xf numFmtId="0" fontId="0" fillId="0" borderId="6" xfId="0" applyBorder="1" applyAlignment="1" applyProtection="1">
      <alignment horizontal="left" vertical="center"/>
      <protection hidden="1"/>
    </xf>
    <xf numFmtId="0" fontId="0" fillId="0" borderId="6" xfId="0" applyBorder="1" applyAlignment="1" applyProtection="1">
      <alignment horizontal="center" vertical="center"/>
      <protection hidden="1"/>
    </xf>
    <xf numFmtId="0" fontId="28" fillId="0" borderId="8" xfId="0" applyFont="1" applyBorder="1" applyAlignment="1" applyProtection="1">
      <alignment horizontal="left" vertical="top" indent="2"/>
      <protection locked="0"/>
    </xf>
    <xf numFmtId="0" fontId="28" fillId="0" borderId="10" xfId="0" applyFont="1" applyBorder="1" applyAlignment="1" applyProtection="1">
      <alignment horizontal="left" vertical="top" indent="2"/>
      <protection locked="0"/>
    </xf>
    <xf numFmtId="0" fontId="0" fillId="0" borderId="6" xfId="0" applyBorder="1" applyProtection="1">
      <protection hidden="1"/>
    </xf>
    <xf numFmtId="0" fontId="0" fillId="0" borderId="0" xfId="0" applyProtection="1">
      <protection hidden="1"/>
    </xf>
    <xf numFmtId="0" fontId="0" fillId="0" borderId="0" xfId="0" applyAlignment="1" applyProtection="1">
      <alignment horizontal="center" vertical="center"/>
      <protection hidden="1"/>
    </xf>
    <xf numFmtId="0" fontId="0" fillId="0" borderId="0" xfId="0" applyAlignment="1" applyProtection="1">
      <alignment horizontal="left" vertical="center"/>
      <protection hidden="1"/>
    </xf>
    <xf numFmtId="0" fontId="15" fillId="0" borderId="0" xfId="0" applyFont="1" applyAlignment="1" applyProtection="1">
      <alignment horizontal="center" vertical="center"/>
      <protection hidden="1"/>
    </xf>
    <xf numFmtId="0" fontId="15" fillId="0" borderId="0" xfId="0" applyFont="1" applyAlignment="1" applyProtection="1">
      <alignment horizontal="left" vertical="center"/>
      <protection hidden="1"/>
    </xf>
    <xf numFmtId="0" fontId="15" fillId="0" borderId="0" xfId="0" applyFont="1" applyProtection="1">
      <protection hidden="1"/>
    </xf>
    <xf numFmtId="0" fontId="0" fillId="0" borderId="1" xfId="0" applyBorder="1" applyAlignment="1" applyProtection="1">
      <alignment horizontal="left" vertical="center"/>
      <protection hidden="1"/>
    </xf>
    <xf numFmtId="0" fontId="0" fillId="0" borderId="1" xfId="0" applyBorder="1" applyProtection="1">
      <protection hidden="1"/>
    </xf>
    <xf numFmtId="0" fontId="0" fillId="0" borderId="12" xfId="0" applyBorder="1" applyProtection="1">
      <protection hidden="1"/>
    </xf>
    <xf numFmtId="0" fontId="0" fillId="0" borderId="12" xfId="0" applyBorder="1" applyAlignment="1" applyProtection="1">
      <alignment horizontal="left" vertical="center"/>
      <protection hidden="1"/>
    </xf>
    <xf numFmtId="0" fontId="2" fillId="0" borderId="12" xfId="0" applyFont="1" applyBorder="1" applyAlignment="1" applyProtection="1">
      <alignment horizontal="left" vertical="center"/>
      <protection hidden="1"/>
    </xf>
    <xf numFmtId="0" fontId="21" fillId="3" borderId="0" xfId="0" applyFont="1" applyFill="1" applyProtection="1">
      <protection hidden="1"/>
    </xf>
    <xf numFmtId="0" fontId="25" fillId="4" borderId="53" xfId="0" applyFont="1" applyFill="1" applyBorder="1" applyAlignment="1" applyProtection="1">
      <alignment horizontal="left" vertical="center" wrapText="1" indent="2"/>
      <protection hidden="1"/>
    </xf>
    <xf numFmtId="0" fontId="4" fillId="4" borderId="53" xfId="0" applyFont="1" applyFill="1" applyBorder="1" applyAlignment="1" applyProtection="1">
      <alignment horizontal="left" vertical="center" wrapText="1" indent="2"/>
      <protection hidden="1"/>
    </xf>
    <xf numFmtId="0" fontId="18" fillId="5" borderId="59" xfId="0" applyFont="1" applyFill="1" applyBorder="1" applyAlignment="1" applyProtection="1">
      <alignment horizontal="left" vertical="top" indent="1"/>
      <protection hidden="1"/>
    </xf>
    <xf numFmtId="0" fontId="18" fillId="5" borderId="59" xfId="0" applyFont="1" applyFill="1" applyBorder="1" applyAlignment="1" applyProtection="1">
      <alignment horizontal="center" vertical="center" wrapText="1"/>
      <protection hidden="1"/>
    </xf>
    <xf numFmtId="0" fontId="18" fillId="0" borderId="0" xfId="0" applyFont="1" applyProtection="1">
      <protection hidden="1"/>
    </xf>
    <xf numFmtId="0" fontId="18" fillId="5" borderId="60" xfId="0" applyFont="1" applyFill="1" applyBorder="1" applyAlignment="1" applyProtection="1">
      <alignment horizontal="left" vertical="top" indent="1"/>
      <protection hidden="1"/>
    </xf>
    <xf numFmtId="0" fontId="18" fillId="5" borderId="60" xfId="0" applyFont="1" applyFill="1" applyBorder="1" applyAlignment="1" applyProtection="1">
      <alignment horizontal="center" vertical="center" wrapText="1"/>
      <protection hidden="1"/>
    </xf>
    <xf numFmtId="0" fontId="18" fillId="5" borderId="61" xfId="0" applyFont="1" applyFill="1" applyBorder="1" applyAlignment="1" applyProtection="1">
      <alignment horizontal="left" vertical="top" indent="1"/>
      <protection hidden="1"/>
    </xf>
    <xf numFmtId="0" fontId="18" fillId="5" borderId="61" xfId="0" applyFont="1" applyFill="1" applyBorder="1" applyAlignment="1" applyProtection="1">
      <alignment horizontal="center" vertical="center" wrapText="1"/>
      <protection hidden="1"/>
    </xf>
    <xf numFmtId="0" fontId="18" fillId="0" borderId="55" xfId="0" applyFont="1" applyBorder="1" applyAlignment="1" applyProtection="1">
      <alignment horizontal="left" vertical="top" indent="1"/>
      <protection hidden="1"/>
    </xf>
    <xf numFmtId="0" fontId="18" fillId="0" borderId="0" xfId="0" applyFont="1" applyAlignment="1" applyProtection="1">
      <alignment horizontal="center" vertical="center"/>
      <protection hidden="1"/>
    </xf>
    <xf numFmtId="0" fontId="18" fillId="0" borderId="56" xfId="0" applyFont="1" applyBorder="1" applyAlignment="1" applyProtection="1">
      <alignment horizontal="left" vertical="top" indent="1"/>
      <protection hidden="1"/>
    </xf>
    <xf numFmtId="0" fontId="4" fillId="2" borderId="55" xfId="0" applyFont="1" applyFill="1" applyBorder="1" applyAlignment="1" applyProtection="1">
      <alignment horizontal="left" vertical="center" indent="2"/>
      <protection hidden="1"/>
    </xf>
    <xf numFmtId="0" fontId="4" fillId="2" borderId="56" xfId="0" applyFont="1" applyFill="1" applyBorder="1" applyAlignment="1" applyProtection="1">
      <alignment horizontal="left" vertical="center" indent="2"/>
      <protection hidden="1"/>
    </xf>
    <xf numFmtId="0" fontId="17" fillId="5" borderId="59" xfId="0" applyFont="1" applyFill="1" applyBorder="1" applyAlignment="1" applyProtection="1">
      <alignment horizontal="left" vertical="center" indent="1"/>
      <protection hidden="1"/>
    </xf>
    <xf numFmtId="0" fontId="16" fillId="5" borderId="59" xfId="0" applyFont="1" applyFill="1" applyBorder="1" applyAlignment="1" applyProtection="1">
      <alignment horizontal="right" vertical="center" indent="1"/>
      <protection hidden="1"/>
    </xf>
    <xf numFmtId="0" fontId="17" fillId="5" borderId="60" xfId="0" applyFont="1" applyFill="1" applyBorder="1" applyAlignment="1" applyProtection="1">
      <alignment horizontal="right" vertical="top" indent="1"/>
      <protection hidden="1"/>
    </xf>
    <xf numFmtId="0" fontId="16" fillId="5" borderId="60" xfId="0" applyFont="1" applyFill="1" applyBorder="1" applyAlignment="1" applyProtection="1">
      <alignment horizontal="center" vertical="top" wrapText="1"/>
      <protection hidden="1"/>
    </xf>
    <xf numFmtId="0" fontId="17" fillId="5" borderId="61" xfId="0" applyFont="1" applyFill="1" applyBorder="1" applyAlignment="1" applyProtection="1">
      <alignment horizontal="right" vertical="top" indent="1"/>
      <protection hidden="1"/>
    </xf>
    <xf numFmtId="0" fontId="16" fillId="5" borderId="61" xfId="0" applyFont="1" applyFill="1" applyBorder="1" applyAlignment="1" applyProtection="1">
      <alignment horizontal="center" vertical="top" wrapText="1"/>
      <protection hidden="1"/>
    </xf>
    <xf numFmtId="0" fontId="16" fillId="0" borderId="55" xfId="0" applyFont="1" applyBorder="1" applyAlignment="1" applyProtection="1">
      <alignment horizontal="right" vertical="top" indent="1"/>
      <protection hidden="1"/>
    </xf>
    <xf numFmtId="0" fontId="18" fillId="0" borderId="57" xfId="0" applyFont="1" applyBorder="1" applyAlignment="1" applyProtection="1">
      <alignment horizontal="left" vertical="top" indent="1"/>
      <protection hidden="1"/>
    </xf>
    <xf numFmtId="0" fontId="18" fillId="0" borderId="56" xfId="0" applyFont="1" applyBorder="1" applyAlignment="1" applyProtection="1">
      <alignment horizontal="left" vertical="top" wrapText="1" indent="1"/>
      <protection hidden="1"/>
    </xf>
    <xf numFmtId="0" fontId="4" fillId="2" borderId="54" xfId="0" applyFont="1" applyFill="1" applyBorder="1" applyAlignment="1" applyProtection="1">
      <alignment horizontal="left" vertical="center" indent="2"/>
      <protection hidden="1"/>
    </xf>
    <xf numFmtId="0" fontId="17" fillId="5" borderId="62" xfId="0" applyFont="1" applyFill="1" applyBorder="1" applyAlignment="1" applyProtection="1">
      <alignment horizontal="left" vertical="center" indent="1"/>
      <protection hidden="1"/>
    </xf>
    <xf numFmtId="0" fontId="16" fillId="5" borderId="62" xfId="0" applyFont="1" applyFill="1" applyBorder="1" applyAlignment="1" applyProtection="1">
      <alignment horizontal="right" vertical="center" indent="1"/>
      <protection hidden="1"/>
    </xf>
    <xf numFmtId="164" fontId="16" fillId="5" borderId="60" xfId="0" applyNumberFormat="1" applyFont="1" applyFill="1" applyBorder="1" applyAlignment="1" applyProtection="1">
      <alignment horizontal="center" vertical="top" wrapText="1"/>
      <protection hidden="1"/>
    </xf>
    <xf numFmtId="0" fontId="16" fillId="0" borderId="58" xfId="0" applyFont="1" applyBorder="1" applyAlignment="1" applyProtection="1">
      <alignment horizontal="right" vertical="top" indent="1"/>
      <protection hidden="1"/>
    </xf>
    <xf numFmtId="0" fontId="30" fillId="0" borderId="1" xfId="0" applyFont="1" applyBorder="1" applyProtection="1">
      <protection hidden="1"/>
    </xf>
    <xf numFmtId="0" fontId="30" fillId="0" borderId="14" xfId="0" applyFont="1" applyBorder="1" applyProtection="1">
      <protection hidden="1"/>
    </xf>
    <xf numFmtId="0" fontId="32" fillId="0" borderId="12" xfId="0" applyFont="1" applyBorder="1" applyProtection="1">
      <protection hidden="1"/>
    </xf>
    <xf numFmtId="0" fontId="30" fillId="0" borderId="12" xfId="0" applyFont="1" applyBorder="1" applyProtection="1">
      <protection hidden="1"/>
    </xf>
    <xf numFmtId="0" fontId="32" fillId="0" borderId="1" xfId="0" applyFont="1" applyBorder="1" applyProtection="1">
      <protection hidden="1"/>
    </xf>
    <xf numFmtId="0" fontId="32" fillId="0" borderId="0" xfId="0" applyFont="1" applyProtection="1">
      <protection hidden="1"/>
    </xf>
    <xf numFmtId="0" fontId="34" fillId="0" borderId="1" xfId="0" applyFont="1" applyBorder="1" applyAlignment="1" applyProtection="1">
      <alignment horizontal="center" vertical="center" wrapText="1"/>
      <protection hidden="1"/>
    </xf>
    <xf numFmtId="0" fontId="32" fillId="0" borderId="0" xfId="0" applyFont="1" applyAlignment="1" applyProtection="1">
      <alignment horizontal="center" vertical="center"/>
      <protection hidden="1"/>
    </xf>
    <xf numFmtId="0" fontId="32" fillId="0" borderId="1" xfId="0" applyFont="1" applyBorder="1" applyAlignment="1" applyProtection="1">
      <alignment horizontal="center" vertical="center"/>
      <protection hidden="1"/>
    </xf>
    <xf numFmtId="0" fontId="30" fillId="0" borderId="0" xfId="0" applyFont="1" applyProtection="1">
      <protection hidden="1"/>
    </xf>
    <xf numFmtId="0" fontId="31" fillId="6" borderId="64" xfId="0" applyFont="1" applyFill="1" applyBorder="1" applyAlignment="1" applyProtection="1">
      <alignment horizontal="center" vertical="center" wrapText="1"/>
      <protection hidden="1"/>
    </xf>
    <xf numFmtId="0" fontId="31" fillId="6" borderId="64" xfId="0" applyFont="1" applyFill="1" applyBorder="1" applyAlignment="1" applyProtection="1">
      <alignment vertical="center" wrapText="1"/>
      <protection hidden="1"/>
    </xf>
    <xf numFmtId="0" fontId="31" fillId="6" borderId="65" xfId="0" applyFont="1" applyFill="1" applyBorder="1" applyAlignment="1" applyProtection="1">
      <alignment horizontal="center" vertical="center" wrapText="1"/>
      <protection hidden="1"/>
    </xf>
    <xf numFmtId="0" fontId="31" fillId="6" borderId="63" xfId="0" applyFont="1" applyFill="1" applyBorder="1" applyAlignment="1" applyProtection="1">
      <alignment horizontal="center" vertical="center" wrapText="1"/>
      <protection hidden="1"/>
    </xf>
    <xf numFmtId="164" fontId="31" fillId="6" borderId="66" xfId="0" applyNumberFormat="1" applyFont="1" applyFill="1" applyBorder="1" applyAlignment="1" applyProtection="1">
      <alignment horizontal="center" vertical="center" wrapText="1"/>
      <protection hidden="1"/>
    </xf>
    <xf numFmtId="0" fontId="33" fillId="0" borderId="67" xfId="0" applyFont="1" applyBorder="1" applyAlignment="1" applyProtection="1">
      <alignment horizontal="center" vertical="center" wrapText="1"/>
      <protection hidden="1"/>
    </xf>
    <xf numFmtId="0" fontId="33" fillId="0" borderId="68" xfId="0" applyFont="1" applyBorder="1" applyAlignment="1" applyProtection="1">
      <alignment horizontal="center" vertical="center" wrapText="1"/>
      <protection hidden="1"/>
    </xf>
    <xf numFmtId="0" fontId="30" fillId="0" borderId="1" xfId="0" applyFont="1" applyBorder="1" applyAlignment="1" applyProtection="1">
      <alignment horizontal="center" vertical="center"/>
      <protection hidden="1"/>
    </xf>
    <xf numFmtId="0" fontId="30" fillId="0" borderId="0" xfId="0" applyFont="1" applyAlignment="1" applyProtection="1">
      <alignment horizontal="center" vertical="center"/>
      <protection hidden="1"/>
    </xf>
    <xf numFmtId="164" fontId="31" fillId="6" borderId="69" xfId="0" applyNumberFormat="1" applyFont="1" applyFill="1" applyBorder="1" applyAlignment="1" applyProtection="1">
      <alignment horizontal="center" vertical="center" wrapText="1"/>
      <protection hidden="1"/>
    </xf>
    <xf numFmtId="0" fontId="33" fillId="0" borderId="70" xfId="0" applyFont="1" applyBorder="1" applyAlignment="1" applyProtection="1">
      <alignment horizontal="center" vertical="center" wrapText="1"/>
      <protection hidden="1"/>
    </xf>
    <xf numFmtId="0" fontId="33" fillId="0" borderId="71" xfId="0" applyFont="1" applyBorder="1" applyAlignment="1" applyProtection="1">
      <alignment horizontal="center" vertical="center" wrapText="1"/>
      <protection hidden="1"/>
    </xf>
    <xf numFmtId="0" fontId="30" fillId="0" borderId="104" xfId="0" applyFont="1" applyBorder="1" applyProtection="1">
      <protection hidden="1"/>
    </xf>
    <xf numFmtId="0" fontId="30" fillId="0" borderId="3" xfId="0" applyFont="1" applyBorder="1" applyProtection="1">
      <protection hidden="1"/>
    </xf>
    <xf numFmtId="0" fontId="38" fillId="6" borderId="34" xfId="0" applyFont="1" applyFill="1" applyBorder="1" applyAlignment="1" applyProtection="1">
      <alignment horizontal="center" textRotation="90" wrapText="1"/>
      <protection hidden="1"/>
    </xf>
    <xf numFmtId="0" fontId="38" fillId="6" borderId="95" xfId="0" applyFont="1" applyFill="1" applyBorder="1" applyAlignment="1" applyProtection="1">
      <alignment horizontal="center" textRotation="90" wrapText="1"/>
      <protection hidden="1"/>
    </xf>
    <xf numFmtId="0" fontId="38" fillId="6" borderId="97" xfId="0" applyFont="1" applyFill="1" applyBorder="1" applyAlignment="1" applyProtection="1">
      <alignment horizontal="center" textRotation="90" wrapText="1"/>
      <protection hidden="1"/>
    </xf>
    <xf numFmtId="0" fontId="39" fillId="6" borderId="96" xfId="0" applyFont="1" applyFill="1" applyBorder="1" applyAlignment="1" applyProtection="1">
      <alignment horizontal="center" textRotation="90" wrapText="1"/>
      <protection hidden="1"/>
    </xf>
    <xf numFmtId="0" fontId="39" fillId="6" borderId="97" xfId="0" applyFont="1" applyFill="1" applyBorder="1" applyAlignment="1" applyProtection="1">
      <alignment horizontal="center" textRotation="90" wrapText="1"/>
      <protection hidden="1"/>
    </xf>
    <xf numFmtId="0" fontId="40" fillId="0" borderId="91" xfId="0" applyFont="1" applyBorder="1" applyAlignment="1" applyProtection="1">
      <alignment horizontal="center" vertical="center"/>
      <protection hidden="1"/>
    </xf>
    <xf numFmtId="0" fontId="40" fillId="0" borderId="92" xfId="0" applyFont="1" applyBorder="1" applyAlignment="1" applyProtection="1">
      <alignment horizontal="center" vertical="center"/>
      <protection hidden="1"/>
    </xf>
    <xf numFmtId="0" fontId="40" fillId="0" borderId="93" xfId="0" applyFont="1" applyBorder="1" applyAlignment="1" applyProtection="1">
      <alignment horizontal="center" vertical="center"/>
      <protection hidden="1"/>
    </xf>
    <xf numFmtId="0" fontId="40" fillId="0" borderId="94" xfId="0" applyFont="1" applyBorder="1" applyAlignment="1" applyProtection="1">
      <alignment horizontal="center" vertical="center"/>
      <protection hidden="1"/>
    </xf>
    <xf numFmtId="0" fontId="40" fillId="0" borderId="98" xfId="0" applyFont="1" applyBorder="1" applyAlignment="1" applyProtection="1">
      <alignment horizontal="center" vertical="center"/>
      <protection hidden="1"/>
    </xf>
    <xf numFmtId="0" fontId="40" fillId="0" borderId="89" xfId="0" applyFont="1" applyBorder="1" applyAlignment="1" applyProtection="1">
      <alignment horizontal="center" vertical="center"/>
      <protection hidden="1"/>
    </xf>
    <xf numFmtId="9" fontId="35" fillId="0" borderId="1" xfId="1" applyFont="1" applyBorder="1" applyProtection="1">
      <protection hidden="1"/>
    </xf>
    <xf numFmtId="0" fontId="41" fillId="0" borderId="91" xfId="0" applyFont="1" applyBorder="1" applyAlignment="1" applyProtection="1">
      <alignment horizontal="center" vertical="center"/>
      <protection hidden="1"/>
    </xf>
    <xf numFmtId="0" fontId="41" fillId="0" borderId="92" xfId="0" applyFont="1" applyBorder="1" applyAlignment="1" applyProtection="1">
      <alignment horizontal="center" vertical="center"/>
      <protection hidden="1"/>
    </xf>
    <xf numFmtId="0" fontId="41" fillId="0" borderId="93" xfId="0" applyFont="1" applyBorder="1" applyAlignment="1" applyProtection="1">
      <alignment horizontal="center" vertical="center"/>
      <protection hidden="1"/>
    </xf>
    <xf numFmtId="0" fontId="41" fillId="0" borderId="94" xfId="0" applyFont="1" applyBorder="1" applyAlignment="1" applyProtection="1">
      <alignment horizontal="center" vertical="center"/>
      <protection hidden="1"/>
    </xf>
    <xf numFmtId="0" fontId="41" fillId="0" borderId="98" xfId="0" applyFont="1" applyBorder="1" applyAlignment="1" applyProtection="1">
      <alignment horizontal="center" vertical="center"/>
      <protection hidden="1"/>
    </xf>
    <xf numFmtId="0" fontId="41" fillId="0" borderId="89" xfId="0" applyFont="1" applyBorder="1" applyAlignment="1" applyProtection="1">
      <alignment horizontal="center" vertical="center"/>
      <protection hidden="1"/>
    </xf>
    <xf numFmtId="0" fontId="35" fillId="0" borderId="1" xfId="0" applyFont="1" applyBorder="1" applyProtection="1">
      <protection hidden="1"/>
    </xf>
    <xf numFmtId="0" fontId="42" fillId="0" borderId="1" xfId="0" applyFont="1" applyBorder="1" applyProtection="1">
      <protection hidden="1"/>
    </xf>
    <xf numFmtId="0" fontId="18" fillId="0" borderId="18" xfId="0" applyFont="1" applyBorder="1" applyAlignment="1" applyProtection="1">
      <alignment horizontal="left" vertical="top" indent="1"/>
      <protection hidden="1"/>
    </xf>
    <xf numFmtId="0" fontId="15" fillId="2" borderId="23" xfId="0" applyFont="1" applyFill="1" applyBorder="1" applyAlignment="1" applyProtection="1">
      <alignment horizontal="center" vertical="center" wrapText="1"/>
      <protection hidden="1"/>
    </xf>
    <xf numFmtId="0" fontId="31" fillId="6" borderId="0" xfId="0" applyFont="1" applyFill="1" applyAlignment="1" applyProtection="1">
      <alignment horizontal="center" vertical="top" wrapText="1"/>
      <protection hidden="1"/>
    </xf>
    <xf numFmtId="0" fontId="32" fillId="0" borderId="106" xfId="0" applyFont="1" applyBorder="1" applyAlignment="1" applyProtection="1">
      <alignment horizontal="center" vertical="center"/>
      <protection hidden="1"/>
    </xf>
    <xf numFmtId="0" fontId="32" fillId="0" borderId="107" xfId="0" applyFont="1" applyBorder="1" applyAlignment="1" applyProtection="1">
      <alignment horizontal="center" vertical="center"/>
      <protection hidden="1"/>
    </xf>
    <xf numFmtId="0" fontId="32" fillId="0" borderId="108" xfId="0" applyFont="1" applyBorder="1" applyAlignment="1" applyProtection="1">
      <alignment horizontal="center" vertical="center"/>
      <protection hidden="1"/>
    </xf>
    <xf numFmtId="0" fontId="32" fillId="0" borderId="105" xfId="0" applyFont="1" applyBorder="1" applyAlignment="1" applyProtection="1">
      <alignment horizontal="center" vertical="center"/>
      <protection hidden="1"/>
    </xf>
    <xf numFmtId="0" fontId="44" fillId="0" borderId="0" xfId="0" applyFont="1" applyAlignment="1" applyProtection="1">
      <alignment horizontal="center" vertical="center"/>
      <protection hidden="1"/>
    </xf>
    <xf numFmtId="0" fontId="18" fillId="4" borderId="82" xfId="0" applyFont="1" applyFill="1" applyBorder="1" applyAlignment="1" applyProtection="1">
      <alignment horizontal="center" vertical="top" wrapText="1"/>
      <protection locked="0"/>
    </xf>
    <xf numFmtId="0" fontId="18" fillId="4" borderId="85" xfId="0" applyFont="1" applyFill="1" applyBorder="1" applyAlignment="1" applyProtection="1">
      <alignment horizontal="center" vertical="top" wrapText="1"/>
      <protection locked="0"/>
    </xf>
    <xf numFmtId="0" fontId="18" fillId="4" borderId="88" xfId="0" applyFont="1" applyFill="1" applyBorder="1" applyAlignment="1" applyProtection="1">
      <alignment horizontal="center" vertical="top" wrapText="1"/>
      <protection locked="0"/>
    </xf>
    <xf numFmtId="0" fontId="0" fillId="0" borderId="0" xfId="0" applyAlignment="1">
      <alignment vertical="center"/>
    </xf>
    <xf numFmtId="0" fontId="4" fillId="7" borderId="0" xfId="0" applyFont="1" applyFill="1"/>
    <xf numFmtId="0" fontId="0" fillId="0" borderId="116" xfId="0" applyBorder="1" applyAlignment="1">
      <alignment horizontal="left" vertical="center"/>
    </xf>
    <xf numFmtId="0" fontId="2" fillId="4" borderId="117" xfId="0" applyFont="1" applyFill="1" applyBorder="1" applyAlignment="1">
      <alignment horizontal="left" vertical="top" wrapText="1"/>
    </xf>
    <xf numFmtId="0" fontId="46" fillId="0" borderId="0" xfId="0" applyFont="1" applyAlignment="1">
      <alignment vertical="center"/>
    </xf>
    <xf numFmtId="0" fontId="0" fillId="0" borderId="116" xfId="0" applyBorder="1" applyAlignment="1" applyProtection="1">
      <alignment horizontal="left" vertical="center"/>
      <protection locked="0"/>
    </xf>
    <xf numFmtId="0" fontId="0" fillId="0" borderId="0" xfId="0" applyAlignment="1" applyProtection="1">
      <alignment horizontal="left" vertical="center"/>
      <protection locked="0"/>
    </xf>
    <xf numFmtId="0" fontId="18" fillId="4" borderId="17" xfId="0" quotePrefix="1" applyFont="1" applyFill="1" applyBorder="1" applyAlignment="1" applyProtection="1">
      <alignment horizontal="center" vertical="top" wrapText="1"/>
      <protection locked="0"/>
    </xf>
    <xf numFmtId="0" fontId="18" fillId="0" borderId="34" xfId="0" applyFont="1" applyBorder="1" applyAlignment="1" applyProtection="1">
      <alignment horizontal="left" vertical="center"/>
      <protection locked="0"/>
    </xf>
    <xf numFmtId="0" fontId="18" fillId="0" borderId="34" xfId="0" applyFont="1" applyBorder="1" applyAlignment="1" applyProtection="1">
      <alignment horizontal="left" vertical="center"/>
      <protection hidden="1"/>
    </xf>
    <xf numFmtId="0" fontId="18" fillId="5" borderId="60" xfId="0" applyFont="1" applyFill="1" applyBorder="1" applyAlignment="1" applyProtection="1">
      <alignment horizontal="left" vertical="center"/>
      <protection hidden="1"/>
    </xf>
    <xf numFmtId="0" fontId="37" fillId="0" borderId="90" xfId="0" applyFont="1" applyBorder="1" applyAlignment="1" applyProtection="1">
      <alignment horizontal="left" vertical="center"/>
      <protection hidden="1"/>
    </xf>
    <xf numFmtId="0" fontId="35" fillId="0" borderId="90" xfId="0" applyFont="1" applyBorder="1" applyAlignment="1" applyProtection="1">
      <alignment horizontal="left" vertical="center"/>
      <protection hidden="1"/>
    </xf>
    <xf numFmtId="0" fontId="18" fillId="0" borderId="50" xfId="0" applyFont="1" applyBorder="1" applyAlignment="1" applyProtection="1">
      <alignment horizontal="center" vertical="top" wrapText="1"/>
      <protection locked="0"/>
    </xf>
    <xf numFmtId="0" fontId="18" fillId="0" borderId="0" xfId="0" applyFont="1" applyAlignment="1" applyProtection="1">
      <alignment horizontal="center" vertical="top" wrapText="1"/>
      <protection locked="0"/>
    </xf>
    <xf numFmtId="0" fontId="18" fillId="4" borderId="24" xfId="0" applyFont="1" applyFill="1" applyBorder="1" applyAlignment="1" applyProtection="1">
      <alignment horizontal="center" vertical="top" wrapText="1"/>
      <protection locked="0"/>
    </xf>
    <xf numFmtId="0" fontId="8" fillId="0" borderId="12" xfId="0" applyFont="1" applyBorder="1"/>
    <xf numFmtId="0" fontId="8" fillId="0" borderId="14" xfId="0" applyFont="1" applyBorder="1"/>
    <xf numFmtId="0" fontId="0" fillId="0" borderId="15" xfId="0" applyBorder="1"/>
    <xf numFmtId="0" fontId="14" fillId="0" borderId="14" xfId="0" applyFont="1" applyBorder="1"/>
    <xf numFmtId="0" fontId="0" fillId="0" borderId="14" xfId="0" applyBorder="1"/>
    <xf numFmtId="0" fontId="0" fillId="0" borderId="14" xfId="0" quotePrefix="1" applyBorder="1" applyAlignment="1">
      <alignment horizontal="left" indent="2"/>
    </xf>
    <xf numFmtId="0" fontId="8" fillId="0" borderId="3" xfId="0" applyFont="1" applyBorder="1"/>
    <xf numFmtId="0" fontId="2" fillId="0" borderId="14" xfId="0" applyFont="1" applyBorder="1"/>
    <xf numFmtId="0" fontId="2" fillId="0" borderId="15" xfId="0" applyFont="1" applyBorder="1"/>
    <xf numFmtId="0" fontId="26" fillId="0" borderId="15" xfId="2" applyBorder="1"/>
    <xf numFmtId="0" fontId="0" fillId="0" borderId="92" xfId="0" applyBorder="1"/>
    <xf numFmtId="0" fontId="8" fillId="0" borderId="92" xfId="0" applyFont="1" applyBorder="1"/>
    <xf numFmtId="0" fontId="13" fillId="0" borderId="14" xfId="0" applyFont="1" applyBorder="1"/>
    <xf numFmtId="0" fontId="18" fillId="3" borderId="13" xfId="0" applyFont="1" applyFill="1" applyBorder="1" applyAlignment="1" applyProtection="1">
      <alignment horizontal="center" vertical="top"/>
      <protection hidden="1"/>
    </xf>
    <xf numFmtId="0" fontId="32" fillId="0" borderId="106" xfId="0" applyFont="1" applyBorder="1" applyAlignment="1" applyProtection="1">
      <alignment horizontal="left" vertical="center" indent="1"/>
      <protection hidden="1"/>
    </xf>
    <xf numFmtId="0" fontId="32" fillId="0" borderId="105" xfId="0" applyFont="1" applyBorder="1" applyAlignment="1" applyProtection="1">
      <alignment horizontal="left" vertical="center" indent="1"/>
      <protection hidden="1"/>
    </xf>
    <xf numFmtId="0" fontId="0" fillId="4" borderId="24" xfId="0" applyFill="1" applyBorder="1" applyAlignment="1" applyProtection="1">
      <alignment horizontal="center" vertical="top" wrapText="1"/>
      <protection locked="0"/>
    </xf>
    <xf numFmtId="0" fontId="18" fillId="0" borderId="34" xfId="0" applyFont="1" applyBorder="1" applyAlignment="1" applyProtection="1">
      <alignment horizontal="left" vertical="center" wrapText="1"/>
      <protection locked="0"/>
    </xf>
    <xf numFmtId="0" fontId="0" fillId="6" borderId="122" xfId="0" applyFill="1" applyBorder="1" applyAlignment="1">
      <alignment horizontal="left" wrapText="1"/>
    </xf>
    <xf numFmtId="0" fontId="0" fillId="6" borderId="0" xfId="0" applyFill="1" applyAlignment="1">
      <alignment horizontal="left" wrapText="1"/>
    </xf>
    <xf numFmtId="0" fontId="0" fillId="6" borderId="123" xfId="0" applyFill="1" applyBorder="1" applyAlignment="1">
      <alignment horizontal="left" wrapText="1"/>
    </xf>
    <xf numFmtId="0" fontId="8" fillId="6" borderId="122" xfId="0" applyFont="1" applyFill="1" applyBorder="1" applyAlignment="1">
      <alignment horizontal="center"/>
    </xf>
    <xf numFmtId="0" fontId="8" fillId="6" borderId="0" xfId="0" applyFont="1" applyFill="1" applyAlignment="1">
      <alignment horizontal="center"/>
    </xf>
    <xf numFmtId="0" fontId="8" fillId="6" borderId="123" xfId="0" applyFont="1" applyFill="1" applyBorder="1" applyAlignment="1">
      <alignment horizontal="center"/>
    </xf>
    <xf numFmtId="0" fontId="0" fillId="6" borderId="129" xfId="0" applyFill="1" applyBorder="1" applyAlignment="1">
      <alignment horizontal="center"/>
    </xf>
    <xf numFmtId="0" fontId="0" fillId="6" borderId="46" xfId="0" applyFill="1" applyBorder="1" applyAlignment="1">
      <alignment horizontal="center"/>
    </xf>
    <xf numFmtId="0" fontId="0" fillId="6" borderId="130" xfId="0" applyFill="1" applyBorder="1" applyAlignment="1">
      <alignment horizontal="center"/>
    </xf>
    <xf numFmtId="0" fontId="48" fillId="6" borderId="118" xfId="0" applyFont="1" applyFill="1" applyBorder="1" applyAlignment="1">
      <alignment horizontal="left" vertical="center"/>
    </xf>
    <xf numFmtId="0" fontId="48" fillId="6" borderId="119" xfId="0" applyFont="1" applyFill="1" applyBorder="1" applyAlignment="1">
      <alignment horizontal="left" vertical="center"/>
    </xf>
    <xf numFmtId="0" fontId="48" fillId="6" borderId="120" xfId="0" applyFont="1" applyFill="1" applyBorder="1" applyAlignment="1">
      <alignment horizontal="left" vertical="center"/>
    </xf>
    <xf numFmtId="0" fontId="0" fillId="6" borderId="0" xfId="0" applyFill="1" applyAlignment="1">
      <alignment horizontal="left"/>
    </xf>
    <xf numFmtId="0" fontId="0" fillId="6" borderId="123" xfId="0" applyFill="1" applyBorder="1" applyAlignment="1">
      <alignment horizontal="left"/>
    </xf>
    <xf numFmtId="0" fontId="0" fillId="6" borderId="122" xfId="0" applyFill="1" applyBorder="1" applyAlignment="1">
      <alignment horizontal="left"/>
    </xf>
    <xf numFmtId="0" fontId="0" fillId="6" borderId="122" xfId="0" applyFill="1" applyBorder="1" applyAlignment="1">
      <alignment horizontal="center"/>
    </xf>
    <xf numFmtId="0" fontId="0" fillId="6" borderId="0" xfId="0" applyFill="1" applyAlignment="1">
      <alignment horizontal="center"/>
    </xf>
    <xf numFmtId="0" fontId="0" fillId="6" borderId="123" xfId="0" applyFill="1" applyBorder="1" applyAlignment="1">
      <alignment horizontal="center"/>
    </xf>
    <xf numFmtId="0" fontId="0" fillId="6" borderId="122" xfId="0" applyFill="1" applyBorder="1" applyAlignment="1">
      <alignment horizontal="left" vertical="top" wrapText="1"/>
    </xf>
    <xf numFmtId="0" fontId="0" fillId="6" borderId="0" xfId="0" applyFill="1" applyAlignment="1">
      <alignment horizontal="left" vertical="top" wrapText="1"/>
    </xf>
    <xf numFmtId="0" fontId="0" fillId="6" borderId="123" xfId="0" applyFill="1" applyBorder="1" applyAlignment="1">
      <alignment horizontal="left" vertical="top" wrapText="1"/>
    </xf>
    <xf numFmtId="0" fontId="0" fillId="6" borderId="122" xfId="0" applyFill="1" applyBorder="1" applyAlignment="1">
      <alignment horizontal="center" vertical="top"/>
    </xf>
    <xf numFmtId="0" fontId="0" fillId="6" borderId="0" xfId="0" applyFill="1" applyAlignment="1">
      <alignment horizontal="center" vertical="top"/>
    </xf>
    <xf numFmtId="0" fontId="0" fillId="6" borderId="123" xfId="0" applyFill="1" applyBorder="1" applyAlignment="1">
      <alignment horizontal="center" vertical="top"/>
    </xf>
    <xf numFmtId="0" fontId="43" fillId="0" borderId="14" xfId="0" applyFont="1" applyBorder="1" applyAlignment="1">
      <alignment horizontal="center" vertical="center"/>
    </xf>
    <xf numFmtId="0" fontId="43" fillId="0" borderId="15" xfId="0" applyFont="1" applyBorder="1" applyAlignment="1">
      <alignment horizontal="center" vertical="center"/>
    </xf>
    <xf numFmtId="0" fontId="43" fillId="0" borderId="16" xfId="0" applyFont="1" applyBorder="1" applyAlignment="1">
      <alignment horizontal="center" vertical="center"/>
    </xf>
    <xf numFmtId="0" fontId="12" fillId="0" borderId="14" xfId="0" applyFont="1" applyBorder="1" applyAlignment="1">
      <alignment horizontal="center" vertical="center"/>
    </xf>
    <xf numFmtId="0" fontId="12" fillId="0" borderId="15" xfId="0" applyFont="1" applyBorder="1" applyAlignment="1">
      <alignment horizontal="center" vertical="center"/>
    </xf>
    <xf numFmtId="0" fontId="12" fillId="0" borderId="16" xfId="0" applyFont="1" applyBorder="1" applyAlignment="1">
      <alignment horizontal="center" vertical="center"/>
    </xf>
    <xf numFmtId="0" fontId="48" fillId="4" borderId="118" xfId="0" applyFont="1" applyFill="1" applyBorder="1" applyAlignment="1">
      <alignment horizontal="left" vertical="center"/>
    </xf>
    <xf numFmtId="0" fontId="48" fillId="4" borderId="119" xfId="0" applyFont="1" applyFill="1" applyBorder="1" applyAlignment="1">
      <alignment horizontal="left" vertical="center"/>
    </xf>
    <xf numFmtId="0" fontId="48" fillId="4" borderId="120" xfId="0" applyFont="1" applyFill="1" applyBorder="1" applyAlignment="1">
      <alignment horizontal="left" vertical="center"/>
    </xf>
    <xf numFmtId="0" fontId="0" fillId="0" borderId="118" xfId="0" applyBorder="1" applyAlignment="1">
      <alignment horizontal="center" wrapText="1"/>
    </xf>
    <xf numFmtId="0" fontId="0" fillId="0" borderId="119" xfId="0" applyBorder="1" applyAlignment="1">
      <alignment horizontal="center" wrapText="1"/>
    </xf>
    <xf numFmtId="0" fontId="0" fillId="0" borderId="122" xfId="0" applyBorder="1" applyAlignment="1">
      <alignment horizontal="center" wrapText="1"/>
    </xf>
    <xf numFmtId="0" fontId="0" fillId="0" borderId="0" xfId="0" applyAlignment="1">
      <alignment horizontal="center" wrapText="1"/>
    </xf>
    <xf numFmtId="0" fontId="0" fillId="0" borderId="125" xfId="0" applyBorder="1" applyAlignment="1">
      <alignment horizontal="center" wrapText="1"/>
    </xf>
    <xf numFmtId="0" fontId="0" fillId="0" borderId="126" xfId="0" applyBorder="1" applyAlignment="1">
      <alignment horizontal="center" wrapText="1"/>
    </xf>
    <xf numFmtId="0" fontId="0" fillId="0" borderId="121" xfId="0" applyBorder="1" applyAlignment="1">
      <alignment horizontal="center"/>
    </xf>
    <xf numFmtId="0" fontId="0" fillId="0" borderId="120" xfId="0" applyBorder="1" applyAlignment="1">
      <alignment horizontal="center"/>
    </xf>
    <xf numFmtId="0" fontId="0" fillId="0" borderId="124" xfId="0" applyBorder="1" applyAlignment="1">
      <alignment horizontal="center"/>
    </xf>
    <xf numFmtId="0" fontId="0" fillId="0" borderId="123" xfId="0" applyBorder="1" applyAlignment="1">
      <alignment horizontal="center"/>
    </xf>
    <xf numFmtId="0" fontId="0" fillId="0" borderId="127" xfId="0" applyBorder="1" applyAlignment="1">
      <alignment horizontal="center"/>
    </xf>
    <xf numFmtId="0" fontId="0" fillId="0" borderId="128" xfId="0" applyBorder="1" applyAlignment="1">
      <alignment horizontal="center"/>
    </xf>
    <xf numFmtId="0" fontId="0" fillId="4" borderId="122" xfId="0" applyFill="1" applyBorder="1" applyAlignment="1">
      <alignment horizontal="left" vertical="center" wrapText="1"/>
    </xf>
    <xf numFmtId="0" fontId="0" fillId="4" borderId="0" xfId="0" applyFill="1" applyAlignment="1">
      <alignment horizontal="left" vertical="center" wrapText="1"/>
    </xf>
    <xf numFmtId="0" fontId="0" fillId="4" borderId="123" xfId="0" applyFill="1" applyBorder="1" applyAlignment="1">
      <alignment horizontal="left" vertical="center" wrapText="1"/>
    </xf>
    <xf numFmtId="0" fontId="0" fillId="4" borderId="129" xfId="0" applyFill="1" applyBorder="1" applyAlignment="1">
      <alignment horizontal="left" vertical="center" wrapText="1"/>
    </xf>
    <xf numFmtId="0" fontId="0" fillId="4" borderId="46" xfId="0" applyFill="1" applyBorder="1" applyAlignment="1">
      <alignment horizontal="left" vertical="center" wrapText="1"/>
    </xf>
    <xf numFmtId="0" fontId="0" fillId="4" borderId="130" xfId="0" applyFill="1" applyBorder="1" applyAlignment="1">
      <alignment horizontal="left" vertical="center" wrapText="1"/>
    </xf>
    <xf numFmtId="0" fontId="0" fillId="0" borderId="122" xfId="0" applyBorder="1" applyAlignment="1">
      <alignment horizontal="right" wrapText="1" indent="1"/>
    </xf>
    <xf numFmtId="0" fontId="0" fillId="0" borderId="0" xfId="0" applyAlignment="1">
      <alignment horizontal="right" wrapText="1" indent="1"/>
    </xf>
    <xf numFmtId="0" fontId="0" fillId="0" borderId="123" xfId="0" applyBorder="1" applyAlignment="1">
      <alignment horizontal="right" wrapText="1" indent="1"/>
    </xf>
    <xf numFmtId="0" fontId="0" fillId="0" borderId="129" xfId="0" applyBorder="1" applyAlignment="1">
      <alignment horizontal="right" wrapText="1" indent="1"/>
    </xf>
    <xf numFmtId="0" fontId="0" fillId="0" borderId="46" xfId="0" applyBorder="1" applyAlignment="1">
      <alignment horizontal="right" wrapText="1" indent="1"/>
    </xf>
    <xf numFmtId="0" fontId="0" fillId="0" borderId="130" xfId="0" applyBorder="1" applyAlignment="1">
      <alignment horizontal="right" wrapText="1" indent="1"/>
    </xf>
    <xf numFmtId="0" fontId="0" fillId="4" borderId="122" xfId="0" quotePrefix="1" applyFill="1" applyBorder="1" applyAlignment="1">
      <alignment horizontal="left" vertical="top" wrapText="1"/>
    </xf>
    <xf numFmtId="0" fontId="0" fillId="4" borderId="0" xfId="0" quotePrefix="1" applyFill="1" applyAlignment="1">
      <alignment horizontal="left" vertical="top" wrapText="1"/>
    </xf>
    <xf numFmtId="0" fontId="0" fillId="4" borderId="123" xfId="0" quotePrefix="1" applyFill="1" applyBorder="1" applyAlignment="1">
      <alignment horizontal="left" vertical="top" wrapText="1"/>
    </xf>
    <xf numFmtId="0" fontId="0" fillId="4" borderId="129" xfId="0" quotePrefix="1" applyFill="1" applyBorder="1" applyAlignment="1">
      <alignment horizontal="left" vertical="top" wrapText="1"/>
    </xf>
    <xf numFmtId="0" fontId="0" fillId="4" borderId="46" xfId="0" quotePrefix="1" applyFill="1" applyBorder="1" applyAlignment="1">
      <alignment horizontal="left" vertical="top" wrapText="1"/>
    </xf>
    <xf numFmtId="0" fontId="0" fillId="4" borderId="130" xfId="0" quotePrefix="1" applyFill="1" applyBorder="1" applyAlignment="1">
      <alignment horizontal="left" vertical="top" wrapText="1"/>
    </xf>
    <xf numFmtId="0" fontId="2" fillId="0" borderId="0" xfId="0" applyFont="1" applyAlignment="1">
      <alignment horizontal="left"/>
    </xf>
    <xf numFmtId="0" fontId="44" fillId="0" borderId="15" xfId="0" applyFont="1" applyBorder="1" applyAlignment="1">
      <alignment horizontal="center" vertical="center"/>
    </xf>
    <xf numFmtId="0" fontId="44" fillId="0" borderId="16" xfId="0" applyFont="1" applyBorder="1" applyAlignment="1">
      <alignment horizontal="center" vertical="center"/>
    </xf>
    <xf numFmtId="0" fontId="11" fillId="0" borderId="47" xfId="0" applyFont="1" applyBorder="1" applyAlignment="1" applyProtection="1">
      <alignment horizontal="center" vertical="center" wrapText="1"/>
      <protection hidden="1"/>
    </xf>
    <xf numFmtId="0" fontId="11" fillId="0" borderId="44" xfId="0" applyFont="1" applyBorder="1" applyAlignment="1" applyProtection="1">
      <alignment horizontal="center" vertical="center" wrapText="1"/>
      <protection hidden="1"/>
    </xf>
    <xf numFmtId="0" fontId="11" fillId="0" borderId="48" xfId="0" applyFont="1" applyBorder="1" applyAlignment="1" applyProtection="1">
      <alignment horizontal="center" vertical="center" wrapText="1"/>
      <protection hidden="1"/>
    </xf>
    <xf numFmtId="0" fontId="0" fillId="4" borderId="24" xfId="0" applyFill="1" applyBorder="1" applyAlignment="1" applyProtection="1">
      <alignment horizontal="center" vertical="top" wrapText="1"/>
      <protection hidden="1"/>
    </xf>
    <xf numFmtId="0" fontId="0" fillId="4" borderId="36" xfId="0" applyFill="1" applyBorder="1" applyAlignment="1" applyProtection="1">
      <alignment horizontal="center" vertical="top" wrapText="1"/>
      <protection hidden="1"/>
    </xf>
    <xf numFmtId="0" fontId="18" fillId="4" borderId="83" xfId="0" applyFont="1" applyFill="1" applyBorder="1" applyAlignment="1" applyProtection="1">
      <alignment horizontal="center" vertical="top" wrapText="1"/>
      <protection locked="0"/>
    </xf>
    <xf numFmtId="0" fontId="18" fillId="4" borderId="84" xfId="0" applyFont="1" applyFill="1" applyBorder="1" applyAlignment="1" applyProtection="1">
      <alignment horizontal="center" vertical="top" wrapText="1"/>
      <protection locked="0"/>
    </xf>
    <xf numFmtId="0" fontId="18" fillId="4" borderId="86" xfId="0" applyFont="1" applyFill="1" applyBorder="1" applyAlignment="1" applyProtection="1">
      <alignment horizontal="center" vertical="top" wrapText="1"/>
      <protection locked="0"/>
    </xf>
    <xf numFmtId="0" fontId="18" fillId="4" borderId="87" xfId="0" applyFont="1" applyFill="1" applyBorder="1" applyAlignment="1" applyProtection="1">
      <alignment horizontal="center" vertical="top" wrapText="1"/>
      <protection locked="0"/>
    </xf>
    <xf numFmtId="0" fontId="18" fillId="4" borderId="80" xfId="0" applyFont="1" applyFill="1" applyBorder="1" applyAlignment="1" applyProtection="1">
      <alignment horizontal="center" vertical="top" wrapText="1"/>
      <protection locked="0"/>
    </xf>
    <xf numFmtId="0" fontId="18" fillId="4" borderId="81" xfId="0" applyFont="1" applyFill="1" applyBorder="1" applyAlignment="1" applyProtection="1">
      <alignment horizontal="center" vertical="top" wrapText="1"/>
      <protection locked="0"/>
    </xf>
    <xf numFmtId="0" fontId="18" fillId="0" borderId="31" xfId="0" applyFont="1" applyBorder="1" applyAlignment="1" applyProtection="1">
      <alignment horizontal="center" vertical="top" wrapText="1"/>
      <protection locked="0"/>
    </xf>
    <xf numFmtId="0" fontId="18" fillId="0" borderId="7" xfId="0" applyFont="1" applyBorder="1" applyAlignment="1" applyProtection="1">
      <alignment horizontal="center" vertical="top" wrapText="1"/>
      <protection locked="0"/>
    </xf>
    <xf numFmtId="0" fontId="18" fillId="0" borderId="30" xfId="0" applyFont="1" applyBorder="1" applyAlignment="1" applyProtection="1">
      <alignment horizontal="center" vertical="top" wrapText="1"/>
      <protection locked="0"/>
    </xf>
    <xf numFmtId="0" fontId="18" fillId="0" borderId="5" xfId="0" applyFont="1" applyBorder="1" applyAlignment="1" applyProtection="1">
      <alignment horizontal="center" vertical="top" wrapText="1"/>
      <protection locked="0"/>
    </xf>
    <xf numFmtId="0" fontId="18" fillId="0" borderId="52" xfId="0" applyFont="1" applyBorder="1" applyAlignment="1" applyProtection="1">
      <alignment horizontal="center" vertical="top" wrapText="1"/>
      <protection locked="0"/>
    </xf>
    <xf numFmtId="0" fontId="18" fillId="0" borderId="19" xfId="0" applyFont="1" applyBorder="1" applyAlignment="1" applyProtection="1">
      <alignment horizontal="center" vertical="top" wrapText="1"/>
      <protection locked="0"/>
    </xf>
    <xf numFmtId="0" fontId="18" fillId="0" borderId="32" xfId="0" applyFont="1" applyBorder="1" applyAlignment="1" applyProtection="1">
      <alignment horizontal="center" vertical="top" wrapText="1"/>
      <protection locked="0"/>
    </xf>
    <xf numFmtId="0" fontId="18" fillId="0" borderId="4" xfId="0" applyFont="1" applyBorder="1" applyAlignment="1" applyProtection="1">
      <alignment horizontal="center" vertical="top" wrapText="1"/>
      <protection locked="0"/>
    </xf>
    <xf numFmtId="0" fontId="19" fillId="3" borderId="28" xfId="0" applyFont="1" applyFill="1" applyBorder="1" applyAlignment="1" applyProtection="1">
      <alignment horizontal="center" vertical="center" wrapText="1"/>
      <protection hidden="1"/>
    </xf>
    <xf numFmtId="0" fontId="19" fillId="3" borderId="27" xfId="0" applyFont="1" applyFill="1" applyBorder="1" applyAlignment="1" applyProtection="1">
      <alignment horizontal="center" vertical="center" wrapText="1"/>
      <protection hidden="1"/>
    </xf>
    <xf numFmtId="0" fontId="19" fillId="3" borderId="29" xfId="0" applyFont="1" applyFill="1" applyBorder="1" applyAlignment="1" applyProtection="1">
      <alignment horizontal="center" vertical="center" wrapText="1"/>
      <protection hidden="1"/>
    </xf>
    <xf numFmtId="0" fontId="18" fillId="0" borderId="30" xfId="0" applyFont="1" applyBorder="1" applyAlignment="1" applyProtection="1">
      <alignment horizontal="center" vertical="top" wrapText="1"/>
      <protection hidden="1"/>
    </xf>
    <xf numFmtId="0" fontId="18" fillId="0" borderId="5" xfId="0" applyFont="1" applyBorder="1" applyAlignment="1" applyProtection="1">
      <alignment horizontal="center" vertical="top" wrapText="1"/>
      <protection hidden="1"/>
    </xf>
    <xf numFmtId="0" fontId="18" fillId="0" borderId="10" xfId="0" applyFont="1" applyBorder="1" applyAlignment="1" applyProtection="1">
      <alignment horizontal="center" vertical="top" wrapText="1"/>
      <protection hidden="1"/>
    </xf>
    <xf numFmtId="0" fontId="18" fillId="0" borderId="31" xfId="0" applyFont="1" applyBorder="1" applyAlignment="1" applyProtection="1">
      <alignment horizontal="center" vertical="top" wrapText="1"/>
      <protection hidden="1"/>
    </xf>
    <xf numFmtId="0" fontId="18" fillId="0" borderId="7" xfId="0" applyFont="1" applyBorder="1" applyAlignment="1" applyProtection="1">
      <alignment horizontal="center" vertical="top" wrapText="1"/>
      <protection hidden="1"/>
    </xf>
    <xf numFmtId="0" fontId="18" fillId="0" borderId="8" xfId="0" applyFont="1" applyBorder="1" applyAlignment="1" applyProtection="1">
      <alignment horizontal="center" vertical="top" wrapText="1"/>
      <protection hidden="1"/>
    </xf>
    <xf numFmtId="0" fontId="18" fillId="0" borderId="32" xfId="0" applyFont="1" applyBorder="1" applyAlignment="1" applyProtection="1">
      <alignment horizontal="center" vertical="top" wrapText="1"/>
      <protection hidden="1"/>
    </xf>
    <xf numFmtId="0" fontId="18" fillId="0" borderId="4" xfId="0" applyFont="1" applyBorder="1" applyAlignment="1" applyProtection="1">
      <alignment horizontal="center" vertical="top" wrapText="1"/>
      <protection hidden="1"/>
    </xf>
    <xf numFmtId="0" fontId="29" fillId="4" borderId="36" xfId="0" applyFont="1" applyFill="1" applyBorder="1" applyAlignment="1" applyProtection="1">
      <alignment horizontal="center" vertical="center" wrapText="1"/>
      <protection hidden="1"/>
    </xf>
    <xf numFmtId="0" fontId="29" fillId="4" borderId="24" xfId="0" applyFont="1" applyFill="1" applyBorder="1" applyAlignment="1" applyProtection="1">
      <alignment horizontal="center" vertical="center" wrapText="1"/>
      <protection hidden="1"/>
    </xf>
    <xf numFmtId="164" fontId="18" fillId="0" borderId="30" xfId="0" applyNumberFormat="1" applyFont="1" applyBorder="1" applyAlignment="1" applyProtection="1">
      <alignment horizontal="center" vertical="top" wrapText="1"/>
      <protection hidden="1"/>
    </xf>
    <xf numFmtId="164" fontId="18" fillId="0" borderId="5" xfId="0" applyNumberFormat="1" applyFont="1" applyBorder="1" applyAlignment="1" applyProtection="1">
      <alignment horizontal="center" vertical="top" wrapText="1"/>
      <protection hidden="1"/>
    </xf>
    <xf numFmtId="3" fontId="18" fillId="0" borderId="31" xfId="0" applyNumberFormat="1" applyFont="1" applyBorder="1" applyAlignment="1" applyProtection="1">
      <alignment horizontal="center" vertical="top" wrapText="1"/>
      <protection locked="0"/>
    </xf>
    <xf numFmtId="3" fontId="18" fillId="0" borderId="7" xfId="0" applyNumberFormat="1" applyFont="1" applyBorder="1" applyAlignment="1" applyProtection="1">
      <alignment horizontal="center" vertical="top" wrapText="1"/>
      <protection locked="0"/>
    </xf>
    <xf numFmtId="3" fontId="18" fillId="0" borderId="32" xfId="0" applyNumberFormat="1" applyFont="1" applyBorder="1" applyAlignment="1" applyProtection="1">
      <alignment horizontal="center" vertical="top" wrapText="1"/>
      <protection locked="0"/>
    </xf>
    <xf numFmtId="3" fontId="18" fillId="0" borderId="4" xfId="0" applyNumberFormat="1" applyFont="1" applyBorder="1" applyAlignment="1" applyProtection="1">
      <alignment horizontal="center" vertical="top" wrapText="1"/>
      <protection locked="0"/>
    </xf>
    <xf numFmtId="0" fontId="18" fillId="0" borderId="41" xfId="0" applyFont="1" applyBorder="1" applyAlignment="1" applyProtection="1">
      <alignment horizontal="center" vertical="top" wrapText="1"/>
      <protection locked="0"/>
    </xf>
    <xf numFmtId="0" fontId="18" fillId="0" borderId="42" xfId="0" applyFont="1" applyBorder="1" applyAlignment="1" applyProtection="1">
      <alignment horizontal="center" vertical="top" wrapText="1"/>
      <protection locked="0"/>
    </xf>
    <xf numFmtId="0" fontId="18" fillId="0" borderId="50" xfId="0" applyFont="1" applyBorder="1" applyAlignment="1" applyProtection="1">
      <alignment horizontal="center" vertical="top" wrapText="1"/>
      <protection locked="0"/>
    </xf>
    <xf numFmtId="0" fontId="18" fillId="0" borderId="0" xfId="0" applyFont="1" applyAlignment="1" applyProtection="1">
      <alignment horizontal="center" vertical="top" wrapText="1"/>
      <protection locked="0"/>
    </xf>
    <xf numFmtId="0" fontId="18" fillId="0" borderId="51" xfId="0" applyFont="1" applyBorder="1" applyAlignment="1" applyProtection="1">
      <alignment horizontal="center" vertical="top" wrapText="1"/>
      <protection locked="0"/>
    </xf>
    <xf numFmtId="0" fontId="18" fillId="0" borderId="33" xfId="0" applyFont="1" applyBorder="1" applyAlignment="1" applyProtection="1">
      <alignment horizontal="center" vertical="top" wrapText="1"/>
      <protection locked="0"/>
    </xf>
    <xf numFmtId="0" fontId="18" fillId="0" borderId="9" xfId="0" applyFont="1" applyBorder="1" applyAlignment="1" applyProtection="1">
      <alignment horizontal="center" vertical="top" wrapText="1"/>
      <protection locked="0"/>
    </xf>
    <xf numFmtId="0" fontId="18" fillId="0" borderId="18" xfId="0" applyFont="1" applyBorder="1" applyAlignment="1" applyProtection="1">
      <alignment horizontal="center" vertical="top" wrapText="1"/>
      <protection locked="0"/>
    </xf>
    <xf numFmtId="0" fontId="18" fillId="0" borderId="73" xfId="0" applyFont="1" applyBorder="1" applyAlignment="1" applyProtection="1">
      <alignment horizontal="center" vertical="top" wrapText="1"/>
      <protection locked="0"/>
    </xf>
    <xf numFmtId="0" fontId="18" fillId="0" borderId="49" xfId="0" applyFont="1" applyBorder="1" applyAlignment="1" applyProtection="1">
      <alignment horizontal="left" vertical="top" wrapText="1"/>
      <protection locked="0"/>
    </xf>
    <xf numFmtId="0" fontId="18" fillId="0" borderId="46" xfId="0" applyFont="1" applyBorder="1" applyAlignment="1" applyProtection="1">
      <alignment horizontal="left" vertical="top" wrapText="1"/>
      <protection locked="0"/>
    </xf>
    <xf numFmtId="0" fontId="18" fillId="0" borderId="26" xfId="0" applyFont="1" applyBorder="1" applyAlignment="1" applyProtection="1">
      <alignment horizontal="left" vertical="top" wrapText="1"/>
      <protection locked="0"/>
    </xf>
    <xf numFmtId="0" fontId="18" fillId="0" borderId="11" xfId="0" applyFont="1" applyBorder="1" applyAlignment="1" applyProtection="1">
      <alignment horizontal="left" vertical="top" indent="1"/>
      <protection hidden="1"/>
    </xf>
    <xf numFmtId="0" fontId="18" fillId="0" borderId="8" xfId="0" applyFont="1" applyBorder="1" applyAlignment="1" applyProtection="1">
      <alignment horizontal="left" vertical="top" indent="1"/>
      <protection hidden="1"/>
    </xf>
    <xf numFmtId="0" fontId="18" fillId="0" borderId="72" xfId="0" applyFont="1" applyBorder="1" applyAlignment="1" applyProtection="1">
      <alignment horizontal="left" vertical="top" indent="1"/>
      <protection hidden="1"/>
    </xf>
    <xf numFmtId="0" fontId="18" fillId="0" borderId="73" xfId="0" applyFont="1" applyBorder="1" applyAlignment="1" applyProtection="1">
      <alignment horizontal="left" vertical="top" indent="1"/>
      <protection hidden="1"/>
    </xf>
    <xf numFmtId="0" fontId="18" fillId="0" borderId="76" xfId="0" applyFont="1" applyBorder="1" applyAlignment="1" applyProtection="1">
      <alignment horizontal="left" vertical="top" indent="1"/>
      <protection hidden="1"/>
    </xf>
    <xf numFmtId="0" fontId="18" fillId="0" borderId="10" xfId="0" applyFont="1" applyBorder="1" applyAlignment="1" applyProtection="1">
      <alignment horizontal="left" vertical="top" indent="1"/>
      <protection hidden="1"/>
    </xf>
    <xf numFmtId="0" fontId="18" fillId="0" borderId="11" xfId="0" applyFont="1" applyBorder="1" applyAlignment="1" applyProtection="1">
      <alignment horizontal="left" vertical="top" wrapText="1" indent="1"/>
      <protection hidden="1"/>
    </xf>
    <xf numFmtId="0" fontId="18" fillId="0" borderId="8" xfId="0" applyFont="1" applyBorder="1" applyAlignment="1" applyProtection="1">
      <alignment horizontal="left" vertical="top" wrapText="1" indent="1"/>
      <protection hidden="1"/>
    </xf>
    <xf numFmtId="0" fontId="2" fillId="4" borderId="24" xfId="0" applyFont="1" applyFill="1" applyBorder="1" applyAlignment="1" applyProtection="1">
      <alignment horizontal="left" vertical="center" indent="3"/>
      <protection hidden="1"/>
    </xf>
    <xf numFmtId="0" fontId="2" fillId="4" borderId="17" xfId="0" applyFont="1" applyFill="1" applyBorder="1" applyAlignment="1" applyProtection="1">
      <alignment horizontal="left" vertical="center" indent="3"/>
      <protection hidden="1"/>
    </xf>
    <xf numFmtId="0" fontId="18" fillId="0" borderId="74" xfId="0" applyFont="1" applyBorder="1" applyAlignment="1" applyProtection="1">
      <alignment horizontal="left" vertical="top" indent="1"/>
      <protection hidden="1"/>
    </xf>
    <xf numFmtId="0" fontId="18" fillId="0" borderId="18" xfId="0" applyFont="1" applyBorder="1" applyAlignment="1" applyProtection="1">
      <alignment horizontal="left" vertical="top" indent="1"/>
      <protection hidden="1"/>
    </xf>
    <xf numFmtId="0" fontId="18" fillId="0" borderId="75" xfId="0" applyFont="1" applyBorder="1" applyAlignment="1" applyProtection="1">
      <alignment horizontal="left" vertical="top" indent="1"/>
      <protection hidden="1"/>
    </xf>
    <xf numFmtId="0" fontId="18" fillId="0" borderId="17" xfId="0" applyFont="1" applyBorder="1" applyAlignment="1" applyProtection="1">
      <alignment horizontal="left" vertical="top" indent="1"/>
      <protection hidden="1"/>
    </xf>
    <xf numFmtId="0" fontId="18" fillId="0" borderId="11" xfId="0" applyFont="1" applyBorder="1" applyAlignment="1" applyProtection="1">
      <alignment horizontal="left" vertical="top" indent="3"/>
      <protection hidden="1"/>
    </xf>
    <xf numFmtId="0" fontId="18" fillId="0" borderId="8" xfId="0" applyFont="1" applyBorder="1" applyAlignment="1" applyProtection="1">
      <alignment horizontal="left" vertical="top" indent="3"/>
      <protection hidden="1"/>
    </xf>
    <xf numFmtId="0" fontId="18" fillId="0" borderId="74" xfId="0" applyFont="1" applyBorder="1" applyAlignment="1" applyProtection="1">
      <alignment horizontal="left" vertical="top" indent="3"/>
      <protection hidden="1"/>
    </xf>
    <xf numFmtId="0" fontId="18" fillId="0" borderId="19" xfId="0" applyFont="1" applyBorder="1" applyAlignment="1" applyProtection="1">
      <alignment horizontal="left" vertical="top" indent="3"/>
      <protection hidden="1"/>
    </xf>
    <xf numFmtId="0" fontId="18" fillId="0" borderId="7" xfId="0" applyFont="1" applyBorder="1" applyAlignment="1" applyProtection="1">
      <alignment horizontal="left" vertical="top" indent="3"/>
      <protection hidden="1"/>
    </xf>
    <xf numFmtId="0" fontId="18" fillId="0" borderId="77" xfId="0" applyFont="1" applyBorder="1" applyAlignment="1" applyProtection="1">
      <alignment horizontal="left" vertical="top" indent="1"/>
      <protection hidden="1"/>
    </xf>
    <xf numFmtId="0" fontId="18" fillId="0" borderId="20" xfId="0" applyFont="1" applyBorder="1" applyAlignment="1" applyProtection="1">
      <alignment horizontal="left" vertical="top" indent="1"/>
      <protection hidden="1"/>
    </xf>
    <xf numFmtId="0" fontId="18" fillId="0" borderId="77" xfId="0" applyFont="1" applyBorder="1" applyAlignment="1" applyProtection="1">
      <alignment horizontal="left" vertical="top" indent="3"/>
      <protection hidden="1"/>
    </xf>
    <xf numFmtId="0" fontId="18" fillId="0" borderId="20" xfId="0" applyFont="1" applyBorder="1" applyAlignment="1" applyProtection="1">
      <alignment horizontal="left" vertical="top" indent="3"/>
      <protection hidden="1"/>
    </xf>
    <xf numFmtId="0" fontId="18" fillId="0" borderId="46" xfId="0" applyFont="1" applyBorder="1" applyAlignment="1" applyProtection="1">
      <alignment horizontal="left" vertical="top" indent="1"/>
      <protection hidden="1"/>
    </xf>
    <xf numFmtId="0" fontId="18" fillId="0" borderId="26" xfId="0" applyFont="1" applyBorder="1" applyAlignment="1" applyProtection="1">
      <alignment horizontal="left" vertical="top" indent="1"/>
      <protection hidden="1"/>
    </xf>
    <xf numFmtId="0" fontId="18" fillId="0" borderId="44" xfId="0" applyFont="1" applyBorder="1" applyAlignment="1" applyProtection="1">
      <alignment horizontal="left" vertical="top" indent="1"/>
      <protection hidden="1"/>
    </xf>
    <xf numFmtId="0" fontId="18" fillId="0" borderId="48" xfId="0" applyFont="1" applyBorder="1" applyAlignment="1" applyProtection="1">
      <alignment horizontal="left" vertical="top" indent="1"/>
      <protection hidden="1"/>
    </xf>
    <xf numFmtId="0" fontId="2" fillId="4" borderId="78" xfId="0" applyFont="1" applyFill="1" applyBorder="1" applyAlignment="1" applyProtection="1">
      <alignment horizontal="left" vertical="center" indent="3"/>
      <protection hidden="1"/>
    </xf>
    <xf numFmtId="0" fontId="18" fillId="0" borderId="79" xfId="0" applyFont="1" applyBorder="1" applyAlignment="1" applyProtection="1">
      <alignment horizontal="left" vertical="top" indent="1"/>
      <protection hidden="1"/>
    </xf>
    <xf numFmtId="0" fontId="18" fillId="0" borderId="40" xfId="0" applyFont="1" applyBorder="1" applyAlignment="1" applyProtection="1">
      <alignment horizontal="left" vertical="top" indent="1"/>
      <protection hidden="1"/>
    </xf>
    <xf numFmtId="0" fontId="18" fillId="0" borderId="47" xfId="0" applyFont="1" applyBorder="1" applyAlignment="1" applyProtection="1">
      <alignment horizontal="center" vertical="top" wrapText="1"/>
      <protection locked="0"/>
    </xf>
    <xf numFmtId="0" fontId="18" fillId="0" borderId="44" xfId="0" applyFont="1" applyBorder="1" applyAlignment="1" applyProtection="1">
      <alignment horizontal="center" vertical="top" wrapText="1"/>
      <protection locked="0"/>
    </xf>
    <xf numFmtId="0" fontId="18" fillId="0" borderId="48" xfId="0" applyFont="1" applyBorder="1" applyAlignment="1" applyProtection="1">
      <alignment horizontal="center" vertical="top" wrapText="1"/>
      <protection locked="0"/>
    </xf>
    <xf numFmtId="0" fontId="30" fillId="0" borderId="109" xfId="0" applyFont="1" applyBorder="1" applyAlignment="1" applyProtection="1">
      <alignment horizontal="left"/>
      <protection hidden="1"/>
    </xf>
    <xf numFmtId="0" fontId="30" fillId="0" borderId="110" xfId="0" applyFont="1" applyBorder="1" applyAlignment="1" applyProtection="1">
      <alignment horizontal="left"/>
      <protection hidden="1"/>
    </xf>
    <xf numFmtId="0" fontId="30" fillId="0" borderId="111" xfId="0" applyFont="1" applyBorder="1" applyAlignment="1" applyProtection="1">
      <alignment horizontal="left"/>
      <protection hidden="1"/>
    </xf>
    <xf numFmtId="0" fontId="32" fillId="6" borderId="64" xfId="0" applyFont="1" applyFill="1" applyBorder="1" applyAlignment="1" applyProtection="1">
      <alignment horizontal="left" vertical="center"/>
      <protection hidden="1"/>
    </xf>
    <xf numFmtId="0" fontId="31" fillId="6" borderId="64" xfId="0" applyFont="1" applyFill="1" applyBorder="1" applyAlignment="1" applyProtection="1">
      <alignment horizontal="center" vertical="center" wrapText="1"/>
      <protection hidden="1"/>
    </xf>
    <xf numFmtId="0" fontId="31" fillId="6" borderId="0" xfId="0" applyFont="1" applyFill="1" applyAlignment="1" applyProtection="1">
      <alignment horizontal="center" vertical="center" wrapText="1"/>
      <protection hidden="1"/>
    </xf>
    <xf numFmtId="0" fontId="31" fillId="6" borderId="115" xfId="0" applyFont="1" applyFill="1" applyBorder="1" applyAlignment="1" applyProtection="1">
      <alignment horizontal="center" vertical="center" wrapText="1"/>
      <protection hidden="1"/>
    </xf>
    <xf numFmtId="0" fontId="31" fillId="6" borderId="65" xfId="0" applyFont="1" applyFill="1" applyBorder="1" applyAlignment="1" applyProtection="1">
      <alignment horizontal="center" vertical="center" wrapText="1"/>
      <protection hidden="1"/>
    </xf>
    <xf numFmtId="0" fontId="31" fillId="6" borderId="63" xfId="0" applyFont="1" applyFill="1" applyBorder="1" applyAlignment="1" applyProtection="1">
      <alignment horizontal="center" vertical="center" wrapText="1"/>
      <protection hidden="1"/>
    </xf>
    <xf numFmtId="0" fontId="32" fillId="0" borderId="64" xfId="0" applyFont="1" applyBorder="1" applyAlignment="1" applyProtection="1">
      <alignment horizontal="center" vertical="center" wrapText="1"/>
      <protection hidden="1"/>
    </xf>
    <xf numFmtId="0" fontId="32" fillId="0" borderId="0" xfId="0" applyFont="1" applyAlignment="1" applyProtection="1">
      <alignment horizontal="center" vertical="center" wrapText="1"/>
      <protection hidden="1"/>
    </xf>
    <xf numFmtId="164" fontId="32" fillId="0" borderId="64" xfId="0" applyNumberFormat="1" applyFont="1" applyBorder="1" applyAlignment="1" applyProtection="1">
      <alignment horizontal="center" vertical="center" wrapText="1"/>
      <protection hidden="1"/>
    </xf>
    <xf numFmtId="164" fontId="32" fillId="0" borderId="0" xfId="0" applyNumberFormat="1" applyFont="1" applyAlignment="1" applyProtection="1">
      <alignment horizontal="center" vertical="center" wrapText="1"/>
      <protection hidden="1"/>
    </xf>
    <xf numFmtId="3" fontId="32" fillId="0" borderId="64" xfId="0" applyNumberFormat="1" applyFont="1" applyBorder="1" applyAlignment="1" applyProtection="1">
      <alignment horizontal="center" vertical="center" wrapText="1"/>
      <protection hidden="1"/>
    </xf>
    <xf numFmtId="3" fontId="32" fillId="0" borderId="0" xfId="0" applyNumberFormat="1" applyFont="1" applyAlignment="1" applyProtection="1">
      <alignment horizontal="center" vertical="center" wrapText="1"/>
      <protection hidden="1"/>
    </xf>
    <xf numFmtId="0" fontId="30" fillId="0" borderId="0" xfId="0" applyFont="1" applyAlignment="1" applyProtection="1">
      <alignment horizontal="center" vertical="center"/>
      <protection hidden="1"/>
    </xf>
    <xf numFmtId="0" fontId="32" fillId="0" borderId="64" xfId="0" applyFont="1" applyBorder="1" applyAlignment="1" applyProtection="1">
      <alignment horizontal="left" vertical="center" wrapText="1" indent="1"/>
      <protection hidden="1"/>
    </xf>
    <xf numFmtId="0" fontId="32" fillId="0" borderId="0" xfId="0" applyFont="1" applyAlignment="1" applyProtection="1">
      <alignment horizontal="left" vertical="center" wrapText="1" indent="1"/>
      <protection hidden="1"/>
    </xf>
    <xf numFmtId="164" fontId="32" fillId="0" borderId="65" xfId="0" applyNumberFormat="1" applyFont="1" applyBorder="1" applyAlignment="1" applyProtection="1">
      <alignment horizontal="center" vertical="center" wrapText="1"/>
      <protection hidden="1"/>
    </xf>
    <xf numFmtId="0" fontId="32" fillId="0" borderId="65" xfId="0" applyFont="1" applyBorder="1" applyAlignment="1" applyProtection="1">
      <alignment horizontal="center" vertical="center" wrapText="1"/>
      <protection hidden="1"/>
    </xf>
    <xf numFmtId="0" fontId="30" fillId="0" borderId="65" xfId="0" applyFont="1" applyBorder="1" applyAlignment="1" applyProtection="1">
      <alignment horizontal="center" vertical="center"/>
      <protection hidden="1"/>
    </xf>
    <xf numFmtId="0" fontId="32" fillId="0" borderId="65" xfId="0" applyFont="1" applyBorder="1" applyAlignment="1" applyProtection="1">
      <alignment horizontal="left" vertical="center" wrapText="1" indent="1"/>
      <protection hidden="1"/>
    </xf>
    <xf numFmtId="3" fontId="32" fillId="0" borderId="65" xfId="0" applyNumberFormat="1" applyFont="1" applyBorder="1" applyAlignment="1" applyProtection="1">
      <alignment horizontal="center" vertical="center" wrapText="1"/>
      <protection hidden="1"/>
    </xf>
    <xf numFmtId="0" fontId="36" fillId="6" borderId="101" xfId="0" applyFont="1" applyFill="1" applyBorder="1" applyAlignment="1" applyProtection="1">
      <alignment horizontal="center" vertical="center" wrapText="1"/>
      <protection hidden="1"/>
    </xf>
    <xf numFmtId="0" fontId="36" fillId="6" borderId="102" xfId="0" applyFont="1" applyFill="1" applyBorder="1" applyAlignment="1" applyProtection="1">
      <alignment horizontal="center" vertical="center" wrapText="1"/>
      <protection hidden="1"/>
    </xf>
    <xf numFmtId="0" fontId="36" fillId="6" borderId="35" xfId="0" applyFont="1" applyFill="1" applyBorder="1" applyAlignment="1" applyProtection="1">
      <alignment horizontal="center" vertical="center" wrapText="1"/>
      <protection hidden="1"/>
    </xf>
    <xf numFmtId="0" fontId="36" fillId="6" borderId="99" xfId="0" applyFont="1" applyFill="1" applyBorder="1" applyAlignment="1" applyProtection="1">
      <alignment horizontal="center" vertical="center" wrapText="1"/>
      <protection hidden="1"/>
    </xf>
    <xf numFmtId="0" fontId="36" fillId="6" borderId="100" xfId="0" applyFont="1" applyFill="1" applyBorder="1" applyAlignment="1" applyProtection="1">
      <alignment horizontal="center" vertical="center" wrapText="1"/>
      <protection hidden="1"/>
    </xf>
    <xf numFmtId="0" fontId="36" fillId="6" borderId="103" xfId="0" applyFont="1" applyFill="1" applyBorder="1" applyAlignment="1" applyProtection="1">
      <alignment horizontal="center" vertical="center" wrapText="1"/>
      <protection hidden="1"/>
    </xf>
    <xf numFmtId="0" fontId="45" fillId="0" borderId="112" xfId="0" applyFont="1" applyBorder="1" applyAlignment="1" applyProtection="1">
      <alignment horizontal="left"/>
      <protection hidden="1"/>
    </xf>
    <xf numFmtId="0" fontId="45" fillId="0" borderId="113" xfId="0" applyFont="1" applyBorder="1" applyAlignment="1" applyProtection="1">
      <alignment horizontal="left"/>
      <protection hidden="1"/>
    </xf>
    <xf numFmtId="0" fontId="45" fillId="0" borderId="114" xfId="0" applyFont="1" applyBorder="1" applyAlignment="1" applyProtection="1">
      <alignment horizontal="left"/>
      <protection hidden="1"/>
    </xf>
  </cellXfs>
  <cellStyles count="3">
    <cellStyle name="Hyperlink" xfId="2" builtinId="8"/>
    <cellStyle name="Normal" xfId="0" builtinId="0"/>
    <cellStyle name="Percent" xfId="1" builtinId="5"/>
  </cellStyles>
  <dxfs count="758">
    <dxf>
      <font>
        <b val="0"/>
        <i/>
        <color theme="0" tint="-0.24994659260841701"/>
      </font>
      <fill>
        <patternFill patternType="none">
          <bgColor auto="1"/>
        </patternFill>
      </fill>
    </dxf>
    <dxf>
      <font>
        <color auto="1"/>
      </font>
      <fill>
        <patternFill>
          <bgColor rgb="FFFAA0A0"/>
        </patternFill>
      </fill>
    </dxf>
    <dxf>
      <font>
        <color auto="1"/>
      </font>
      <fill>
        <patternFill>
          <bgColor theme="9" tint="0.39994506668294322"/>
        </patternFill>
      </fill>
    </dxf>
    <dxf>
      <font>
        <color auto="1"/>
      </font>
      <fill>
        <patternFill>
          <bgColor theme="7" tint="0.59996337778862885"/>
        </patternFill>
      </fill>
    </dxf>
    <dxf>
      <font>
        <color theme="0"/>
      </font>
      <fill>
        <patternFill>
          <bgColor theme="0"/>
        </patternFill>
      </fill>
      <border>
        <left style="thin">
          <color theme="0"/>
        </left>
        <right style="thin">
          <color theme="0"/>
        </right>
        <top style="thin">
          <color theme="0"/>
        </top>
        <bottom style="thin">
          <color theme="0"/>
        </bottom>
        <vertical/>
        <horizontal/>
      </border>
    </dxf>
    <dxf>
      <border>
        <top style="thin">
          <color theme="1"/>
        </top>
        <bottom style="thin">
          <color theme="1"/>
        </bottom>
        <vertical/>
        <horizontal/>
      </border>
    </dxf>
    <dxf>
      <font>
        <color theme="0"/>
      </font>
    </dxf>
    <dxf>
      <font>
        <color theme="1"/>
      </font>
      <fill>
        <patternFill>
          <bgColor theme="9" tint="0.39994506668294322"/>
        </patternFill>
      </fill>
    </dxf>
    <dxf>
      <font>
        <color auto="1"/>
      </font>
      <fill>
        <patternFill>
          <bgColor rgb="FFFAA0A0"/>
        </patternFill>
      </fill>
    </dxf>
    <dxf>
      <font>
        <color auto="1"/>
      </font>
      <fill>
        <patternFill>
          <bgColor theme="7" tint="0.59996337778862885"/>
        </patternFill>
      </fill>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auto="1"/>
      </font>
      <border>
        <top style="thin">
          <color auto="1"/>
        </top>
        <bottom style="thin">
          <color auto="1"/>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dxf>
    <dxf>
      <fill>
        <patternFill>
          <bgColor theme="0"/>
        </patternFill>
      </fill>
      <border>
        <left/>
        <right style="thin">
          <color theme="0"/>
        </right>
        <top style="thin">
          <color theme="1"/>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ill>
        <patternFill>
          <bgColor theme="7" tint="0.79998168889431442"/>
        </patternFill>
      </fill>
    </dxf>
    <dxf>
      <font>
        <color auto="1"/>
      </font>
      <fill>
        <patternFill>
          <bgColor theme="7" tint="0.59996337778862885"/>
        </patternFill>
      </fill>
    </dxf>
    <dxf>
      <font>
        <color auto="1"/>
      </font>
      <fill>
        <patternFill>
          <bgColor rgb="FFFAA0A0"/>
        </patternFill>
      </fill>
    </dxf>
    <dxf>
      <font>
        <color auto="1"/>
      </font>
      <fill>
        <patternFill>
          <bgColor theme="9" tint="0.39994506668294322"/>
        </patternFill>
      </fill>
    </dxf>
    <dxf>
      <fill>
        <patternFill>
          <bgColor theme="7" tint="0.79998168889431442"/>
        </patternFill>
      </fill>
    </dxf>
    <dxf>
      <fill>
        <patternFill>
          <bgColor theme="7" tint="0.79998168889431442"/>
        </patternFill>
      </fill>
    </dxf>
    <dxf>
      <font>
        <color auto="1"/>
      </font>
      <fill>
        <patternFill>
          <bgColor theme="9" tint="0.39994506668294322"/>
        </patternFill>
      </fill>
    </dxf>
    <dxf>
      <font>
        <color auto="1"/>
      </font>
      <fill>
        <patternFill>
          <bgColor theme="7" tint="0.59996337778862885"/>
        </patternFill>
      </fill>
    </dxf>
    <dxf>
      <font>
        <color auto="1"/>
      </font>
      <fill>
        <patternFill>
          <bgColor rgb="FFFAA0A0"/>
        </patternFill>
      </fill>
    </dxf>
    <dxf>
      <fill>
        <patternFill>
          <bgColor theme="7" tint="0.79998168889431442"/>
        </patternFill>
      </fill>
    </dxf>
    <dxf>
      <font>
        <color auto="1"/>
      </font>
      <fill>
        <patternFill>
          <bgColor theme="7" tint="0.59996337778862885"/>
        </patternFill>
      </fill>
    </dxf>
    <dxf>
      <font>
        <color auto="1"/>
      </font>
      <fill>
        <patternFill>
          <bgColor rgb="FFFAA0A0"/>
        </patternFill>
      </fill>
    </dxf>
    <dxf>
      <font>
        <color auto="1"/>
      </font>
      <fill>
        <patternFill>
          <bgColor theme="9" tint="0.39994506668294322"/>
        </patternFill>
      </fill>
    </dxf>
    <dxf>
      <fill>
        <patternFill>
          <bgColor theme="7" tint="0.79998168889431442"/>
        </patternFill>
      </fill>
    </dxf>
    <dxf>
      <fill>
        <patternFill>
          <bgColor theme="7" tint="0.79998168889431442"/>
        </patternFill>
      </fill>
    </dxf>
    <dxf>
      <font>
        <color auto="1"/>
      </font>
      <fill>
        <patternFill>
          <bgColor theme="9" tint="0.39994506668294322"/>
        </patternFill>
      </fill>
    </dxf>
    <dxf>
      <fill>
        <patternFill>
          <bgColor theme="7" tint="0.79998168889431442"/>
        </patternFill>
      </fill>
    </dxf>
    <dxf>
      <font>
        <color auto="1"/>
      </font>
      <fill>
        <patternFill>
          <bgColor rgb="FFFAA0A0"/>
        </patternFill>
      </fill>
    </dxf>
    <dxf>
      <font>
        <color auto="1"/>
      </font>
      <fill>
        <patternFill>
          <bgColor theme="7" tint="0.59996337778862885"/>
        </patternFill>
      </fill>
    </dxf>
    <dxf>
      <fill>
        <patternFill>
          <bgColor theme="7" tint="0.79998168889431442"/>
        </patternFill>
      </fill>
    </dxf>
    <dxf>
      <font>
        <color theme="0"/>
      </font>
      <fill>
        <patternFill>
          <bgColor theme="0"/>
        </patternFill>
      </fill>
      <border>
        <left style="thin">
          <color theme="0"/>
        </left>
        <right style="thin">
          <color theme="0"/>
        </right>
        <top style="thin">
          <color theme="0"/>
        </top>
        <bottom style="thin">
          <color theme="0"/>
        </bottom>
        <vertical/>
        <horizontal/>
      </border>
    </dxf>
    <dxf>
      <fill>
        <patternFill>
          <bgColor theme="7" tint="0.79998168889431442"/>
        </patternFill>
      </fill>
    </dxf>
    <dxf>
      <fill>
        <patternFill patternType="none">
          <bgColor auto="1"/>
        </patternFill>
      </fill>
    </dxf>
    <dxf>
      <fill>
        <patternFill patternType="none">
          <bgColor auto="1"/>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ill>
        <patternFill>
          <bgColor theme="7" tint="0.79998168889431442"/>
        </patternFill>
      </fill>
    </dxf>
    <dxf>
      <font>
        <color theme="0"/>
      </font>
      <fill>
        <patternFill>
          <bgColor theme="0"/>
        </patternFill>
      </fill>
      <border>
        <left style="thin">
          <color theme="0"/>
        </left>
        <right style="thin">
          <color theme="0"/>
        </right>
        <top style="thin">
          <color theme="0"/>
        </top>
        <bottom style="thin">
          <color theme="0"/>
        </bottom>
        <vertical/>
        <horizontal/>
      </border>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patternType="none">
          <bgColor auto="1"/>
        </patternFill>
      </fill>
    </dxf>
    <dxf>
      <fill>
        <patternFill patternType="none">
          <bgColor auto="1"/>
        </patternFill>
      </fill>
    </dxf>
    <dxf>
      <fill>
        <patternFill>
          <bgColor theme="7" tint="0.79998168889431442"/>
        </patternFill>
      </fill>
    </dxf>
    <dxf>
      <fill>
        <patternFill>
          <bgColor theme="7" tint="0.79998168889431442"/>
        </patternFill>
      </fill>
    </dxf>
    <dxf>
      <fill>
        <patternFill patternType="none">
          <bgColor auto="1"/>
        </patternFill>
      </fill>
    </dxf>
    <dxf>
      <fill>
        <patternFill patternType="none">
          <bgColor auto="1"/>
        </patternFill>
      </fill>
    </dxf>
    <dxf>
      <fill>
        <patternFill>
          <bgColor theme="7" tint="0.79998168889431442"/>
        </patternFill>
      </fill>
    </dxf>
    <dxf>
      <fill>
        <patternFill>
          <bgColor theme="7" tint="0.79998168889431442"/>
        </patternFill>
      </fill>
    </dxf>
    <dxf>
      <fill>
        <patternFill patternType="none">
          <bgColor auto="1"/>
        </patternFill>
      </fill>
    </dxf>
    <dxf>
      <font>
        <color theme="0"/>
      </font>
      <fill>
        <patternFill>
          <bgColor theme="0"/>
        </patternFill>
      </fill>
      <border>
        <left style="thin">
          <color theme="0"/>
        </left>
        <right style="thin">
          <color theme="0"/>
        </right>
        <top style="thin">
          <color theme="0"/>
        </top>
        <bottom style="thin">
          <color theme="0"/>
        </bottom>
        <vertical/>
        <horizontal/>
      </border>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ont>
        <color theme="0"/>
      </font>
      <fill>
        <patternFill>
          <bgColor theme="0"/>
        </patternFill>
      </fill>
      <border>
        <left style="thin">
          <color theme="0"/>
        </left>
        <right style="thin">
          <color theme="0"/>
        </right>
        <top style="thin">
          <color theme="0"/>
        </top>
        <bottom style="thin">
          <color theme="0"/>
        </bottom>
        <vertical/>
        <horizontal/>
      </border>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patternType="none">
          <bgColor auto="1"/>
        </patternFill>
      </fill>
    </dxf>
    <dxf>
      <fill>
        <patternFill patternType="none">
          <bgColor auto="1"/>
        </patternFill>
      </fill>
    </dxf>
    <dxf>
      <fill>
        <patternFill>
          <bgColor theme="7" tint="0.79998168889431442"/>
        </patternFill>
      </fill>
    </dxf>
    <dxf>
      <fill>
        <patternFill patternType="none">
          <bgColor auto="1"/>
        </patternFill>
      </fill>
    </dxf>
    <dxf>
      <fill>
        <patternFill>
          <bgColor theme="7" tint="0.79998168889431442"/>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ont>
        <color theme="0"/>
      </font>
      <fill>
        <patternFill>
          <bgColor theme="0"/>
        </patternFill>
      </fill>
      <border>
        <left style="thin">
          <color theme="0"/>
        </left>
        <right style="thin">
          <color theme="0"/>
        </right>
        <top style="thin">
          <color theme="0"/>
        </top>
        <bottom style="thin">
          <color theme="0"/>
        </bottom>
        <vertical/>
        <horizontal/>
      </border>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ill>
        <patternFill patternType="none">
          <bgColor auto="1"/>
        </patternFill>
      </fill>
    </dxf>
    <dxf>
      <fill>
        <patternFill>
          <bgColor theme="7" tint="0.79998168889431442"/>
        </patternFill>
      </fill>
    </dxf>
    <dxf>
      <fill>
        <patternFill>
          <bgColor theme="7" tint="0.79998168889431442"/>
        </patternFill>
      </fill>
    </dxf>
    <dxf>
      <fill>
        <patternFill patternType="none">
          <bgColor auto="1"/>
        </patternFill>
      </fill>
    </dxf>
    <dxf>
      <font>
        <color theme="0"/>
      </font>
      <fill>
        <patternFill>
          <bgColor theme="0"/>
        </patternFill>
      </fill>
      <border>
        <left style="thin">
          <color theme="0"/>
        </left>
        <right style="thin">
          <color theme="0"/>
        </right>
        <top style="thin">
          <color theme="0"/>
        </top>
        <bottom style="thin">
          <color theme="0"/>
        </bottom>
        <vertical/>
        <horizontal/>
      </border>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ill>
        <patternFill patternType="none">
          <bgColor auto="1"/>
        </patternFill>
      </fill>
    </dxf>
    <dxf>
      <fill>
        <patternFill>
          <bgColor theme="7" tint="0.79998168889431442"/>
        </patternFill>
      </fill>
    </dxf>
    <dxf>
      <fill>
        <patternFill>
          <bgColor theme="7" tint="0.79998168889431442"/>
        </patternFill>
      </fill>
    </dxf>
    <dxf>
      <fill>
        <patternFill patternType="none">
          <bgColor auto="1"/>
        </patternFill>
      </fill>
    </dxf>
    <dxf>
      <fill>
        <patternFill patternType="none">
          <bgColor auto="1"/>
        </patternFill>
      </fill>
    </dxf>
    <dxf>
      <fill>
        <patternFill>
          <bgColor theme="7" tint="0.79998168889431442"/>
        </patternFill>
      </fill>
    </dxf>
    <dxf>
      <font>
        <color theme="0"/>
      </font>
      <fill>
        <patternFill>
          <bgColor theme="0"/>
        </patternFill>
      </fill>
      <border>
        <left style="thin">
          <color theme="0"/>
        </left>
        <right style="thin">
          <color theme="0"/>
        </right>
        <top style="thin">
          <color theme="0"/>
        </top>
        <bottom style="thin">
          <color theme="0"/>
        </bottom>
        <vertical/>
        <horizontal/>
      </border>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patternType="none">
          <bgColor auto="1"/>
        </patternFill>
      </fill>
    </dxf>
    <dxf>
      <fill>
        <patternFill patternType="none">
          <bgColor auto="1"/>
        </patternFill>
      </fill>
    </dxf>
    <dxf>
      <fill>
        <patternFill>
          <bgColor theme="7" tint="0.79998168889431442"/>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ont>
        <color theme="0"/>
      </font>
      <fill>
        <patternFill>
          <bgColor theme="0"/>
        </patternFill>
      </fill>
      <border>
        <left style="thin">
          <color theme="0"/>
        </left>
        <right style="thin">
          <color theme="0"/>
        </right>
        <top style="thin">
          <color theme="0"/>
        </top>
        <bottom style="thin">
          <color theme="0"/>
        </bottom>
        <vertical/>
        <horizontal/>
      </border>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ill>
        <patternFill patternType="none">
          <bgColor auto="1"/>
        </patternFill>
      </fill>
    </dxf>
    <dxf>
      <fill>
        <patternFill>
          <bgColor theme="7" tint="0.79998168889431442"/>
        </patternFill>
      </fill>
    </dxf>
    <dxf>
      <fill>
        <patternFill patternType="none">
          <bgColor auto="1"/>
        </patternFill>
      </fill>
    </dxf>
    <dxf>
      <fill>
        <patternFill>
          <bgColor theme="7" tint="0.79998168889431442"/>
        </patternFill>
      </fill>
    </dxf>
    <dxf>
      <fill>
        <patternFill>
          <bgColor theme="7" tint="0.79998168889431442"/>
        </patternFill>
      </fill>
    </dxf>
    <dxf>
      <fill>
        <patternFill patternType="none">
          <bgColor auto="1"/>
        </patternFill>
      </fill>
    </dxf>
    <dxf>
      <font>
        <color theme="0"/>
      </font>
      <fill>
        <patternFill>
          <bgColor theme="0"/>
        </patternFill>
      </fill>
      <border>
        <left style="thin">
          <color theme="0"/>
        </left>
        <right style="thin">
          <color theme="0"/>
        </right>
        <top style="thin">
          <color theme="0"/>
        </top>
        <bottom style="thin">
          <color theme="0"/>
        </bottom>
        <vertical/>
        <horizontal/>
      </border>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ill>
        <patternFill>
          <bgColor theme="7" tint="0.79998168889431442"/>
        </patternFill>
      </fill>
    </dxf>
    <dxf>
      <fill>
        <patternFill>
          <bgColor theme="7" tint="0.79998168889431442"/>
        </patternFill>
      </fill>
    </dxf>
    <dxf>
      <fill>
        <patternFill patternType="none">
          <bgColor auto="1"/>
        </patternFill>
      </fill>
    </dxf>
    <dxf>
      <fill>
        <patternFill patternType="none">
          <bgColor auto="1"/>
        </patternFill>
      </fill>
    </dxf>
    <dxf>
      <fill>
        <patternFill>
          <bgColor theme="7" tint="0.79998168889431442"/>
        </patternFill>
      </fill>
    </dxf>
    <dxf>
      <fill>
        <patternFill patternType="none">
          <bgColor auto="1"/>
        </patternFill>
      </fill>
    </dxf>
    <dxf>
      <fill>
        <patternFill>
          <bgColor theme="7" tint="0.79998168889431442"/>
        </patternFill>
      </fill>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right/>
        <top/>
        <bottom/>
        <vertical/>
        <horizontal/>
      </border>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ill>
        <patternFill>
          <bgColor theme="7" tint="0.79998168889431442"/>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ont>
        <color theme="0"/>
      </font>
      <fill>
        <patternFill>
          <bgColor theme="0"/>
        </patternFill>
      </fill>
      <border>
        <left style="thin">
          <color theme="0"/>
        </left>
        <right style="thin">
          <color theme="0"/>
        </right>
        <top style="thin">
          <color theme="0"/>
        </top>
        <bottom style="thin">
          <color theme="0"/>
        </bottom>
        <vertical/>
        <horizontal/>
      </border>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ill>
        <patternFill>
          <bgColor theme="7" tint="0.79998168889431442"/>
        </patternFill>
      </fill>
    </dxf>
    <dxf>
      <font>
        <color theme="0"/>
      </font>
      <fill>
        <patternFill>
          <bgColor theme="0"/>
        </patternFill>
      </fill>
      <border>
        <left style="thin">
          <color theme="0"/>
        </left>
        <right style="thin">
          <color theme="0"/>
        </right>
        <top style="thin">
          <color theme="0"/>
        </top>
        <bottom style="thin">
          <color theme="0"/>
        </bottom>
        <vertical/>
        <horizontal/>
      </border>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ill>
        <patternFill>
          <bgColor theme="7" tint="0.79998168889431442"/>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ill>
        <patternFill patternType="none">
          <bgColor auto="1"/>
        </patternFill>
      </fill>
    </dxf>
    <dxf>
      <fill>
        <patternFill>
          <bgColor theme="7" tint="0.79998168889431442"/>
        </patternFill>
      </fill>
    </dxf>
    <dxf>
      <font>
        <color theme="0"/>
      </font>
      <fill>
        <patternFill>
          <bgColor theme="0"/>
        </patternFill>
      </fill>
      <border>
        <left style="thin">
          <color theme="0"/>
        </left>
        <right style="thin">
          <color theme="0"/>
        </right>
        <top style="thin">
          <color theme="0"/>
        </top>
        <bottom style="thin">
          <color theme="0"/>
        </bottom>
        <vertical/>
        <horizontal/>
      </border>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patternType="none">
          <bgColor auto="1"/>
        </patternFill>
      </fill>
    </dxf>
    <dxf>
      <fill>
        <patternFill>
          <bgColor theme="7" tint="0.79998168889431442"/>
        </patternFill>
      </fill>
    </dxf>
    <dxf>
      <fill>
        <patternFill>
          <bgColor theme="7" tint="0.79998168889431442"/>
        </patternFill>
      </fill>
    </dxf>
    <dxf>
      <fill>
        <patternFill patternType="none">
          <bgColor auto="1"/>
        </patternFill>
      </fill>
    </dxf>
    <dxf>
      <fill>
        <patternFill patternType="none">
          <bgColor auto="1"/>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ill>
        <patternFill>
          <bgColor theme="7" tint="0.79998168889431442"/>
        </patternFill>
      </fill>
    </dxf>
    <dxf>
      <font>
        <color theme="0"/>
      </font>
      <fill>
        <patternFill>
          <bgColor theme="0"/>
        </patternFill>
      </fill>
      <border>
        <left style="thin">
          <color theme="0"/>
        </left>
        <right style="thin">
          <color theme="0"/>
        </right>
        <top style="thin">
          <color theme="0"/>
        </top>
        <bottom style="thin">
          <color theme="0"/>
        </bottom>
        <vertical/>
        <horizontal/>
      </border>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ill>
        <patternFill patternType="none">
          <bgColor auto="1"/>
        </patternFill>
      </fill>
    </dxf>
    <dxf>
      <fill>
        <patternFill>
          <bgColor theme="7" tint="0.79998168889431442"/>
        </patternFill>
      </fill>
    </dxf>
    <dxf>
      <font>
        <color theme="0"/>
      </font>
      <fill>
        <patternFill>
          <bgColor theme="0"/>
        </patternFill>
      </fill>
      <border>
        <left style="thin">
          <color theme="0"/>
        </left>
        <right style="thin">
          <color theme="0"/>
        </right>
        <top style="thin">
          <color theme="0"/>
        </top>
        <bottom style="thin">
          <color theme="0"/>
        </bottom>
        <vertical/>
        <horizontal/>
      </border>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ill>
        <patternFill>
          <bgColor theme="7" tint="0.79998168889431442"/>
        </patternFill>
      </fill>
    </dxf>
    <dxf>
      <fill>
        <patternFill>
          <bgColor theme="7" tint="0.79998168889431442"/>
        </patternFill>
      </fill>
    </dxf>
    <dxf>
      <fill>
        <patternFill patternType="none">
          <bgColor auto="1"/>
        </patternFill>
      </fill>
    </dxf>
    <dxf>
      <fill>
        <patternFill patternType="none">
          <bgColor auto="1"/>
        </patternFill>
      </fill>
    </dxf>
    <dxf>
      <fill>
        <patternFill>
          <bgColor theme="7" tint="0.79998168889431442"/>
        </patternFill>
      </fill>
    </dxf>
    <dxf>
      <font>
        <color theme="0"/>
      </font>
      <fill>
        <patternFill>
          <bgColor theme="0"/>
        </patternFill>
      </fill>
      <border>
        <left style="thin">
          <color theme="0"/>
        </left>
        <right style="thin">
          <color theme="0"/>
        </right>
        <top style="thin">
          <color theme="0"/>
        </top>
        <bottom style="thin">
          <color theme="0"/>
        </bottom>
        <vertical/>
        <horizontal/>
      </border>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patternType="none">
          <bgColor auto="1"/>
        </patternFill>
      </fill>
    </dxf>
    <dxf>
      <fill>
        <patternFill patternType="none">
          <bgColor auto="1"/>
        </patternFill>
      </fill>
    </dxf>
    <dxf>
      <fill>
        <patternFill>
          <bgColor theme="7" tint="0.79998168889431442"/>
        </patternFill>
      </fill>
    </dxf>
    <dxf>
      <fill>
        <patternFill>
          <bgColor theme="7" tint="0.79998168889431442"/>
        </patternFill>
      </fill>
    </dxf>
    <dxf>
      <fill>
        <patternFill patternType="none">
          <bgColor auto="1"/>
        </patternFill>
      </fill>
    </dxf>
    <dxf>
      <fill>
        <patternFill patternType="none">
          <bgColor auto="1"/>
        </patternFill>
      </fill>
    </dxf>
    <dxf>
      <fill>
        <patternFill>
          <bgColor theme="7" tint="0.79998168889431442"/>
        </patternFill>
      </fill>
    </dxf>
    <dxf>
      <fill>
        <patternFill patternType="none">
          <bgColor auto="1"/>
        </patternFill>
      </fill>
    </dxf>
    <dxf>
      <fill>
        <patternFill>
          <bgColor theme="7" tint="0.79998168889431442"/>
        </patternFill>
      </fill>
    </dxf>
    <dxf>
      <font>
        <color theme="0"/>
      </font>
      <fill>
        <patternFill>
          <bgColor theme="0"/>
        </patternFill>
      </fill>
      <border>
        <left style="thin">
          <color theme="0"/>
        </left>
        <right style="thin">
          <color theme="0"/>
        </right>
        <top style="thin">
          <color theme="0"/>
        </top>
        <bottom style="thin">
          <color theme="0"/>
        </bottom>
        <vertical/>
        <horizontal/>
      </border>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patternType="none">
          <bgColor auto="1"/>
        </patternFill>
      </fill>
    </dxf>
    <dxf>
      <fill>
        <patternFill>
          <bgColor theme="7" tint="0.79998168889431442"/>
        </patternFill>
      </fill>
    </dxf>
    <dxf>
      <fill>
        <patternFill>
          <bgColor theme="7" tint="0.79998168889431442"/>
        </patternFill>
      </fill>
    </dxf>
    <dxf>
      <fill>
        <patternFill patternType="none">
          <bgColor auto="1"/>
        </patternFill>
      </fill>
    </dxf>
    <dxf>
      <fill>
        <patternFill patternType="none">
          <bgColor auto="1"/>
        </patternFill>
      </fill>
    </dxf>
    <dxf>
      <fill>
        <patternFill>
          <bgColor theme="7" tint="0.79998168889431442"/>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ont>
        <color theme="0"/>
      </font>
      <fill>
        <patternFill>
          <bgColor theme="0"/>
        </patternFill>
      </fill>
      <border>
        <left style="thin">
          <color theme="0"/>
        </left>
        <right style="thin">
          <color theme="0"/>
        </right>
        <top style="thin">
          <color theme="0"/>
        </top>
        <bottom style="thin">
          <color theme="0"/>
        </bottom>
        <vertical/>
        <horizontal/>
      </border>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patternType="none">
          <bgColor auto="1"/>
        </patternFill>
      </fill>
    </dxf>
    <dxf>
      <fill>
        <patternFill>
          <bgColor theme="7" tint="0.79998168889431442"/>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ill>
        <patternFill patternType="none">
          <bgColor auto="1"/>
        </patternFill>
      </fill>
    </dxf>
    <dxf>
      <fill>
        <patternFill>
          <bgColor theme="7" tint="0.79998168889431442"/>
        </patternFill>
      </fill>
    </dxf>
    <dxf>
      <fill>
        <patternFill>
          <bgColor theme="7" tint="0.79998168889431442"/>
        </patternFill>
      </fill>
    </dxf>
    <dxf>
      <fill>
        <patternFill patternType="none">
          <bgColor auto="1"/>
        </patternFill>
      </fill>
    </dxf>
    <dxf>
      <font>
        <color theme="0"/>
      </font>
      <fill>
        <patternFill>
          <bgColor theme="0"/>
        </patternFill>
      </fill>
      <border>
        <left style="thin">
          <color theme="0"/>
        </left>
        <right style="thin">
          <color theme="0"/>
        </right>
        <top style="thin">
          <color theme="0"/>
        </top>
        <bottom style="thin">
          <color theme="0"/>
        </bottom>
        <vertical/>
        <horizontal/>
      </border>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ill>
        <patternFill>
          <bgColor theme="7" tint="0.79998168889431442"/>
        </patternFill>
      </fill>
    </dxf>
    <dxf>
      <fill>
        <patternFill>
          <bgColor theme="7" tint="0.79998168889431442"/>
        </patternFill>
      </fill>
    </dxf>
    <dxf>
      <fill>
        <patternFill patternType="none">
          <bgColor auto="1"/>
        </patternFill>
      </fill>
    </dxf>
    <dxf>
      <fill>
        <patternFill patternType="none">
          <bgColor auto="1"/>
        </patternFill>
      </fill>
    </dxf>
    <dxf>
      <fill>
        <patternFill>
          <bgColor theme="7" tint="0.79998168889431442"/>
        </patternFill>
      </fill>
    </dxf>
    <dxf>
      <fill>
        <patternFill patternType="none">
          <bgColor auto="1"/>
        </patternFill>
      </fill>
    </dxf>
    <dxf>
      <fill>
        <patternFill>
          <bgColor theme="7" tint="0.79998168889431442"/>
        </patternFill>
      </fill>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patternType="none">
          <bgColor auto="1"/>
        </patternFill>
      </fill>
    </dxf>
    <dxf>
      <fill>
        <patternFill patternType="none">
          <bgColor auto="1"/>
        </patternFill>
      </fill>
    </dxf>
    <dxf>
      <fill>
        <patternFill>
          <bgColor theme="7" tint="0.79998168889431442"/>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ont>
        <color theme="0"/>
      </font>
      <fill>
        <patternFill>
          <bgColor theme="0"/>
        </patternFill>
      </fill>
      <border>
        <left style="thin">
          <color theme="0"/>
        </left>
        <right style="thin">
          <color theme="0"/>
        </right>
        <top style="thin">
          <color theme="0"/>
        </top>
        <bottom style="thin">
          <color theme="0"/>
        </bottom>
        <vertical/>
        <horizontal/>
      </border>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patternType="none">
          <bgColor auto="1"/>
        </patternFill>
      </fill>
    </dxf>
    <dxf>
      <fill>
        <patternFill patternType="none">
          <bgColor auto="1"/>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ill>
        <patternFill>
          <bgColor theme="7" tint="0.79998168889431442"/>
        </patternFill>
      </fill>
    </dxf>
    <dxf>
      <fill>
        <patternFill>
          <bgColor theme="7" tint="0.79998168889431442"/>
        </patternFill>
      </fill>
    </dxf>
    <dxf>
      <fill>
        <patternFill patternType="none">
          <bgColor auto="1"/>
        </patternFill>
      </fill>
    </dxf>
    <dxf>
      <font>
        <color theme="8" tint="0.79998168889431442"/>
      </font>
      <fill>
        <patternFill>
          <bgColor theme="8" tint="0.79998168889431442"/>
        </patternFill>
      </fill>
    </dxf>
    <dxf>
      <font>
        <color theme="8" tint="0.79998168889431442"/>
      </font>
      <fill>
        <patternFill>
          <bgColor theme="8" tint="0.79998168889431442"/>
        </patternFill>
      </fill>
    </dxf>
    <dxf>
      <fill>
        <patternFill>
          <bgColor theme="7" tint="0.79998168889431442"/>
        </patternFill>
      </fill>
    </dxf>
    <dxf>
      <font>
        <color theme="0"/>
      </font>
      <fill>
        <patternFill>
          <bgColor theme="0"/>
        </patternFill>
      </fill>
      <border>
        <left style="thin">
          <color theme="0"/>
        </left>
        <right style="thin">
          <color theme="0"/>
        </right>
        <top style="thin">
          <color theme="0"/>
        </top>
        <bottom style="thin">
          <color theme="0"/>
        </bottom>
        <vertical/>
        <horizontal/>
      </border>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ill>
        <patternFill patternType="none">
          <bgColor auto="1"/>
        </patternFill>
      </fill>
    </dxf>
    <dxf>
      <fill>
        <patternFill>
          <bgColor theme="7" tint="0.79998168889431442"/>
        </patternFill>
      </fill>
    </dxf>
    <dxf>
      <fill>
        <patternFill patternType="none">
          <bgColor auto="1"/>
        </patternFill>
      </fill>
    </dxf>
    <dxf>
      <fill>
        <patternFill>
          <bgColor theme="7" tint="0.79998168889431442"/>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ont>
        <color theme="0"/>
      </font>
      <fill>
        <patternFill>
          <bgColor theme="0"/>
        </patternFill>
      </fill>
      <border>
        <left style="thin">
          <color theme="0"/>
        </left>
        <right style="thin">
          <color theme="0"/>
        </right>
        <top style="thin">
          <color theme="0"/>
        </top>
        <bottom style="thin">
          <color theme="0"/>
        </bottom>
        <vertical/>
        <horizontal/>
      </border>
    </dxf>
    <dxf>
      <fill>
        <patternFill>
          <bgColor theme="7" tint="0.79998168889431442"/>
        </patternFill>
      </fill>
    </dxf>
    <dxf>
      <font>
        <color auto="1"/>
      </font>
      <fill>
        <patternFill>
          <bgColor theme="7" tint="0.79998168889431442"/>
        </patternFill>
      </fill>
    </dxf>
    <dxf>
      <font>
        <color theme="1"/>
      </font>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ill>
        <patternFill patternType="none">
          <bgColor auto="1"/>
        </patternFill>
      </fill>
    </dxf>
    <dxf>
      <fill>
        <patternFill>
          <bgColor theme="7" tint="0.79998168889431442"/>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ill>
        <patternFill patternType="none">
          <bgColor auto="1"/>
        </patternFill>
      </fill>
    </dxf>
    <dxf>
      <fill>
        <patternFill>
          <bgColor theme="7" tint="0.79998168889431442"/>
        </patternFill>
      </fill>
    </dxf>
    <dxf>
      <font>
        <color theme="0"/>
      </font>
      <fill>
        <patternFill>
          <bgColor theme="0"/>
        </patternFill>
      </fill>
      <border>
        <left style="thin">
          <color theme="0"/>
        </left>
        <right style="thin">
          <color theme="0"/>
        </right>
        <top style="thin">
          <color theme="0"/>
        </top>
        <bottom style="thin">
          <color theme="0"/>
        </bottom>
        <vertical/>
        <horizontal/>
      </border>
    </dxf>
    <dxf>
      <fill>
        <patternFill>
          <bgColor theme="7" tint="0.79998168889431442"/>
        </patternFill>
      </fill>
    </dxf>
    <dxf>
      <fill>
        <patternFill>
          <bgColor theme="7" tint="0.79998168889431442"/>
        </patternFill>
      </fill>
    </dxf>
    <dxf>
      <font>
        <color auto="1"/>
      </font>
      <fill>
        <patternFill>
          <bgColor theme="7" tint="0.79998168889431442"/>
        </patternFill>
      </fill>
    </dxf>
    <dxf>
      <font>
        <color theme="1"/>
      </font>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ill>
        <patternFill>
          <bgColor theme="7" tint="0.79998168889431442"/>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ont>
        <color theme="0"/>
      </font>
      <fill>
        <patternFill>
          <bgColor theme="0"/>
        </patternFill>
      </fill>
      <border>
        <left style="thin">
          <color theme="0"/>
        </left>
        <right style="thin">
          <color theme="0"/>
        </right>
        <top style="thin">
          <color theme="0"/>
        </top>
        <bottom style="thin">
          <color theme="0"/>
        </bottom>
        <vertical/>
        <horizontal/>
      </border>
    </dxf>
    <dxf>
      <fill>
        <patternFill>
          <bgColor theme="7" tint="0.79998168889431442"/>
        </patternFill>
      </fill>
    </dxf>
    <dxf>
      <font>
        <color auto="1"/>
      </font>
      <fill>
        <patternFill>
          <bgColor theme="7" tint="0.79998168889431442"/>
        </patternFill>
      </fill>
    </dxf>
    <dxf>
      <font>
        <color theme="1"/>
      </font>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patternType="none">
          <bgColor auto="1"/>
        </patternFill>
      </fill>
    </dxf>
    <dxf>
      <fill>
        <patternFill>
          <bgColor theme="7" tint="0.79998168889431442"/>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ill>
        <patternFill>
          <bgColor theme="7" tint="0.79998168889431442"/>
        </patternFill>
      </fill>
    </dxf>
    <dxf>
      <font>
        <color auto="1"/>
      </font>
      <fill>
        <patternFill>
          <bgColor theme="7" tint="0.79998168889431442"/>
        </patternFill>
      </fill>
    </dxf>
    <dxf>
      <font>
        <color theme="1"/>
      </font>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ont>
        <color theme="0"/>
      </font>
      <fill>
        <patternFill>
          <bgColor theme="0"/>
        </patternFill>
      </fill>
      <border>
        <left style="thin">
          <color theme="0"/>
        </left>
        <right style="thin">
          <color theme="0"/>
        </right>
        <top style="thin">
          <color theme="0"/>
        </top>
        <bottom style="thin">
          <color theme="0"/>
        </bottom>
        <vertical/>
        <horizontal/>
      </border>
    </dxf>
    <dxf>
      <font>
        <color theme="1"/>
      </font>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ill>
        <patternFill>
          <bgColor theme="7" tint="0.79998168889431442"/>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ill>
        <patternFill patternType="none">
          <bgColor auto="1"/>
        </patternFill>
      </fill>
    </dxf>
    <dxf>
      <fill>
        <patternFill>
          <bgColor theme="7" tint="0.79998168889431442"/>
        </patternFill>
      </fill>
    </dxf>
    <dxf>
      <font>
        <color theme="0"/>
      </font>
      <fill>
        <patternFill>
          <bgColor theme="0"/>
        </patternFill>
      </fill>
      <border>
        <left style="thin">
          <color theme="0"/>
        </left>
        <right style="thin">
          <color theme="0"/>
        </right>
        <top style="thin">
          <color theme="0"/>
        </top>
        <bottom style="thin">
          <color theme="0"/>
        </bottom>
        <vertical/>
        <horizontal/>
      </border>
    </dxf>
    <dxf>
      <font>
        <color theme="1"/>
      </font>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ill>
        <patternFill patternType="none">
          <bgColor auto="1"/>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ill>
        <patternFill>
          <bgColor theme="7" tint="0.79998168889431442"/>
        </patternFill>
      </fill>
    </dxf>
    <dxf>
      <fill>
        <patternFill>
          <bgColor theme="7" tint="0.79998168889431442"/>
        </patternFill>
      </fill>
    </dxf>
    <dxf>
      <fill>
        <patternFill>
          <bgColor theme="7" tint="0.79998168889431442"/>
        </patternFill>
      </fill>
    </dxf>
    <dxf>
      <font>
        <color theme="0"/>
      </font>
      <fill>
        <patternFill>
          <bgColor theme="0"/>
        </patternFill>
      </fill>
      <border>
        <left style="thin">
          <color theme="0"/>
        </left>
        <right style="thin">
          <color theme="0"/>
        </right>
        <top style="thin">
          <color theme="0"/>
        </top>
        <bottom style="thin">
          <color theme="0"/>
        </bottom>
        <vertical/>
        <horizontal/>
      </border>
    </dxf>
    <dxf>
      <fill>
        <patternFill>
          <bgColor theme="7" tint="0.79998168889431442"/>
        </patternFill>
      </fill>
    </dxf>
    <dxf>
      <font>
        <color auto="1"/>
      </font>
      <fill>
        <patternFill>
          <bgColor theme="7" tint="0.79998168889431442"/>
        </patternFill>
      </fill>
    </dxf>
    <dxf>
      <font>
        <color theme="1"/>
      </font>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ill>
        <patternFill>
          <bgColor theme="7" tint="0.79998168889431442"/>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ill>
        <patternFill patternType="none">
          <bgColor auto="1"/>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0"/>
        </patternFill>
      </fill>
      <border>
        <top style="thin">
          <color theme="0" tint="-0.24994659260841701"/>
        </top>
      </border>
    </dxf>
    <dxf>
      <fill>
        <patternFill>
          <bgColor theme="7" tint="0.79998168889431442"/>
        </patternFill>
      </fill>
    </dxf>
    <dxf>
      <fill>
        <patternFill>
          <bgColor theme="7" tint="0.79998168889431442"/>
        </patternFill>
      </fill>
    </dxf>
    <dxf>
      <font>
        <color theme="0"/>
      </font>
      <fill>
        <patternFill>
          <bgColor theme="0"/>
        </patternFill>
      </fill>
      <border>
        <left style="thin">
          <color theme="0"/>
        </left>
        <right style="thin">
          <color theme="0"/>
        </right>
        <top style="thin">
          <color theme="0"/>
        </top>
        <bottom style="thin">
          <color theme="0"/>
        </bottom>
        <vertical/>
        <horizontal/>
      </border>
    </dxf>
    <dxf>
      <font>
        <color theme="0"/>
      </font>
      <fill>
        <patternFill>
          <bgColor theme="0"/>
        </patternFill>
      </fill>
      <border>
        <left style="thin">
          <color theme="0"/>
        </left>
        <right style="thin">
          <color theme="0"/>
        </right>
        <top style="thin">
          <color theme="0"/>
        </top>
        <bottom style="thin">
          <color theme="0"/>
        </bottom>
        <vertical/>
        <horizontal/>
      </border>
    </dxf>
    <dxf>
      <fill>
        <patternFill>
          <bgColor theme="7" tint="0.79998168889431442"/>
        </patternFill>
      </fill>
    </dxf>
    <dxf>
      <fill>
        <patternFill>
          <bgColor theme="7" tint="0.79998168889431442"/>
        </patternFill>
      </fill>
    </dxf>
    <dxf>
      <font>
        <color auto="1"/>
      </font>
      <fill>
        <patternFill>
          <bgColor theme="7" tint="0.79998168889431442"/>
        </patternFill>
      </fill>
    </dxf>
    <dxf>
      <font>
        <color theme="1"/>
      </font>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patternType="none">
          <bgColor auto="1"/>
        </patternFill>
      </fill>
    </dxf>
    <dxf>
      <fill>
        <patternFill>
          <bgColor theme="7" tint="0.79998168889431442"/>
        </patternFill>
      </fill>
    </dxf>
    <dxf>
      <fill>
        <patternFill patternType="none">
          <bgColor auto="1"/>
        </patternFill>
      </fill>
    </dxf>
    <dxf>
      <fill>
        <patternFill patternType="none">
          <bgColor auto="1"/>
        </patternFill>
      </fill>
    </dxf>
    <dxf>
      <fill>
        <patternFill>
          <bgColor theme="7" tint="0.79998168889431442"/>
        </patternFill>
      </fill>
    </dxf>
    <dxf>
      <fill>
        <patternFill>
          <bgColor theme="7" tint="0.79998168889431442"/>
        </patternFill>
      </fill>
    </dxf>
    <dxf>
      <fill>
        <patternFill patternType="none">
          <bgColor auto="1"/>
        </patternFill>
      </fill>
    </dxf>
    <dxf>
      <fill>
        <patternFill patternType="none">
          <bgColor auto="1"/>
        </patternFill>
      </fill>
    </dxf>
    <dxf>
      <fill>
        <patternFill>
          <bgColor theme="7" tint="0.79998168889431442"/>
        </patternFill>
      </fill>
    </dxf>
    <dxf>
      <fill>
        <patternFill patternType="none">
          <bgColor auto="1"/>
        </patternFill>
      </fill>
    </dxf>
    <dxf>
      <fill>
        <patternFill>
          <bgColor theme="7" tint="0.79998168889431442"/>
        </patternFill>
      </fill>
    </dxf>
    <dxf>
      <fill>
        <patternFill>
          <bgColor theme="7" tint="0.79998168889431442"/>
        </patternFill>
      </fill>
    </dxf>
    <dxf>
      <fill>
        <patternFill patternType="none">
          <bgColor auto="1"/>
        </patternFill>
      </fill>
    </dxf>
    <dxf>
      <fill>
        <patternFill>
          <bgColor theme="7" tint="0.79998168889431442"/>
        </patternFill>
      </fill>
    </dxf>
    <dxf>
      <fill>
        <patternFill>
          <bgColor theme="7" tint="0.79998168889431442"/>
        </patternFill>
      </fill>
    </dxf>
    <dxf>
      <font>
        <color auto="1"/>
      </font>
      <fill>
        <patternFill>
          <bgColor theme="7" tint="0.79998168889431442"/>
        </patternFill>
      </fill>
    </dxf>
    <dxf>
      <font>
        <color theme="1"/>
      </font>
      <fill>
        <patternFill>
          <bgColor theme="7" tint="0.79998168889431442"/>
        </patternFill>
      </fill>
    </dxf>
    <dxf>
      <font>
        <b/>
        <i val="0"/>
        <color rgb="FF9C0006"/>
      </font>
      <fill>
        <patternFill patternType="none">
          <bgColor auto="1"/>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0"/>
        </patternFill>
      </fill>
    </dxf>
    <dxf>
      <fill>
        <patternFill>
          <bgColor theme="7" tint="0.79998168889431442"/>
        </patternFill>
      </fill>
    </dxf>
    <dxf>
      <font>
        <color theme="8" tint="0.79998168889431442"/>
      </font>
      <fill>
        <patternFill>
          <bgColor theme="8" tint="0.79998168889431442"/>
        </patternFill>
      </fill>
    </dxf>
    <dxf>
      <fill>
        <patternFill>
          <bgColor theme="7" tint="0.79998168889431442"/>
        </patternFill>
      </fill>
    </dxf>
    <dxf>
      <fill>
        <patternFill>
          <bgColor theme="7" tint="0.79998168889431442"/>
        </patternFill>
      </fill>
    </dxf>
    <dxf>
      <font>
        <color theme="8" tint="0.79998168889431442"/>
      </font>
      <fill>
        <patternFill>
          <bgColor theme="8"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0"/>
        </patternFill>
      </fill>
      <border>
        <top style="thin">
          <color theme="0" tint="-0.24994659260841701"/>
        </top>
      </border>
    </dxf>
    <dxf>
      <fill>
        <patternFill>
          <bgColor theme="7" tint="0.79998168889431442"/>
        </patternFill>
      </fill>
    </dxf>
    <dxf>
      <font>
        <color theme="0"/>
      </font>
      <fill>
        <patternFill>
          <bgColor theme="0"/>
        </patternFill>
      </fill>
      <border>
        <left style="thin">
          <color theme="0"/>
        </left>
        <right style="thin">
          <color theme="0"/>
        </right>
        <top style="thin">
          <color theme="0"/>
        </top>
        <bottom style="thin">
          <color theme="0"/>
        </bottom>
        <vertical/>
        <horizontal/>
      </border>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ont>
        <color auto="1"/>
      </font>
      <fill>
        <patternFill>
          <bgColor theme="7" tint="0.79998168889431442"/>
        </patternFill>
      </fill>
    </dxf>
    <dxf>
      <font>
        <color theme="1"/>
      </font>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ont>
        <b val="0"/>
        <i val="0"/>
        <color auto="1"/>
      </font>
    </dxf>
    <dxf>
      <font>
        <color theme="4" tint="-0.499984740745262"/>
      </font>
      <fill>
        <patternFill>
          <bgColor theme="4" tint="-0.499984740745262"/>
        </patternFill>
      </fill>
    </dxf>
    <dxf>
      <font>
        <color theme="4" tint="-0.499984740745262"/>
      </font>
      <fill>
        <patternFill>
          <bgColor theme="4" tint="-0.499984740745262"/>
        </patternFill>
      </fill>
    </dxf>
    <dxf>
      <font>
        <color theme="4" tint="-0.499984740745262"/>
      </font>
      <fill>
        <patternFill>
          <bgColor theme="4" tint="-0.499984740745262"/>
        </patternFill>
      </fill>
    </dxf>
    <dxf>
      <font>
        <color theme="0"/>
      </font>
      <border>
        <bottom style="thin">
          <color theme="0"/>
        </bottom>
        <vertical/>
        <horizontal/>
      </border>
    </dxf>
  </dxfs>
  <tableStyles count="1" defaultTableStyle="TableStyleMedium2" defaultPivotStyle="PivotStyleLight16">
    <tableStyle name="Estilo de tabla 1" pivot="0" count="0" xr9:uid="{69445539-FC0C-4409-8607-9658B4EBB9ED}"/>
  </tableStyles>
  <colors>
    <mruColors>
      <color rgb="FFFAA0A0"/>
      <color rgb="FFA40000"/>
      <color rgb="FFF9A299"/>
      <color rgb="FFFF9B9B"/>
      <color rgb="FFFF505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sng" strike="noStrike" kern="1200" cap="none" spc="50" baseline="0">
                <a:solidFill>
                  <a:schemeClr val="tx1">
                    <a:lumMod val="65000"/>
                    <a:lumOff val="35000"/>
                  </a:schemeClr>
                </a:solidFill>
                <a:latin typeface="+mj-lt"/>
                <a:ea typeface="+mn-ea"/>
                <a:cs typeface="+mn-cs"/>
              </a:defRPr>
            </a:pPr>
            <a:r>
              <a:rPr lang="es-ES" sz="1200" b="1" u="none" cap="none" baseline="0">
                <a:latin typeface="+mj-lt"/>
              </a:rPr>
              <a:t>Figure 1.a. </a:t>
            </a:r>
            <a:r>
              <a:rPr lang="es-ES" sz="1200" b="0" u="none" cap="none" baseline="0">
                <a:latin typeface="+mj-lt"/>
              </a:rPr>
              <a:t>Summary of Risk of Bias assessment</a:t>
            </a:r>
          </a:p>
        </c:rich>
      </c:tx>
      <c:layout>
        <c:manualLayout>
          <c:xMode val="edge"/>
          <c:yMode val="edge"/>
          <c:x val="2.7613048368953893E-2"/>
          <c:y val="3.1111100223586974E-2"/>
        </c:manualLayout>
      </c:layout>
      <c:overlay val="0"/>
      <c:spPr>
        <a:noFill/>
        <a:ln>
          <a:noFill/>
        </a:ln>
        <a:effectLst/>
      </c:spPr>
      <c:txPr>
        <a:bodyPr rot="0" spcFirstLastPara="1" vertOverflow="ellipsis" vert="horz" wrap="square" anchor="ctr" anchorCtr="1"/>
        <a:lstStyle/>
        <a:p>
          <a:pPr>
            <a:defRPr sz="1200" b="1" i="0" u="sng" strike="noStrike" kern="1200" cap="none" spc="50" baseline="0">
              <a:solidFill>
                <a:schemeClr val="tx1">
                  <a:lumMod val="65000"/>
                  <a:lumOff val="35000"/>
                </a:schemeClr>
              </a:solidFill>
              <a:latin typeface="+mj-lt"/>
              <a:ea typeface="+mn-ea"/>
              <a:cs typeface="+mn-cs"/>
            </a:defRPr>
          </a:pPr>
          <a:endParaRPr lang="en-US"/>
        </a:p>
      </c:txPr>
    </c:title>
    <c:autoTitleDeleted val="0"/>
    <c:plotArea>
      <c:layout/>
      <c:barChart>
        <c:barDir val="bar"/>
        <c:grouping val="stacked"/>
        <c:varyColors val="0"/>
        <c:ser>
          <c:idx val="0"/>
          <c:order val="0"/>
          <c:tx>
            <c:v>Low RoB</c:v>
          </c:tx>
          <c:spPr>
            <a:solidFill>
              <a:schemeClr val="accent6">
                <a:lumMod val="60000"/>
                <a:lumOff val="4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j-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('PROBAST summary'!$C$5:$F$5,'PROBAST summary'!$J$5)</c:f>
              <c:strCache>
                <c:ptCount val="5"/>
                <c:pt idx="0">
                  <c:v> 1. Participants</c:v>
                </c:pt>
                <c:pt idx="1">
                  <c:v> 2. Predictors</c:v>
                </c:pt>
                <c:pt idx="2">
                  <c:v> 3. Outcome</c:v>
                </c:pt>
                <c:pt idx="3">
                  <c:v> 4. Analysis</c:v>
                </c:pt>
                <c:pt idx="4">
                  <c:v> Risk of Bias</c:v>
                </c:pt>
              </c:strCache>
            </c:strRef>
          </c:cat>
          <c:val>
            <c:numRef>
              <c:f>('PROBAST summary'!$C$37:$F$37,'PROBAST summary'!$J$37)</c:f>
              <c:numCache>
                <c:formatCode>0%</c:formatCode>
                <c:ptCount val="5"/>
                <c:pt idx="0">
                  <c:v>0.75</c:v>
                </c:pt>
                <c:pt idx="1">
                  <c:v>1</c:v>
                </c:pt>
                <c:pt idx="2">
                  <c:v>0.91666666666666663</c:v>
                </c:pt>
                <c:pt idx="3">
                  <c:v>0.16666666666666666</c:v>
                </c:pt>
                <c:pt idx="4">
                  <c:v>0.16666666666666666</c:v>
                </c:pt>
              </c:numCache>
            </c:numRef>
          </c:val>
          <c:extLst>
            <c:ext xmlns:c16="http://schemas.microsoft.com/office/drawing/2014/chart" uri="{C3380CC4-5D6E-409C-BE32-E72D297353CC}">
              <c16:uniqueId val="{00000000-5808-45C4-AA6C-6265F38F6611}"/>
            </c:ext>
          </c:extLst>
        </c:ser>
        <c:ser>
          <c:idx val="1"/>
          <c:order val="1"/>
          <c:tx>
            <c:v>High RoB</c:v>
          </c:tx>
          <c:spPr>
            <a:solidFill>
              <a:srgbClr val="FAA0A0"/>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j-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('PROBAST summary'!$C$5:$F$5,'PROBAST summary'!$J$5)</c:f>
              <c:strCache>
                <c:ptCount val="5"/>
                <c:pt idx="0">
                  <c:v> 1. Participants</c:v>
                </c:pt>
                <c:pt idx="1">
                  <c:v> 2. Predictors</c:v>
                </c:pt>
                <c:pt idx="2">
                  <c:v> 3. Outcome</c:v>
                </c:pt>
                <c:pt idx="3">
                  <c:v> 4. Analysis</c:v>
                </c:pt>
                <c:pt idx="4">
                  <c:v> Risk of Bias</c:v>
                </c:pt>
              </c:strCache>
            </c:strRef>
          </c:cat>
          <c:val>
            <c:numRef>
              <c:f>('PROBAST summary'!$C$38:$F$38,'PROBAST summary'!$J$38)</c:f>
              <c:numCache>
                <c:formatCode>0%</c:formatCode>
                <c:ptCount val="5"/>
                <c:pt idx="0">
                  <c:v>0.25</c:v>
                </c:pt>
                <c:pt idx="1">
                  <c:v>0</c:v>
                </c:pt>
                <c:pt idx="2">
                  <c:v>0</c:v>
                </c:pt>
                <c:pt idx="3">
                  <c:v>0.66666666666666663</c:v>
                </c:pt>
                <c:pt idx="4">
                  <c:v>0.75</c:v>
                </c:pt>
              </c:numCache>
            </c:numRef>
          </c:val>
          <c:extLst>
            <c:ext xmlns:c16="http://schemas.microsoft.com/office/drawing/2014/chart" uri="{C3380CC4-5D6E-409C-BE32-E72D297353CC}">
              <c16:uniqueId val="{00000001-5808-45C4-AA6C-6265F38F6611}"/>
            </c:ext>
          </c:extLst>
        </c:ser>
        <c:ser>
          <c:idx val="2"/>
          <c:order val="2"/>
          <c:tx>
            <c:v>Unclear</c:v>
          </c:tx>
          <c:spPr>
            <a:solidFill>
              <a:schemeClr val="accent4">
                <a:lumMod val="40000"/>
                <a:lumOff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('PROBAST summary'!$C$5:$F$5,'PROBAST summary'!$J$5)</c:f>
              <c:strCache>
                <c:ptCount val="5"/>
                <c:pt idx="0">
                  <c:v> 1. Participants</c:v>
                </c:pt>
                <c:pt idx="1">
                  <c:v> 2. Predictors</c:v>
                </c:pt>
                <c:pt idx="2">
                  <c:v> 3. Outcome</c:v>
                </c:pt>
                <c:pt idx="3">
                  <c:v> 4. Analysis</c:v>
                </c:pt>
                <c:pt idx="4">
                  <c:v> Risk of Bias</c:v>
                </c:pt>
              </c:strCache>
            </c:strRef>
          </c:cat>
          <c:val>
            <c:numRef>
              <c:f>('PROBAST summary'!$C$39:$F$39,'PROBAST summary'!$J$39)</c:f>
              <c:numCache>
                <c:formatCode>0%</c:formatCode>
                <c:ptCount val="5"/>
                <c:pt idx="0">
                  <c:v>0</c:v>
                </c:pt>
                <c:pt idx="1">
                  <c:v>0</c:v>
                </c:pt>
                <c:pt idx="2">
                  <c:v>8.333333333333337E-2</c:v>
                </c:pt>
                <c:pt idx="3">
                  <c:v>0.16666666666666671</c:v>
                </c:pt>
                <c:pt idx="4">
                  <c:v>8.3333333333333343E-2</c:v>
                </c:pt>
              </c:numCache>
            </c:numRef>
          </c:val>
          <c:extLst>
            <c:ext xmlns:c16="http://schemas.microsoft.com/office/drawing/2014/chart" uri="{C3380CC4-5D6E-409C-BE32-E72D297353CC}">
              <c16:uniqueId val="{00000002-5808-45C4-AA6C-6265F38F6611}"/>
            </c:ext>
          </c:extLst>
        </c:ser>
        <c:dLbls>
          <c:dLblPos val="ctr"/>
          <c:showLegendKey val="0"/>
          <c:showVal val="1"/>
          <c:showCatName val="0"/>
          <c:showSerName val="0"/>
          <c:showPercent val="0"/>
          <c:showBubbleSize val="0"/>
        </c:dLbls>
        <c:gapWidth val="50"/>
        <c:overlap val="100"/>
        <c:axId val="421729928"/>
        <c:axId val="360608192"/>
      </c:barChart>
      <c:catAx>
        <c:axId val="421729928"/>
        <c:scaling>
          <c:orientation val="minMax"/>
        </c:scaling>
        <c:delete val="0"/>
        <c:axPos val="l"/>
        <c:numFmt formatCode="General" sourceLinked="1"/>
        <c:majorTickMark val="none"/>
        <c:minorTickMark val="none"/>
        <c:tickLblPos val="nextTo"/>
        <c:spPr>
          <a:noFill/>
          <a:ln w="9525" cap="flat" cmpd="sng" algn="ctr">
            <a:solidFill>
              <a:schemeClr val="tx1">
                <a:lumMod val="25000"/>
                <a:lumOff val="75000"/>
              </a:schemeClr>
            </a:solidFill>
            <a:round/>
            <a:headEnd type="none" w="sm" len="sm"/>
            <a:tailEnd type="none" w="sm" len="sm"/>
          </a:ln>
          <a:effectLst/>
        </c:spPr>
        <c:txPr>
          <a:bodyPr rot="0" spcFirstLastPara="1" vertOverflow="ellipsis" wrap="square" anchor="ctr" anchorCtr="0"/>
          <a:lstStyle/>
          <a:p>
            <a:pPr>
              <a:defRPr sz="1000" b="0" i="0" u="none" strike="noStrike" kern="1200" baseline="0">
                <a:solidFill>
                  <a:schemeClr val="tx1"/>
                </a:solidFill>
                <a:latin typeface="+mj-lt"/>
                <a:ea typeface="+mn-ea"/>
                <a:cs typeface="+mn-cs"/>
              </a:defRPr>
            </a:pPr>
            <a:endParaRPr lang="en-US"/>
          </a:p>
        </c:txPr>
        <c:crossAx val="360608192"/>
        <c:crosses val="autoZero"/>
        <c:auto val="1"/>
        <c:lblAlgn val="ctr"/>
        <c:lblOffset val="100"/>
        <c:noMultiLvlLbl val="0"/>
      </c:catAx>
      <c:valAx>
        <c:axId val="360608192"/>
        <c:scaling>
          <c:orientation val="minMax"/>
          <c:max val="1"/>
        </c:scaling>
        <c:delete val="0"/>
        <c:axPos val="b"/>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42172992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050" b="0" i="0" u="none" strike="noStrike" kern="1200" baseline="0">
              <a:solidFill>
                <a:schemeClr val="tx1"/>
              </a:solidFill>
              <a:latin typeface="+mj-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accent3">
        <a:lumMod val="20000"/>
        <a:lumOff val="80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200" b="1" i="0" u="sng" strike="noStrike" kern="1200" cap="none" spc="50" baseline="0">
                <a:solidFill>
                  <a:schemeClr val="tx1">
                    <a:lumMod val="65000"/>
                    <a:lumOff val="35000"/>
                  </a:schemeClr>
                </a:solidFill>
                <a:latin typeface="+mj-lt"/>
                <a:ea typeface="+mn-ea"/>
                <a:cs typeface="+mn-cs"/>
              </a:defRPr>
            </a:pPr>
            <a:r>
              <a:rPr lang="es-ES" sz="1200" b="1" u="none" cap="none" baseline="0">
                <a:latin typeface="+mj-lt"/>
              </a:rPr>
              <a:t>Figure 1.b. </a:t>
            </a:r>
            <a:r>
              <a:rPr lang="es-ES" sz="1200" b="0" u="none" cap="none" baseline="0">
                <a:latin typeface="+mj-lt"/>
              </a:rPr>
              <a:t>Summary of Applicability assessment</a:t>
            </a:r>
          </a:p>
        </c:rich>
      </c:tx>
      <c:layout>
        <c:manualLayout>
          <c:xMode val="edge"/>
          <c:yMode val="edge"/>
          <c:x val="1.8845144356955366E-2"/>
          <c:y val="3.0769230769230771E-2"/>
        </c:manualLayout>
      </c:layout>
      <c:overlay val="0"/>
      <c:spPr>
        <a:noFill/>
        <a:ln>
          <a:noFill/>
        </a:ln>
        <a:effectLst/>
      </c:spPr>
      <c:txPr>
        <a:bodyPr rot="0" spcFirstLastPara="1" vertOverflow="ellipsis" vert="horz" wrap="square" anchor="ctr" anchorCtr="1"/>
        <a:lstStyle/>
        <a:p>
          <a:pPr algn="l">
            <a:defRPr sz="1200" b="1" i="0" u="sng" strike="noStrike" kern="1200" cap="none" spc="50" baseline="0">
              <a:solidFill>
                <a:schemeClr val="tx1">
                  <a:lumMod val="65000"/>
                  <a:lumOff val="35000"/>
                </a:schemeClr>
              </a:solidFill>
              <a:latin typeface="+mj-lt"/>
              <a:ea typeface="+mn-ea"/>
              <a:cs typeface="+mn-cs"/>
            </a:defRPr>
          </a:pPr>
          <a:endParaRPr lang="en-US"/>
        </a:p>
      </c:txPr>
    </c:title>
    <c:autoTitleDeleted val="0"/>
    <c:plotArea>
      <c:layout/>
      <c:barChart>
        <c:barDir val="bar"/>
        <c:grouping val="stacked"/>
        <c:varyColors val="0"/>
        <c:ser>
          <c:idx val="0"/>
          <c:order val="0"/>
          <c:tx>
            <c:v>Low concern</c:v>
          </c:tx>
          <c:spPr>
            <a:solidFill>
              <a:schemeClr val="accent6">
                <a:lumMod val="60000"/>
                <a:lumOff val="4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j-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('PROBAST summary'!$G$5:$I$5,'PROBAST summary'!$K$5)</c:f>
              <c:strCache>
                <c:ptCount val="4"/>
                <c:pt idx="0">
                  <c:v> 1. Participants</c:v>
                </c:pt>
                <c:pt idx="1">
                  <c:v> 2. Predictors</c:v>
                </c:pt>
                <c:pt idx="2">
                  <c:v> 3. Outcome</c:v>
                </c:pt>
                <c:pt idx="3">
                  <c:v> Applicability</c:v>
                </c:pt>
              </c:strCache>
            </c:strRef>
          </c:cat>
          <c:val>
            <c:numRef>
              <c:f>('PROBAST summary'!$G$37:$I$37,'PROBAST summary'!$K$37)</c:f>
              <c:numCache>
                <c:formatCode>0%</c:formatCode>
                <c:ptCount val="4"/>
                <c:pt idx="0">
                  <c:v>0.83333333333333337</c:v>
                </c:pt>
                <c:pt idx="1">
                  <c:v>1</c:v>
                </c:pt>
                <c:pt idx="2">
                  <c:v>0.91666666666666663</c:v>
                </c:pt>
                <c:pt idx="3">
                  <c:v>0.83333333333333337</c:v>
                </c:pt>
              </c:numCache>
            </c:numRef>
          </c:val>
          <c:extLst>
            <c:ext xmlns:c16="http://schemas.microsoft.com/office/drawing/2014/chart" uri="{C3380CC4-5D6E-409C-BE32-E72D297353CC}">
              <c16:uniqueId val="{00000000-1DD3-4B82-9C3F-91FBC7F62F7F}"/>
            </c:ext>
          </c:extLst>
        </c:ser>
        <c:ser>
          <c:idx val="1"/>
          <c:order val="1"/>
          <c:tx>
            <c:v>High concern</c:v>
          </c:tx>
          <c:spPr>
            <a:solidFill>
              <a:srgbClr val="FAA0A0"/>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j-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('PROBAST summary'!$G$5:$I$5,'PROBAST summary'!$K$5)</c:f>
              <c:strCache>
                <c:ptCount val="4"/>
                <c:pt idx="0">
                  <c:v> 1. Participants</c:v>
                </c:pt>
                <c:pt idx="1">
                  <c:v> 2. Predictors</c:v>
                </c:pt>
                <c:pt idx="2">
                  <c:v> 3. Outcome</c:v>
                </c:pt>
                <c:pt idx="3">
                  <c:v> Applicability</c:v>
                </c:pt>
              </c:strCache>
            </c:strRef>
          </c:cat>
          <c:val>
            <c:numRef>
              <c:f>('PROBAST summary'!$G$38:$I$38,'PROBAST summary'!$K$38)</c:f>
              <c:numCache>
                <c:formatCode>0%</c:formatCode>
                <c:ptCount val="4"/>
                <c:pt idx="0">
                  <c:v>0.16666666666666666</c:v>
                </c:pt>
                <c:pt idx="1">
                  <c:v>0</c:v>
                </c:pt>
                <c:pt idx="2">
                  <c:v>0</c:v>
                </c:pt>
                <c:pt idx="3">
                  <c:v>0.16666666666666666</c:v>
                </c:pt>
              </c:numCache>
            </c:numRef>
          </c:val>
          <c:extLst>
            <c:ext xmlns:c16="http://schemas.microsoft.com/office/drawing/2014/chart" uri="{C3380CC4-5D6E-409C-BE32-E72D297353CC}">
              <c16:uniqueId val="{00000001-1DD3-4B82-9C3F-91FBC7F62F7F}"/>
            </c:ext>
          </c:extLst>
        </c:ser>
        <c:ser>
          <c:idx val="2"/>
          <c:order val="2"/>
          <c:tx>
            <c:v>Unclear</c:v>
          </c:tx>
          <c:spPr>
            <a:solidFill>
              <a:schemeClr val="accent4">
                <a:lumMod val="40000"/>
                <a:lumOff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j-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('PROBAST summary'!$G$5:$I$5,'PROBAST summary'!$K$5)</c:f>
              <c:strCache>
                <c:ptCount val="4"/>
                <c:pt idx="0">
                  <c:v> 1. Participants</c:v>
                </c:pt>
                <c:pt idx="1">
                  <c:v> 2. Predictors</c:v>
                </c:pt>
                <c:pt idx="2">
                  <c:v> 3. Outcome</c:v>
                </c:pt>
                <c:pt idx="3">
                  <c:v> Applicability</c:v>
                </c:pt>
              </c:strCache>
            </c:strRef>
          </c:cat>
          <c:val>
            <c:numRef>
              <c:f>('PROBAST summary'!$G$39:$I$39,'PROBAST summary'!$K$39)</c:f>
              <c:numCache>
                <c:formatCode>0%</c:formatCode>
                <c:ptCount val="4"/>
                <c:pt idx="0">
                  <c:v>0</c:v>
                </c:pt>
                <c:pt idx="1">
                  <c:v>0</c:v>
                </c:pt>
                <c:pt idx="2">
                  <c:v>8.333333333333337E-2</c:v>
                </c:pt>
                <c:pt idx="3">
                  <c:v>0</c:v>
                </c:pt>
              </c:numCache>
            </c:numRef>
          </c:val>
          <c:extLst>
            <c:ext xmlns:c16="http://schemas.microsoft.com/office/drawing/2014/chart" uri="{C3380CC4-5D6E-409C-BE32-E72D297353CC}">
              <c16:uniqueId val="{00000002-1DD3-4B82-9C3F-91FBC7F62F7F}"/>
            </c:ext>
          </c:extLst>
        </c:ser>
        <c:dLbls>
          <c:dLblPos val="ctr"/>
          <c:showLegendKey val="0"/>
          <c:showVal val="1"/>
          <c:showCatName val="0"/>
          <c:showSerName val="0"/>
          <c:showPercent val="0"/>
          <c:showBubbleSize val="0"/>
        </c:dLbls>
        <c:gapWidth val="50"/>
        <c:overlap val="100"/>
        <c:axId val="421729928"/>
        <c:axId val="360608192"/>
      </c:barChart>
      <c:catAx>
        <c:axId val="421729928"/>
        <c:scaling>
          <c:orientation val="minMax"/>
        </c:scaling>
        <c:delete val="0"/>
        <c:axPos val="l"/>
        <c:numFmt formatCode="General" sourceLinked="1"/>
        <c:majorTickMark val="none"/>
        <c:minorTickMark val="none"/>
        <c:tickLblPos val="nextTo"/>
        <c:spPr>
          <a:noFill/>
          <a:ln w="9525" cap="flat" cmpd="sng" algn="ctr">
            <a:solidFill>
              <a:schemeClr val="tx1">
                <a:lumMod val="25000"/>
                <a:lumOff val="75000"/>
              </a:schemeClr>
            </a:solidFill>
            <a:round/>
            <a:headEnd type="none" w="sm" len="sm"/>
            <a:tailEnd type="none" w="sm" len="sm"/>
          </a:ln>
          <a:effectLst/>
        </c:spPr>
        <c:txPr>
          <a:bodyPr rot="0" spcFirstLastPara="1" vertOverflow="ellipsis" wrap="square" anchor="ctr" anchorCtr="0"/>
          <a:lstStyle/>
          <a:p>
            <a:pPr>
              <a:defRPr sz="1000" b="0" i="0" u="none" strike="noStrike" kern="1200" baseline="0">
                <a:solidFill>
                  <a:schemeClr val="tx1"/>
                </a:solidFill>
                <a:latin typeface="+mj-lt"/>
                <a:ea typeface="+mn-ea"/>
                <a:cs typeface="+mn-cs"/>
              </a:defRPr>
            </a:pPr>
            <a:endParaRPr lang="en-US"/>
          </a:p>
        </c:txPr>
        <c:crossAx val="360608192"/>
        <c:crosses val="autoZero"/>
        <c:auto val="1"/>
        <c:lblAlgn val="ctr"/>
        <c:lblOffset val="100"/>
        <c:noMultiLvlLbl val="0"/>
      </c:catAx>
      <c:valAx>
        <c:axId val="360608192"/>
        <c:scaling>
          <c:orientation val="minMax"/>
          <c:max val="1"/>
        </c:scaling>
        <c:delete val="0"/>
        <c:axPos val="b"/>
        <c:majorGridlines>
          <c:spPr>
            <a:ln w="9525" cap="flat" cmpd="sng" algn="ctr">
              <a:gradFill>
                <a:gsLst>
                  <a:gs pos="0">
                    <a:schemeClr val="tx1">
                      <a:lumMod val="5000"/>
                      <a:lumOff val="95000"/>
                    </a:schemeClr>
                  </a:gs>
                  <a:gs pos="100000">
                    <a:schemeClr val="tx1">
                      <a:lumMod val="15000"/>
                      <a:lumOff val="85000"/>
                    </a:schemeClr>
                  </a:gs>
                </a:gsLst>
                <a:lin ang="5400000" scaled="0"/>
              </a:gra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42172992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050" b="0" i="0" u="none" strike="noStrike" kern="1200" baseline="0">
              <a:solidFill>
                <a:sysClr val="windowText" lastClr="000000"/>
              </a:solidFill>
              <a:latin typeface="+mj-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accent3">
        <a:lumMod val="20000"/>
        <a:lumOff val="80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05">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headEnd type="none" w="sm" len="sm"/>
        <a:tailEnd type="none" w="sm" len="sm"/>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bg1"/>
    </cs:fontRef>
    <cs:spPr>
      <a:solidFill>
        <a:schemeClr val="tx1">
          <a:lumMod val="50000"/>
          <a:lumOff val="50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alpha val="70000"/>
        </a:schemeClr>
      </a:solidFill>
    </cs:spPr>
  </cs:dataPoint>
  <cs:dataPoint3D>
    <cs:lnRef idx="0"/>
    <cs:fillRef idx="0">
      <cs:styleClr val="auto"/>
    </cs:fillRef>
    <cs:effectRef idx="0"/>
    <cs:fontRef idx="minor">
      <a:schemeClr val="tx1"/>
    </cs:fontRef>
    <cs:spPr>
      <a:solidFill>
        <a:schemeClr val="phClr">
          <a:alpha val="70000"/>
        </a:schemeClr>
      </a:solidFill>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styleClr val="auto"/>
    </cs:lnRef>
    <cs:fillRef idx="0">
      <cs:styleClr val="auto"/>
    </cs:fillRef>
    <cs:effectRef idx="0"/>
    <cs:fontRef idx="minor">
      <a:schemeClr val="dk1"/>
    </cs:fontRef>
    <cs:spPr>
      <a:gradFill>
        <a:gsLst>
          <a:gs pos="0">
            <a:schemeClr val="phClr"/>
          </a:gs>
          <a:gs pos="46000">
            <a:schemeClr val="phClr"/>
          </a:gs>
          <a:gs pos="100000">
            <a:schemeClr val="phClr">
              <a:lumMod val="20000"/>
              <a:lumOff val="80000"/>
              <a:alpha val="0"/>
            </a:schemeClr>
          </a:gs>
        </a:gsLst>
        <a:path path="circle">
          <a:fillToRect l="50000" t="-80000" r="50000" b="180000"/>
        </a:path>
      </a:gradFill>
      <a:ln w="9525" cap="flat" cmpd="sng" algn="ctr">
        <a:solidFill>
          <a:schemeClr val="phClr">
            <a:shade val="95000"/>
          </a:scheme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65000"/>
            <a:lumOff val="3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cap="flat" cmpd="sng" algn="ctr">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0">
              <a:schemeClr val="tx1">
                <a:lumMod val="5000"/>
                <a:lumOff val="95000"/>
              </a:schemeClr>
            </a:gs>
            <a:gs pos="100000">
              <a:schemeClr val="tx1">
                <a:lumMod val="15000"/>
                <a:lumOff val="85000"/>
              </a:schemeClr>
            </a:gs>
          </a:gsLst>
          <a:lin ang="5400000" scaled="0"/>
        </a:gradFill>
        <a:round/>
      </a:ln>
    </cs:spPr>
  </cs:gridlineMajor>
  <cs:gridlineMinor>
    <cs:lnRef idx="0"/>
    <cs:fillRef idx="0"/>
    <cs:effectRef idx="0"/>
    <cs:fontRef idx="minor">
      <a:schemeClr val="dk1"/>
    </cs:fontRef>
    <cs:spPr>
      <a:ln w="9525" cap="flat" cmpd="sng" algn="ctr">
        <a:gradFill>
          <a:gsLst>
            <a:gs pos="0">
              <a:schemeClr val="tx1">
                <a:lumMod val="5000"/>
                <a:lumOff val="95000"/>
              </a:schemeClr>
            </a:gs>
            <a:gs pos="100000">
              <a:schemeClr val="tx1">
                <a:lumMod val="15000"/>
                <a:lumOff val="85000"/>
              </a:schemeClr>
            </a:gs>
          </a:gsLst>
          <a:lin ang="5400000" scaled="0"/>
        </a:gradFill>
        <a:round/>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headEnd type="none" w="sm" len="sm"/>
        <a:tailEnd type="none" w="sm" len="sm"/>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800" b="1" kern="1200" cap="all" spc="50" baseline="0"/>
  </cs:title>
  <cs:trendline>
    <cs:lnRef idx="0">
      <cs:styleClr val="auto"/>
    </cs:lnRef>
    <cs:fillRef idx="0"/>
    <cs:effectRef idx="0"/>
    <cs:fontRef idx="minor">
      <a:schemeClr val="dk1"/>
    </cs:fontRef>
    <cs:spPr>
      <a:ln w="9525"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2.xml><?xml version="1.0" encoding="utf-8"?>
<cs:chartStyle xmlns:cs="http://schemas.microsoft.com/office/drawing/2012/chartStyle" xmlns:a="http://schemas.openxmlformats.org/drawingml/2006/main" id="305">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headEnd type="none" w="sm" len="sm"/>
        <a:tailEnd type="none" w="sm" len="sm"/>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bg1"/>
    </cs:fontRef>
    <cs:spPr>
      <a:solidFill>
        <a:schemeClr val="tx1">
          <a:lumMod val="50000"/>
          <a:lumOff val="50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alpha val="70000"/>
        </a:schemeClr>
      </a:solidFill>
    </cs:spPr>
  </cs:dataPoint>
  <cs:dataPoint3D>
    <cs:lnRef idx="0"/>
    <cs:fillRef idx="0">
      <cs:styleClr val="auto"/>
    </cs:fillRef>
    <cs:effectRef idx="0"/>
    <cs:fontRef idx="minor">
      <a:schemeClr val="tx1"/>
    </cs:fontRef>
    <cs:spPr>
      <a:solidFill>
        <a:schemeClr val="phClr">
          <a:alpha val="70000"/>
        </a:schemeClr>
      </a:solidFill>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styleClr val="auto"/>
    </cs:lnRef>
    <cs:fillRef idx="0">
      <cs:styleClr val="auto"/>
    </cs:fillRef>
    <cs:effectRef idx="0"/>
    <cs:fontRef idx="minor">
      <a:schemeClr val="dk1"/>
    </cs:fontRef>
    <cs:spPr>
      <a:gradFill>
        <a:gsLst>
          <a:gs pos="0">
            <a:schemeClr val="phClr"/>
          </a:gs>
          <a:gs pos="46000">
            <a:schemeClr val="phClr"/>
          </a:gs>
          <a:gs pos="100000">
            <a:schemeClr val="phClr">
              <a:lumMod val="20000"/>
              <a:lumOff val="80000"/>
              <a:alpha val="0"/>
            </a:schemeClr>
          </a:gs>
        </a:gsLst>
        <a:path path="circle">
          <a:fillToRect l="50000" t="-80000" r="50000" b="180000"/>
        </a:path>
      </a:gradFill>
      <a:ln w="9525" cap="flat" cmpd="sng" algn="ctr">
        <a:solidFill>
          <a:schemeClr val="phClr">
            <a:shade val="95000"/>
          </a:scheme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65000"/>
            <a:lumOff val="3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cap="flat" cmpd="sng" algn="ctr">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0">
              <a:schemeClr val="tx1">
                <a:lumMod val="5000"/>
                <a:lumOff val="95000"/>
              </a:schemeClr>
            </a:gs>
            <a:gs pos="100000">
              <a:schemeClr val="tx1">
                <a:lumMod val="15000"/>
                <a:lumOff val="85000"/>
              </a:schemeClr>
            </a:gs>
          </a:gsLst>
          <a:lin ang="5400000" scaled="0"/>
        </a:gradFill>
        <a:round/>
      </a:ln>
    </cs:spPr>
  </cs:gridlineMajor>
  <cs:gridlineMinor>
    <cs:lnRef idx="0"/>
    <cs:fillRef idx="0"/>
    <cs:effectRef idx="0"/>
    <cs:fontRef idx="minor">
      <a:schemeClr val="dk1"/>
    </cs:fontRef>
    <cs:spPr>
      <a:ln w="9525" cap="flat" cmpd="sng" algn="ctr">
        <a:gradFill>
          <a:gsLst>
            <a:gs pos="0">
              <a:schemeClr val="tx1">
                <a:lumMod val="5000"/>
                <a:lumOff val="95000"/>
              </a:schemeClr>
            </a:gs>
            <a:gs pos="100000">
              <a:schemeClr val="tx1">
                <a:lumMod val="15000"/>
                <a:lumOff val="85000"/>
              </a:schemeClr>
            </a:gs>
          </a:gsLst>
          <a:lin ang="5400000" scaled="0"/>
        </a:gradFill>
        <a:round/>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headEnd type="none" w="sm" len="sm"/>
        <a:tailEnd type="none" w="sm" len="sm"/>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800" b="1" kern="1200" cap="all" spc="50" baseline="0"/>
  </cs:title>
  <cs:trendline>
    <cs:lnRef idx="0">
      <cs:styleClr val="auto"/>
    </cs:lnRef>
    <cs:fillRef idx="0"/>
    <cs:effectRef idx="0"/>
    <cs:fontRef idx="minor">
      <a:schemeClr val="dk1"/>
    </cs:fontRef>
    <cs:spPr>
      <a:ln w="9525"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trlProps/ctrlProp1.xml><?xml version="1.0" encoding="utf-8"?>
<formControlPr xmlns="http://schemas.microsoft.com/office/spreadsheetml/2009/9/main" objectType="CheckBox" checked="Checked" fmlaLink="SUMMARY!$B$7" lockText="1" noThreeD="1"/>
</file>

<file path=xl/ctrlProps/ctrlProp2.xml><?xml version="1.0" encoding="utf-8"?>
<formControlPr xmlns="http://schemas.microsoft.com/office/spreadsheetml/2009/9/main" objectType="CheckBox" checked="Checked" fmlaLink="SUMMARY!$B8" lockText="1" noThreeD="1"/>
</file>

<file path=xl/ctrlProps/ctrlProp3.xml><?xml version="1.0" encoding="utf-8"?>
<formControlPr xmlns="http://schemas.microsoft.com/office/spreadsheetml/2009/9/main" objectType="CheckBox" checked="Checked" fmlaLink="SUMMARY!$B9" lockText="1" noThreeD="1"/>
</file>

<file path=xl/ctrlProps/ctrlProp4.xml><?xml version="1.0" encoding="utf-8"?>
<formControlPr xmlns="http://schemas.microsoft.com/office/spreadsheetml/2009/9/main" objectType="CheckBox" checked="Checked" fmlaLink="SUMMARY!$B10" lockText="1" noThreeD="1"/>
</file>

<file path=xl/ctrlProps/ctrlProp5.xml><?xml version="1.0" encoding="utf-8"?>
<formControlPr xmlns="http://schemas.microsoft.com/office/spreadsheetml/2009/9/main" objectType="CheckBox" checked="Checked" fmlaLink="SUMMARY!$B11" lockText="1" noThreeD="1"/>
</file>

<file path=xl/ctrlProps/ctrlProp6.xml><?xml version="1.0" encoding="utf-8"?>
<formControlPr xmlns="http://schemas.microsoft.com/office/spreadsheetml/2009/9/main" objectType="CheckBox" checked="Checked" fmlaLink="SUMMARY!$B12" lockText="1" noThreeD="1"/>
</file>

<file path=xl/ctrlProps/ctrlProp7.xml><?xml version="1.0" encoding="utf-8"?>
<formControlPr xmlns="http://schemas.microsoft.com/office/spreadsheetml/2009/9/main" objectType="CheckBox" checked="Checked" fmlaLink="SUMMARY!$B13" lockText="1" noThreeD="1"/>
</file>

<file path=xl/ctrlProps/ctrlProp8.xml><?xml version="1.0" encoding="utf-8"?>
<formControlPr xmlns="http://schemas.microsoft.com/office/spreadsheetml/2009/9/main" objectType="CheckBox" checked="Checked" fmlaLink="SUMMARY!$B14" lockText="1" noThreeD="1"/>
</file>

<file path=xl/ctrlProps/ctrlProp9.xml><?xml version="1.0" encoding="utf-8"?>
<formControlPr xmlns="http://schemas.microsoft.com/office/spreadsheetml/2009/9/main" objectType="CheckBox" checked="Checked" fmlaLink="SUMMARY!$B15" lockText="1" noThreeD="1"/>
</file>

<file path=xl/ctrlProps/ctrlProp10.xml><?xml version="1.0" encoding="utf-8"?>
<formControlPr xmlns="http://schemas.microsoft.com/office/spreadsheetml/2009/9/main" objectType="CheckBox" checked="Checked" fmlaLink="SUMMARY!$B16" lockText="1" noThreeD="1"/>
</file>

<file path=xl/ctrlProps/ctrlProp11.xml><?xml version="1.0" encoding="utf-8"?>
<formControlPr xmlns="http://schemas.microsoft.com/office/spreadsheetml/2009/9/main" objectType="CheckBox" checked="Checked" fmlaLink="SUMMARY!$B17" lockText="1" noThreeD="1"/>
</file>

<file path=xl/ctrlProps/ctrlProp12.xml><?xml version="1.0" encoding="utf-8"?>
<formControlPr xmlns="http://schemas.microsoft.com/office/spreadsheetml/2009/9/main" objectType="CheckBox" checked="Checked" fmlaLink="SUMMARY!$B18" lockText="1" noThreeD="1"/>
</file>

<file path=xl/ctrlProps/ctrlProp13.xml><?xml version="1.0" encoding="utf-8"?>
<formControlPr xmlns="http://schemas.microsoft.com/office/spreadsheetml/2009/9/main" objectType="CheckBox" fmlaLink="SUMMARY!$B19" lockText="1" noThreeD="1"/>
</file>

<file path=xl/ctrlProps/ctrlProp14.xml><?xml version="1.0" encoding="utf-8"?>
<formControlPr xmlns="http://schemas.microsoft.com/office/spreadsheetml/2009/9/main" objectType="CheckBox" fmlaLink="SUMMARY!$B20" lockText="1" noThreeD="1"/>
</file>

<file path=xl/ctrlProps/ctrlProp15.xml><?xml version="1.0" encoding="utf-8"?>
<formControlPr xmlns="http://schemas.microsoft.com/office/spreadsheetml/2009/9/main" objectType="CheckBox" fmlaLink="SUMMARY!$B21" lockText="1" noThreeD="1"/>
</file>

<file path=xl/ctrlProps/ctrlProp16.xml><?xml version="1.0" encoding="utf-8"?>
<formControlPr xmlns="http://schemas.microsoft.com/office/spreadsheetml/2009/9/main" objectType="CheckBox" fmlaLink="SUMMARY!$B22" lockText="1" noThreeD="1"/>
</file>

<file path=xl/ctrlProps/ctrlProp17.xml><?xml version="1.0" encoding="utf-8"?>
<formControlPr xmlns="http://schemas.microsoft.com/office/spreadsheetml/2009/9/main" objectType="CheckBox" fmlaLink="SUMMARY!$B23" lockText="1" noThreeD="1"/>
</file>

<file path=xl/ctrlProps/ctrlProp18.xml><?xml version="1.0" encoding="utf-8"?>
<formControlPr xmlns="http://schemas.microsoft.com/office/spreadsheetml/2009/9/main" objectType="CheckBox" fmlaLink="SUMMARY!$B24" lockText="1" noThreeD="1"/>
</file>

<file path=xl/ctrlProps/ctrlProp19.xml><?xml version="1.0" encoding="utf-8"?>
<formControlPr xmlns="http://schemas.microsoft.com/office/spreadsheetml/2009/9/main" objectType="CheckBox" fmlaLink="SUMMARY!$B25" lockText="1" noThreeD="1"/>
</file>

<file path=xl/ctrlProps/ctrlProp20.xml><?xml version="1.0" encoding="utf-8"?>
<formControlPr xmlns="http://schemas.microsoft.com/office/spreadsheetml/2009/9/main" objectType="CheckBox" fmlaLink="SUMMARY!$B26" lockText="1" noThreeD="1"/>
</file>

<file path=xl/ctrlProps/ctrlProp21.xml><?xml version="1.0" encoding="utf-8"?>
<formControlPr xmlns="http://schemas.microsoft.com/office/spreadsheetml/2009/9/main" objectType="CheckBox" fmlaLink="SUMMARY!$B27" lockText="1" noThreeD="1"/>
</file>

<file path=xl/ctrlProps/ctrlProp22.xml><?xml version="1.0" encoding="utf-8"?>
<formControlPr xmlns="http://schemas.microsoft.com/office/spreadsheetml/2009/9/main" objectType="CheckBox" fmlaLink="SUMMARY!$B28" lockText="1" noThreeD="1"/>
</file>

<file path=xl/ctrlProps/ctrlProp23.xml><?xml version="1.0" encoding="utf-8"?>
<formControlPr xmlns="http://schemas.microsoft.com/office/spreadsheetml/2009/9/main" objectType="CheckBox" fmlaLink="SUMMARY!$B29" lockText="1" noThreeD="1"/>
</file>

<file path=xl/ctrlProps/ctrlProp24.xml><?xml version="1.0" encoding="utf-8"?>
<formControlPr xmlns="http://schemas.microsoft.com/office/spreadsheetml/2009/9/main" objectType="CheckBox" fmlaLink="SUMMARY!$B30" lockText="1" noThreeD="1"/>
</file>

<file path=xl/ctrlProps/ctrlProp25.xml><?xml version="1.0" encoding="utf-8"?>
<formControlPr xmlns="http://schemas.microsoft.com/office/spreadsheetml/2009/9/main" objectType="CheckBox" fmlaLink="SUMMARY!$B31" lockText="1" noThreeD="1"/>
</file>

<file path=xl/ctrlProps/ctrlProp26.xml><?xml version="1.0" encoding="utf-8"?>
<formControlPr xmlns="http://schemas.microsoft.com/office/spreadsheetml/2009/9/main" objectType="CheckBox" fmlaLink="SUMMARY!$B32" lockText="1" noThreeD="1"/>
</file>

<file path=xl/ctrlProps/ctrlProp27.xml><?xml version="1.0" encoding="utf-8"?>
<formControlPr xmlns="http://schemas.microsoft.com/office/spreadsheetml/2009/9/main" objectType="CheckBox" fmlaLink="SUMMARY!$B33" lockText="1" noThreeD="1"/>
</file>

<file path=xl/ctrlProps/ctrlProp28.xml><?xml version="1.0" encoding="utf-8"?>
<formControlPr xmlns="http://schemas.microsoft.com/office/spreadsheetml/2009/9/main" objectType="CheckBox" fmlaLink="SUMMARY!$B34" lockText="1" noThreeD="1"/>
</file>

<file path=xl/ctrlProps/ctrlProp29.xml><?xml version="1.0" encoding="utf-8"?>
<formControlPr xmlns="http://schemas.microsoft.com/office/spreadsheetml/2009/9/main" objectType="CheckBox" fmlaLink="SUMMARY!$B35" lockText="1" noThreeD="1"/>
</file>

<file path=xl/ctrlProps/ctrlProp30.xml><?xml version="1.0" encoding="utf-8"?>
<formControlPr xmlns="http://schemas.microsoft.com/office/spreadsheetml/2009/9/main" objectType="CheckBox" fmlaLink="SUMMARY!$B36" lockText="1" noThreeD="1"/>
</file>

<file path=xl/drawings/_rels/drawing1.xml.rels><?xml version="1.0" encoding="UTF-8" standalone="yes"?>
<Relationships xmlns="http://schemas.openxmlformats.org/package/2006/relationships"><Relationship Id="rId8" Type="http://schemas.openxmlformats.org/officeDocument/2006/relationships/hyperlink" Target="#'Model characteristics'!A1"/><Relationship Id="rId3" Type="http://schemas.openxmlformats.org/officeDocument/2006/relationships/hyperlink" Target="https://journals.plos.org/plosmedicine/article/file?id=10.1371/journal.pmed.1001744&amp;type=printable" TargetMode="External"/><Relationship Id="rId7" Type="http://schemas.openxmlformats.org/officeDocument/2006/relationships/hyperlink" Target="#'Study Characteristics'!A1"/><Relationship Id="rId2" Type="http://schemas.openxmlformats.org/officeDocument/2006/relationships/image" Target="../media/image1.jpg"/><Relationship Id="rId1" Type="http://schemas.openxmlformats.org/officeDocument/2006/relationships/hyperlink" Target="#'3. Predictor factors'!A1"/><Relationship Id="rId6" Type="http://schemas.openxmlformats.org/officeDocument/2006/relationships/hyperlink" Target="#PROBAST!A1"/><Relationship Id="rId11" Type="http://schemas.openxmlformats.org/officeDocument/2006/relationships/hyperlink" Target="#SUMMARY!A1"/><Relationship Id="rId5" Type="http://schemas.openxmlformats.org/officeDocument/2006/relationships/hyperlink" Target="https://www.probast.org/" TargetMode="External"/><Relationship Id="rId10" Type="http://schemas.openxmlformats.org/officeDocument/2006/relationships/image" Target="../media/image2.jpg"/><Relationship Id="rId4" Type="http://schemas.openxmlformats.org/officeDocument/2006/relationships/hyperlink" Target="#CHARMS!A1"/><Relationship Id="rId9" Type="http://schemas.openxmlformats.org/officeDocument/2006/relationships/hyperlink" Target="#'PROBAST summary'!A1"/></Relationships>
</file>

<file path=xl/drawings/_rels/drawing2.xml.rels><?xml version="1.0" encoding="UTF-8" standalone="yes"?>
<Relationships xmlns="http://schemas.openxmlformats.org/package/2006/relationships"><Relationship Id="rId8" Type="http://schemas.openxmlformats.org/officeDocument/2006/relationships/hyperlink" Target="#'Table 3. Summary PROBAST'!A1"/><Relationship Id="rId3" Type="http://schemas.openxmlformats.org/officeDocument/2006/relationships/hyperlink" Target="#HOME!A1"/><Relationship Id="rId7" Type="http://schemas.openxmlformats.org/officeDocument/2006/relationships/hyperlink" Target="#'Table 2. Model characteristics'!A1"/><Relationship Id="rId2" Type="http://schemas.openxmlformats.org/officeDocument/2006/relationships/image" Target="../media/image2.jpg"/><Relationship Id="rId1" Type="http://schemas.openxmlformats.org/officeDocument/2006/relationships/image" Target="../media/image1.jpg"/><Relationship Id="rId6" Type="http://schemas.openxmlformats.org/officeDocument/2006/relationships/hyperlink" Target="#'Table 1. Study Characteristics'!A1"/><Relationship Id="rId5" Type="http://schemas.openxmlformats.org/officeDocument/2006/relationships/hyperlink" Target="#PROBAST!A1"/><Relationship Id="rId4" Type="http://schemas.openxmlformats.org/officeDocument/2006/relationships/hyperlink" Target="#CHARMS!A1"/></Relationships>
</file>

<file path=xl/drawings/_rels/drawing3.xml.rels><?xml version="1.0" encoding="UTF-8" standalone="yes"?>
<Relationships xmlns="http://schemas.openxmlformats.org/package/2006/relationships"><Relationship Id="rId2" Type="http://schemas.openxmlformats.org/officeDocument/2006/relationships/hyperlink" Target="#SUMMARY!A1"/><Relationship Id="rId1" Type="http://schemas.openxmlformats.org/officeDocument/2006/relationships/hyperlink" Target="#HOME!A1"/></Relationships>
</file>

<file path=xl/drawings/_rels/drawing4.xml.rels><?xml version="1.0" encoding="UTF-8" standalone="yes"?>
<Relationships xmlns="http://schemas.openxmlformats.org/package/2006/relationships"><Relationship Id="rId2" Type="http://schemas.openxmlformats.org/officeDocument/2006/relationships/hyperlink" Target="#SUMMARY!A1"/><Relationship Id="rId1" Type="http://schemas.openxmlformats.org/officeDocument/2006/relationships/hyperlink" Target="#HOME!A1"/></Relationships>
</file>

<file path=xl/drawings/_rels/drawing5.xml.rels><?xml version="1.0" encoding="UTF-8" standalone="yes"?>
<Relationships xmlns="http://schemas.openxmlformats.org/package/2006/relationships"><Relationship Id="rId2" Type="http://schemas.openxmlformats.org/officeDocument/2006/relationships/hyperlink" Target="#SUMMARY!A1"/><Relationship Id="rId1" Type="http://schemas.openxmlformats.org/officeDocument/2006/relationships/hyperlink" Target="#HOME!A1"/></Relationships>
</file>

<file path=xl/drawings/_rels/drawing6.xml.rels><?xml version="1.0" encoding="UTF-8" standalone="yes"?>
<Relationships xmlns="http://schemas.openxmlformats.org/package/2006/relationships"><Relationship Id="rId2" Type="http://schemas.openxmlformats.org/officeDocument/2006/relationships/hyperlink" Target="#SUMMARY!A1"/><Relationship Id="rId1" Type="http://schemas.openxmlformats.org/officeDocument/2006/relationships/hyperlink" Target="#HOME!A1"/></Relationships>
</file>

<file path=xl/drawings/_rels/drawing7.xml.rels><?xml version="1.0" encoding="UTF-8" standalone="yes"?>
<Relationships xmlns="http://schemas.openxmlformats.org/package/2006/relationships"><Relationship Id="rId3" Type="http://schemas.openxmlformats.org/officeDocument/2006/relationships/hyperlink" Target="#Resumen!A1"/><Relationship Id="rId2" Type="http://schemas.openxmlformats.org/officeDocument/2006/relationships/chart" Target="../charts/chart2.xml"/><Relationship Id="rId1" Type="http://schemas.openxmlformats.org/officeDocument/2006/relationships/chart" Target="../charts/chart1.xml"/><Relationship Id="rId5" Type="http://schemas.openxmlformats.org/officeDocument/2006/relationships/hyperlink" Target="#SUMMARY!A1"/><Relationship Id="rId4" Type="http://schemas.openxmlformats.org/officeDocument/2006/relationships/hyperlink" Target="#HOME!A1"/></Relationships>
</file>

<file path=xl/drawings/drawing1.xml><?xml version="1.0" encoding="utf-8"?>
<xdr:wsDr xmlns:xdr="http://schemas.openxmlformats.org/drawingml/2006/spreadsheetDrawing" xmlns:a="http://schemas.openxmlformats.org/drawingml/2006/main">
  <xdr:twoCellAnchor>
    <xdr:from>
      <xdr:col>2</xdr:col>
      <xdr:colOff>1333500</xdr:colOff>
      <xdr:row>39</xdr:row>
      <xdr:rowOff>109538</xdr:rowOff>
    </xdr:from>
    <xdr:to>
      <xdr:col>2</xdr:col>
      <xdr:colOff>2845500</xdr:colOff>
      <xdr:row>40</xdr:row>
      <xdr:rowOff>125513</xdr:rowOff>
    </xdr:to>
    <xdr:sp macro="" textlink="">
      <xdr:nvSpPr>
        <xdr:cNvPr id="7" name="Rectángulo: esquinas redondeadas 6">
          <a:hlinkClick xmlns:r="http://schemas.openxmlformats.org/officeDocument/2006/relationships" r:id="rId1"/>
          <a:extLst>
            <a:ext uri="{FF2B5EF4-FFF2-40B4-BE49-F238E27FC236}">
              <a16:creationId xmlns:a16="http://schemas.microsoft.com/office/drawing/2014/main" id="{00000000-0008-0000-0000-000007000000}"/>
            </a:ext>
          </a:extLst>
        </xdr:cNvPr>
        <xdr:cNvSpPr/>
      </xdr:nvSpPr>
      <xdr:spPr>
        <a:xfrm>
          <a:off x="3724275" y="4586288"/>
          <a:ext cx="1512000" cy="216000"/>
        </a:xfrm>
        <a:prstGeom prst="roundRect">
          <a:avLst/>
        </a:prstGeom>
        <a:solidFill>
          <a:schemeClr val="accent6">
            <a:lumMod val="50000"/>
          </a:schemeClr>
        </a:solidFill>
        <a:ln>
          <a:solidFill>
            <a:schemeClr val="accent6">
              <a:lumMod val="50000"/>
            </a:schemeClr>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ES" sz="1100" b="1"/>
            <a:t>Predictor Factors</a:t>
          </a:r>
        </a:p>
      </xdr:txBody>
    </xdr:sp>
    <xdr:clientData/>
  </xdr:twoCellAnchor>
  <xdr:twoCellAnchor>
    <xdr:from>
      <xdr:col>8</xdr:col>
      <xdr:colOff>411480</xdr:colOff>
      <xdr:row>3</xdr:row>
      <xdr:rowOff>116205</xdr:rowOff>
    </xdr:from>
    <xdr:to>
      <xdr:col>9</xdr:col>
      <xdr:colOff>904239</xdr:colOff>
      <xdr:row>6</xdr:row>
      <xdr:rowOff>65070</xdr:rowOff>
    </xdr:to>
    <xdr:pic>
      <xdr:nvPicPr>
        <xdr:cNvPr id="38" name="Imagen 37">
          <a:extLst>
            <a:ext uri="{FF2B5EF4-FFF2-40B4-BE49-F238E27FC236}">
              <a16:creationId xmlns:a16="http://schemas.microsoft.com/office/drawing/2014/main" id="{00000000-0008-0000-0000-000026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7707630" y="859155"/>
          <a:ext cx="1673859" cy="634665"/>
        </a:xfrm>
        <a:prstGeom prst="rect">
          <a:avLst/>
        </a:prstGeom>
      </xdr:spPr>
    </xdr:pic>
    <xdr:clientData/>
  </xdr:twoCellAnchor>
  <xdr:twoCellAnchor editAs="oneCell">
    <xdr:from>
      <xdr:col>1</xdr:col>
      <xdr:colOff>68579</xdr:colOff>
      <xdr:row>28</xdr:row>
      <xdr:rowOff>49824</xdr:rowOff>
    </xdr:from>
    <xdr:to>
      <xdr:col>1</xdr:col>
      <xdr:colOff>1148579</xdr:colOff>
      <xdr:row>28</xdr:row>
      <xdr:rowOff>265824</xdr:rowOff>
    </xdr:to>
    <xdr:sp macro="" textlink="">
      <xdr:nvSpPr>
        <xdr:cNvPr id="39" name="Rectángulo: esquinas redondeadas 38">
          <a:hlinkClick xmlns:r="http://schemas.openxmlformats.org/officeDocument/2006/relationships" r:id="rId3"/>
          <a:extLst>
            <a:ext uri="{FF2B5EF4-FFF2-40B4-BE49-F238E27FC236}">
              <a16:creationId xmlns:a16="http://schemas.microsoft.com/office/drawing/2014/main" id="{00000000-0008-0000-0000-000027000000}"/>
            </a:ext>
          </a:extLst>
        </xdr:cNvPr>
        <xdr:cNvSpPr/>
      </xdr:nvSpPr>
      <xdr:spPr>
        <a:xfrm>
          <a:off x="249554" y="5707674"/>
          <a:ext cx="1080000" cy="216000"/>
        </a:xfrm>
        <a:prstGeom prst="roundRect">
          <a:avLst/>
        </a:prstGeom>
        <a:solidFill>
          <a:schemeClr val="accent1">
            <a:lumMod val="50000"/>
          </a:schemeClr>
        </a:solidFill>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ES" sz="900" b="1"/>
            <a:t>CHARMS</a:t>
          </a:r>
          <a:r>
            <a:rPr lang="es-ES" sz="800" b="1"/>
            <a:t> paper</a:t>
          </a:r>
        </a:p>
      </xdr:txBody>
    </xdr:sp>
    <xdr:clientData/>
  </xdr:twoCellAnchor>
  <xdr:twoCellAnchor editAs="oneCell">
    <xdr:from>
      <xdr:col>2</xdr:col>
      <xdr:colOff>292417</xdr:colOff>
      <xdr:row>28</xdr:row>
      <xdr:rowOff>49824</xdr:rowOff>
    </xdr:from>
    <xdr:to>
      <xdr:col>3</xdr:col>
      <xdr:colOff>156881</xdr:colOff>
      <xdr:row>28</xdr:row>
      <xdr:rowOff>265824</xdr:rowOff>
    </xdr:to>
    <xdr:sp macro="" textlink="">
      <xdr:nvSpPr>
        <xdr:cNvPr id="40" name="Rectángulo: esquinas redondeadas 39">
          <a:hlinkClick xmlns:r="http://schemas.openxmlformats.org/officeDocument/2006/relationships" r:id="rId4"/>
          <a:extLst>
            <a:ext uri="{FF2B5EF4-FFF2-40B4-BE49-F238E27FC236}">
              <a16:creationId xmlns:a16="http://schemas.microsoft.com/office/drawing/2014/main" id="{00000000-0008-0000-0000-000028000000}"/>
            </a:ext>
          </a:extLst>
        </xdr:cNvPr>
        <xdr:cNvSpPr/>
      </xdr:nvSpPr>
      <xdr:spPr>
        <a:xfrm>
          <a:off x="1654492" y="5707674"/>
          <a:ext cx="1041900" cy="216000"/>
        </a:xfrm>
        <a:prstGeom prst="roundRect">
          <a:avLst/>
        </a:prstGeom>
        <a:solidFill>
          <a:schemeClr val="accent1">
            <a:lumMod val="50000"/>
          </a:schemeClr>
        </a:solidFill>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ES" sz="900" b="1"/>
            <a:t>CHARMS form</a:t>
          </a:r>
        </a:p>
      </xdr:txBody>
    </xdr:sp>
    <xdr:clientData/>
  </xdr:twoCellAnchor>
  <xdr:twoCellAnchor editAs="oneCell">
    <xdr:from>
      <xdr:col>1</xdr:col>
      <xdr:colOff>68579</xdr:colOff>
      <xdr:row>36</xdr:row>
      <xdr:rowOff>45280</xdr:rowOff>
    </xdr:from>
    <xdr:to>
      <xdr:col>1</xdr:col>
      <xdr:colOff>1148579</xdr:colOff>
      <xdr:row>36</xdr:row>
      <xdr:rowOff>261280</xdr:rowOff>
    </xdr:to>
    <xdr:sp macro="" textlink="">
      <xdr:nvSpPr>
        <xdr:cNvPr id="41" name="Rectángulo: esquinas redondeadas 40">
          <a:hlinkClick xmlns:r="http://schemas.openxmlformats.org/officeDocument/2006/relationships" r:id="rId5"/>
          <a:extLst>
            <a:ext uri="{FF2B5EF4-FFF2-40B4-BE49-F238E27FC236}">
              <a16:creationId xmlns:a16="http://schemas.microsoft.com/office/drawing/2014/main" id="{00000000-0008-0000-0000-000029000000}"/>
            </a:ext>
          </a:extLst>
        </xdr:cNvPr>
        <xdr:cNvSpPr/>
      </xdr:nvSpPr>
      <xdr:spPr>
        <a:xfrm>
          <a:off x="249554" y="7341430"/>
          <a:ext cx="1080000" cy="216000"/>
        </a:xfrm>
        <a:prstGeom prst="roundRect">
          <a:avLst/>
        </a:prstGeom>
        <a:solidFill>
          <a:schemeClr val="accent1">
            <a:lumMod val="50000"/>
          </a:schemeClr>
        </a:solidFill>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ES" sz="900" b="1"/>
            <a:t>PROBAST </a:t>
          </a:r>
          <a:r>
            <a:rPr lang="es-ES" sz="800" b="1"/>
            <a:t>paper</a:t>
          </a:r>
        </a:p>
      </xdr:txBody>
    </xdr:sp>
    <xdr:clientData/>
  </xdr:twoCellAnchor>
  <xdr:twoCellAnchor editAs="oneCell">
    <xdr:from>
      <xdr:col>2</xdr:col>
      <xdr:colOff>284797</xdr:colOff>
      <xdr:row>36</xdr:row>
      <xdr:rowOff>45280</xdr:rowOff>
    </xdr:from>
    <xdr:to>
      <xdr:col>3</xdr:col>
      <xdr:colOff>149261</xdr:colOff>
      <xdr:row>36</xdr:row>
      <xdr:rowOff>261280</xdr:rowOff>
    </xdr:to>
    <xdr:sp macro="" textlink="">
      <xdr:nvSpPr>
        <xdr:cNvPr id="42" name="Rectángulo: esquinas redondeadas 41">
          <a:hlinkClick xmlns:r="http://schemas.openxmlformats.org/officeDocument/2006/relationships" r:id="rId6"/>
          <a:extLst>
            <a:ext uri="{FF2B5EF4-FFF2-40B4-BE49-F238E27FC236}">
              <a16:creationId xmlns:a16="http://schemas.microsoft.com/office/drawing/2014/main" id="{00000000-0008-0000-0000-00002A000000}"/>
            </a:ext>
          </a:extLst>
        </xdr:cNvPr>
        <xdr:cNvSpPr/>
      </xdr:nvSpPr>
      <xdr:spPr>
        <a:xfrm>
          <a:off x="1646872" y="7341430"/>
          <a:ext cx="1041900" cy="216000"/>
        </a:xfrm>
        <a:prstGeom prst="roundRect">
          <a:avLst/>
        </a:prstGeom>
        <a:solidFill>
          <a:schemeClr val="accent1">
            <a:lumMod val="50000"/>
          </a:schemeClr>
        </a:solidFill>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ES" sz="900" b="1"/>
            <a:t>PROBAST form</a:t>
          </a:r>
        </a:p>
      </xdr:txBody>
    </xdr:sp>
    <xdr:clientData/>
  </xdr:twoCellAnchor>
  <xdr:twoCellAnchor editAs="oneCell">
    <xdr:from>
      <xdr:col>1</xdr:col>
      <xdr:colOff>68579</xdr:colOff>
      <xdr:row>46</xdr:row>
      <xdr:rowOff>48065</xdr:rowOff>
    </xdr:from>
    <xdr:to>
      <xdr:col>2</xdr:col>
      <xdr:colOff>3479</xdr:colOff>
      <xdr:row>46</xdr:row>
      <xdr:rowOff>264065</xdr:rowOff>
    </xdr:to>
    <xdr:sp macro="" textlink="">
      <xdr:nvSpPr>
        <xdr:cNvPr id="43" name="Rectángulo: esquinas redondeadas 42">
          <a:hlinkClick xmlns:r="http://schemas.openxmlformats.org/officeDocument/2006/relationships" r:id="rId7"/>
          <a:extLst>
            <a:ext uri="{FF2B5EF4-FFF2-40B4-BE49-F238E27FC236}">
              <a16:creationId xmlns:a16="http://schemas.microsoft.com/office/drawing/2014/main" id="{00000000-0008-0000-0000-00002B000000}"/>
            </a:ext>
          </a:extLst>
        </xdr:cNvPr>
        <xdr:cNvSpPr/>
      </xdr:nvSpPr>
      <xdr:spPr>
        <a:xfrm>
          <a:off x="249554" y="9363515"/>
          <a:ext cx="1116000" cy="216000"/>
        </a:xfrm>
        <a:prstGeom prst="roundRect">
          <a:avLst/>
        </a:prstGeom>
        <a:solidFill>
          <a:schemeClr val="accent6">
            <a:lumMod val="50000"/>
          </a:schemeClr>
        </a:solidFill>
        <a:ln>
          <a:solidFill>
            <a:schemeClr val="accent6">
              <a:lumMod val="50000"/>
            </a:schemeClr>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ES" sz="800" b="1"/>
            <a:t>Study charcteristics</a:t>
          </a:r>
        </a:p>
      </xdr:txBody>
    </xdr:sp>
    <xdr:clientData/>
  </xdr:twoCellAnchor>
  <xdr:twoCellAnchor editAs="oneCell">
    <xdr:from>
      <xdr:col>2</xdr:col>
      <xdr:colOff>292417</xdr:colOff>
      <xdr:row>46</xdr:row>
      <xdr:rowOff>48065</xdr:rowOff>
    </xdr:from>
    <xdr:to>
      <xdr:col>3</xdr:col>
      <xdr:colOff>227317</xdr:colOff>
      <xdr:row>46</xdr:row>
      <xdr:rowOff>264065</xdr:rowOff>
    </xdr:to>
    <xdr:sp macro="" textlink="">
      <xdr:nvSpPr>
        <xdr:cNvPr id="44" name="Rectángulo: esquinas redondeadas 43">
          <a:hlinkClick xmlns:r="http://schemas.openxmlformats.org/officeDocument/2006/relationships" r:id="rId8"/>
          <a:extLst>
            <a:ext uri="{FF2B5EF4-FFF2-40B4-BE49-F238E27FC236}">
              <a16:creationId xmlns:a16="http://schemas.microsoft.com/office/drawing/2014/main" id="{00000000-0008-0000-0000-00002C000000}"/>
            </a:ext>
          </a:extLst>
        </xdr:cNvPr>
        <xdr:cNvSpPr/>
      </xdr:nvSpPr>
      <xdr:spPr>
        <a:xfrm>
          <a:off x="1654492" y="9363515"/>
          <a:ext cx="1116000" cy="216000"/>
        </a:xfrm>
        <a:prstGeom prst="roundRect">
          <a:avLst/>
        </a:prstGeom>
        <a:solidFill>
          <a:schemeClr val="accent6">
            <a:lumMod val="50000"/>
          </a:schemeClr>
        </a:solidFill>
        <a:ln>
          <a:solidFill>
            <a:schemeClr val="accent6">
              <a:lumMod val="50000"/>
            </a:schemeClr>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ES" sz="800" b="1"/>
            <a:t>Model characteristics</a:t>
          </a:r>
        </a:p>
      </xdr:txBody>
    </xdr:sp>
    <xdr:clientData/>
  </xdr:twoCellAnchor>
  <xdr:twoCellAnchor editAs="oneCell">
    <xdr:from>
      <xdr:col>3</xdr:col>
      <xdr:colOff>544830</xdr:colOff>
      <xdr:row>46</xdr:row>
      <xdr:rowOff>48065</xdr:rowOff>
    </xdr:from>
    <xdr:to>
      <xdr:col>4</xdr:col>
      <xdr:colOff>407095</xdr:colOff>
      <xdr:row>46</xdr:row>
      <xdr:rowOff>264065</xdr:rowOff>
    </xdr:to>
    <xdr:sp macro="" textlink="">
      <xdr:nvSpPr>
        <xdr:cNvPr id="45" name="Rectángulo: esquinas redondeadas 44">
          <a:hlinkClick xmlns:r="http://schemas.openxmlformats.org/officeDocument/2006/relationships" r:id="rId9"/>
          <a:extLst>
            <a:ext uri="{FF2B5EF4-FFF2-40B4-BE49-F238E27FC236}">
              <a16:creationId xmlns:a16="http://schemas.microsoft.com/office/drawing/2014/main" id="{00000000-0008-0000-0000-00002D000000}"/>
            </a:ext>
          </a:extLst>
        </xdr:cNvPr>
        <xdr:cNvSpPr/>
      </xdr:nvSpPr>
      <xdr:spPr>
        <a:xfrm>
          <a:off x="3088005" y="9363515"/>
          <a:ext cx="1041900" cy="216000"/>
        </a:xfrm>
        <a:prstGeom prst="roundRect">
          <a:avLst/>
        </a:prstGeom>
        <a:solidFill>
          <a:schemeClr val="accent6">
            <a:lumMod val="50000"/>
          </a:schemeClr>
        </a:solidFill>
        <a:ln>
          <a:solidFill>
            <a:schemeClr val="accent6">
              <a:lumMod val="50000"/>
            </a:schemeClr>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ES" sz="800" b="1"/>
            <a:t>PROBAST summary</a:t>
          </a:r>
        </a:p>
      </xdr:txBody>
    </xdr:sp>
    <xdr:clientData/>
  </xdr:twoCellAnchor>
  <xdr:twoCellAnchor>
    <xdr:from>
      <xdr:col>10</xdr:col>
      <xdr:colOff>144780</xdr:colOff>
      <xdr:row>3</xdr:row>
      <xdr:rowOff>121920</xdr:rowOff>
    </xdr:from>
    <xdr:to>
      <xdr:col>11</xdr:col>
      <xdr:colOff>1080744</xdr:colOff>
      <xdr:row>6</xdr:row>
      <xdr:rowOff>67880</xdr:rowOff>
    </xdr:to>
    <xdr:pic>
      <xdr:nvPicPr>
        <xdr:cNvPr id="46" name="Imagen 45">
          <a:extLst>
            <a:ext uri="{FF2B5EF4-FFF2-40B4-BE49-F238E27FC236}">
              <a16:creationId xmlns:a16="http://schemas.microsoft.com/office/drawing/2014/main" id="{00000000-0008-0000-0000-00002E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9803130" y="864870"/>
          <a:ext cx="2117064" cy="631760"/>
        </a:xfrm>
        <a:prstGeom prst="rect">
          <a:avLst/>
        </a:prstGeom>
      </xdr:spPr>
    </xdr:pic>
    <xdr:clientData/>
  </xdr:twoCellAnchor>
  <xdr:twoCellAnchor editAs="oneCell">
    <xdr:from>
      <xdr:col>1</xdr:col>
      <xdr:colOff>68580</xdr:colOff>
      <xdr:row>22</xdr:row>
      <xdr:rowOff>45720</xdr:rowOff>
    </xdr:from>
    <xdr:to>
      <xdr:col>1</xdr:col>
      <xdr:colOff>1148580</xdr:colOff>
      <xdr:row>22</xdr:row>
      <xdr:rowOff>261720</xdr:rowOff>
    </xdr:to>
    <xdr:sp macro="" textlink="">
      <xdr:nvSpPr>
        <xdr:cNvPr id="47" name="Rectángulo: esquinas redondeadas 46">
          <a:hlinkClick xmlns:r="http://schemas.openxmlformats.org/officeDocument/2006/relationships" r:id="rId11"/>
          <a:extLst>
            <a:ext uri="{FF2B5EF4-FFF2-40B4-BE49-F238E27FC236}">
              <a16:creationId xmlns:a16="http://schemas.microsoft.com/office/drawing/2014/main" id="{00000000-0008-0000-0000-00002F000000}"/>
            </a:ext>
          </a:extLst>
        </xdr:cNvPr>
        <xdr:cNvSpPr/>
      </xdr:nvSpPr>
      <xdr:spPr>
        <a:xfrm>
          <a:off x="249555" y="4446270"/>
          <a:ext cx="1080000" cy="216000"/>
        </a:xfrm>
        <a:prstGeom prst="roundRect">
          <a:avLst/>
        </a:prstGeom>
        <a:solidFill>
          <a:schemeClr val="tx1"/>
        </a:solidFill>
        <a:ln>
          <a:solidFill>
            <a:schemeClr val="accent6">
              <a:lumMod val="50000"/>
            </a:schemeClr>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ES" sz="1100" b="1"/>
            <a:t>Summary</a:t>
          </a:r>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6</xdr:row>
          <xdr:rowOff>0</xdr:rowOff>
        </xdr:from>
        <xdr:to>
          <xdr:col>2</xdr:col>
          <xdr:colOff>0</xdr:colOff>
          <xdr:row>7</xdr:row>
          <xdr:rowOff>0</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100-000001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7</xdr:row>
          <xdr:rowOff>0</xdr:rowOff>
        </xdr:from>
        <xdr:to>
          <xdr:col>2</xdr:col>
          <xdr:colOff>0</xdr:colOff>
          <xdr:row>8</xdr:row>
          <xdr:rowOff>0</xdr:rowOff>
        </xdr:to>
        <xdr:sp macro="" textlink="">
          <xdr:nvSpPr>
            <xdr:cNvPr id="2050" name="Check Box 2" hidden="1">
              <a:extLst>
                <a:ext uri="{63B3BB69-23CF-44E3-9099-C40C66FF867C}">
                  <a14:compatExt spid="_x0000_s2050"/>
                </a:ext>
                <a:ext uri="{FF2B5EF4-FFF2-40B4-BE49-F238E27FC236}">
                  <a16:creationId xmlns:a16="http://schemas.microsoft.com/office/drawing/2014/main" id="{00000000-0008-0000-0100-000002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8</xdr:row>
          <xdr:rowOff>0</xdr:rowOff>
        </xdr:from>
        <xdr:to>
          <xdr:col>2</xdr:col>
          <xdr:colOff>0</xdr:colOff>
          <xdr:row>9</xdr:row>
          <xdr:rowOff>0</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100-000003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9</xdr:row>
          <xdr:rowOff>0</xdr:rowOff>
        </xdr:from>
        <xdr:to>
          <xdr:col>2</xdr:col>
          <xdr:colOff>0</xdr:colOff>
          <xdr:row>10</xdr:row>
          <xdr:rowOff>0</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100-000004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10</xdr:row>
          <xdr:rowOff>0</xdr:rowOff>
        </xdr:from>
        <xdr:to>
          <xdr:col>2</xdr:col>
          <xdr:colOff>0</xdr:colOff>
          <xdr:row>11</xdr:row>
          <xdr:rowOff>0</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100-000005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11</xdr:row>
          <xdr:rowOff>0</xdr:rowOff>
        </xdr:from>
        <xdr:to>
          <xdr:col>2</xdr:col>
          <xdr:colOff>0</xdr:colOff>
          <xdr:row>12</xdr:row>
          <xdr:rowOff>0</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100-000006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12</xdr:row>
          <xdr:rowOff>0</xdr:rowOff>
        </xdr:from>
        <xdr:to>
          <xdr:col>2</xdr:col>
          <xdr:colOff>0</xdr:colOff>
          <xdr:row>13</xdr:row>
          <xdr:rowOff>0</xdr:rowOff>
        </xdr:to>
        <xdr:sp macro="" textlink="">
          <xdr:nvSpPr>
            <xdr:cNvPr id="2055" name="Check Box 7" hidden="1">
              <a:extLst>
                <a:ext uri="{63B3BB69-23CF-44E3-9099-C40C66FF867C}">
                  <a14:compatExt spid="_x0000_s2055"/>
                </a:ext>
                <a:ext uri="{FF2B5EF4-FFF2-40B4-BE49-F238E27FC236}">
                  <a16:creationId xmlns:a16="http://schemas.microsoft.com/office/drawing/2014/main" id="{00000000-0008-0000-0100-000007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13</xdr:row>
          <xdr:rowOff>0</xdr:rowOff>
        </xdr:from>
        <xdr:to>
          <xdr:col>2</xdr:col>
          <xdr:colOff>0</xdr:colOff>
          <xdr:row>14</xdr:row>
          <xdr:rowOff>0</xdr:rowOff>
        </xdr:to>
        <xdr:sp macro="" textlink="">
          <xdr:nvSpPr>
            <xdr:cNvPr id="2056" name="Check Box 8" hidden="1">
              <a:extLst>
                <a:ext uri="{63B3BB69-23CF-44E3-9099-C40C66FF867C}">
                  <a14:compatExt spid="_x0000_s2056"/>
                </a:ext>
                <a:ext uri="{FF2B5EF4-FFF2-40B4-BE49-F238E27FC236}">
                  <a16:creationId xmlns:a16="http://schemas.microsoft.com/office/drawing/2014/main" id="{00000000-0008-0000-0100-000008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14</xdr:row>
          <xdr:rowOff>0</xdr:rowOff>
        </xdr:from>
        <xdr:to>
          <xdr:col>2</xdr:col>
          <xdr:colOff>0</xdr:colOff>
          <xdr:row>15</xdr:row>
          <xdr:rowOff>0</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100-000009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15</xdr:row>
          <xdr:rowOff>0</xdr:rowOff>
        </xdr:from>
        <xdr:to>
          <xdr:col>2</xdr:col>
          <xdr:colOff>0</xdr:colOff>
          <xdr:row>16</xdr:row>
          <xdr:rowOff>0</xdr:rowOff>
        </xdr:to>
        <xdr:sp macro="" textlink="">
          <xdr:nvSpPr>
            <xdr:cNvPr id="2058" name="Check Box 10" hidden="1">
              <a:extLst>
                <a:ext uri="{63B3BB69-23CF-44E3-9099-C40C66FF867C}">
                  <a14:compatExt spid="_x0000_s2058"/>
                </a:ext>
                <a:ext uri="{FF2B5EF4-FFF2-40B4-BE49-F238E27FC236}">
                  <a16:creationId xmlns:a16="http://schemas.microsoft.com/office/drawing/2014/main" id="{00000000-0008-0000-0100-00000A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16</xdr:row>
          <xdr:rowOff>0</xdr:rowOff>
        </xdr:from>
        <xdr:to>
          <xdr:col>2</xdr:col>
          <xdr:colOff>0</xdr:colOff>
          <xdr:row>17</xdr:row>
          <xdr:rowOff>0</xdr:rowOff>
        </xdr:to>
        <xdr:sp macro="" textlink="">
          <xdr:nvSpPr>
            <xdr:cNvPr id="2059" name="Check Box 11" hidden="1">
              <a:extLst>
                <a:ext uri="{63B3BB69-23CF-44E3-9099-C40C66FF867C}">
                  <a14:compatExt spid="_x0000_s2059"/>
                </a:ext>
                <a:ext uri="{FF2B5EF4-FFF2-40B4-BE49-F238E27FC236}">
                  <a16:creationId xmlns:a16="http://schemas.microsoft.com/office/drawing/2014/main" id="{00000000-0008-0000-0100-00000B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17</xdr:row>
          <xdr:rowOff>0</xdr:rowOff>
        </xdr:from>
        <xdr:to>
          <xdr:col>2</xdr:col>
          <xdr:colOff>0</xdr:colOff>
          <xdr:row>18</xdr:row>
          <xdr:rowOff>0</xdr:rowOff>
        </xdr:to>
        <xdr:sp macro="" textlink="">
          <xdr:nvSpPr>
            <xdr:cNvPr id="2060" name="Check Box 12" hidden="1">
              <a:extLst>
                <a:ext uri="{63B3BB69-23CF-44E3-9099-C40C66FF867C}">
                  <a14:compatExt spid="_x0000_s2060"/>
                </a:ext>
                <a:ext uri="{FF2B5EF4-FFF2-40B4-BE49-F238E27FC236}">
                  <a16:creationId xmlns:a16="http://schemas.microsoft.com/office/drawing/2014/main" id="{00000000-0008-0000-0100-00000C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18</xdr:row>
          <xdr:rowOff>0</xdr:rowOff>
        </xdr:from>
        <xdr:to>
          <xdr:col>2</xdr:col>
          <xdr:colOff>0</xdr:colOff>
          <xdr:row>19</xdr:row>
          <xdr:rowOff>0</xdr:rowOff>
        </xdr:to>
        <xdr:sp macro="" textlink="">
          <xdr:nvSpPr>
            <xdr:cNvPr id="2061" name="Check Box 13" hidden="1">
              <a:extLst>
                <a:ext uri="{63B3BB69-23CF-44E3-9099-C40C66FF867C}">
                  <a14:compatExt spid="_x0000_s2061"/>
                </a:ext>
                <a:ext uri="{FF2B5EF4-FFF2-40B4-BE49-F238E27FC236}">
                  <a16:creationId xmlns:a16="http://schemas.microsoft.com/office/drawing/2014/main" id="{00000000-0008-0000-0100-00000D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19</xdr:row>
          <xdr:rowOff>0</xdr:rowOff>
        </xdr:from>
        <xdr:to>
          <xdr:col>2</xdr:col>
          <xdr:colOff>0</xdr:colOff>
          <xdr:row>20</xdr:row>
          <xdr:rowOff>0</xdr:rowOff>
        </xdr:to>
        <xdr:sp macro="" textlink="">
          <xdr:nvSpPr>
            <xdr:cNvPr id="2062" name="Check Box 14" hidden="1">
              <a:extLst>
                <a:ext uri="{63B3BB69-23CF-44E3-9099-C40C66FF867C}">
                  <a14:compatExt spid="_x0000_s2062"/>
                </a:ext>
                <a:ext uri="{FF2B5EF4-FFF2-40B4-BE49-F238E27FC236}">
                  <a16:creationId xmlns:a16="http://schemas.microsoft.com/office/drawing/2014/main" id="{00000000-0008-0000-0100-00000E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20</xdr:row>
          <xdr:rowOff>0</xdr:rowOff>
        </xdr:from>
        <xdr:to>
          <xdr:col>2</xdr:col>
          <xdr:colOff>0</xdr:colOff>
          <xdr:row>21</xdr:row>
          <xdr:rowOff>0</xdr:rowOff>
        </xdr:to>
        <xdr:sp macro="" textlink="">
          <xdr:nvSpPr>
            <xdr:cNvPr id="2063" name="Check Box 15" hidden="1">
              <a:extLst>
                <a:ext uri="{63B3BB69-23CF-44E3-9099-C40C66FF867C}">
                  <a14:compatExt spid="_x0000_s2063"/>
                </a:ext>
                <a:ext uri="{FF2B5EF4-FFF2-40B4-BE49-F238E27FC236}">
                  <a16:creationId xmlns:a16="http://schemas.microsoft.com/office/drawing/2014/main" id="{00000000-0008-0000-0100-00000F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21</xdr:row>
          <xdr:rowOff>0</xdr:rowOff>
        </xdr:from>
        <xdr:to>
          <xdr:col>2</xdr:col>
          <xdr:colOff>0</xdr:colOff>
          <xdr:row>22</xdr:row>
          <xdr:rowOff>0</xdr:rowOff>
        </xdr:to>
        <xdr:sp macro="" textlink="">
          <xdr:nvSpPr>
            <xdr:cNvPr id="2064" name="Check Box 16" hidden="1">
              <a:extLst>
                <a:ext uri="{63B3BB69-23CF-44E3-9099-C40C66FF867C}">
                  <a14:compatExt spid="_x0000_s2064"/>
                </a:ext>
                <a:ext uri="{FF2B5EF4-FFF2-40B4-BE49-F238E27FC236}">
                  <a16:creationId xmlns:a16="http://schemas.microsoft.com/office/drawing/2014/main" id="{00000000-0008-0000-0100-000010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22</xdr:row>
          <xdr:rowOff>0</xdr:rowOff>
        </xdr:from>
        <xdr:to>
          <xdr:col>2</xdr:col>
          <xdr:colOff>0</xdr:colOff>
          <xdr:row>23</xdr:row>
          <xdr:rowOff>0</xdr:rowOff>
        </xdr:to>
        <xdr:sp macro="" textlink="">
          <xdr:nvSpPr>
            <xdr:cNvPr id="2065" name="Check Box 17" hidden="1">
              <a:extLst>
                <a:ext uri="{63B3BB69-23CF-44E3-9099-C40C66FF867C}">
                  <a14:compatExt spid="_x0000_s2065"/>
                </a:ext>
                <a:ext uri="{FF2B5EF4-FFF2-40B4-BE49-F238E27FC236}">
                  <a16:creationId xmlns:a16="http://schemas.microsoft.com/office/drawing/2014/main" id="{00000000-0008-0000-0100-000011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23</xdr:row>
          <xdr:rowOff>0</xdr:rowOff>
        </xdr:from>
        <xdr:to>
          <xdr:col>2</xdr:col>
          <xdr:colOff>0</xdr:colOff>
          <xdr:row>24</xdr:row>
          <xdr:rowOff>0</xdr:rowOff>
        </xdr:to>
        <xdr:sp macro="" textlink="">
          <xdr:nvSpPr>
            <xdr:cNvPr id="2066" name="Check Box 18" hidden="1">
              <a:extLst>
                <a:ext uri="{63B3BB69-23CF-44E3-9099-C40C66FF867C}">
                  <a14:compatExt spid="_x0000_s2066"/>
                </a:ext>
                <a:ext uri="{FF2B5EF4-FFF2-40B4-BE49-F238E27FC236}">
                  <a16:creationId xmlns:a16="http://schemas.microsoft.com/office/drawing/2014/main" id="{00000000-0008-0000-0100-000012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24</xdr:row>
          <xdr:rowOff>0</xdr:rowOff>
        </xdr:from>
        <xdr:to>
          <xdr:col>2</xdr:col>
          <xdr:colOff>0</xdr:colOff>
          <xdr:row>25</xdr:row>
          <xdr:rowOff>0</xdr:rowOff>
        </xdr:to>
        <xdr:sp macro="" textlink="">
          <xdr:nvSpPr>
            <xdr:cNvPr id="2067" name="Check Box 19" hidden="1">
              <a:extLst>
                <a:ext uri="{63B3BB69-23CF-44E3-9099-C40C66FF867C}">
                  <a14:compatExt spid="_x0000_s2067"/>
                </a:ext>
                <a:ext uri="{FF2B5EF4-FFF2-40B4-BE49-F238E27FC236}">
                  <a16:creationId xmlns:a16="http://schemas.microsoft.com/office/drawing/2014/main" id="{00000000-0008-0000-0100-000013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25</xdr:row>
          <xdr:rowOff>0</xdr:rowOff>
        </xdr:from>
        <xdr:to>
          <xdr:col>2</xdr:col>
          <xdr:colOff>0</xdr:colOff>
          <xdr:row>26</xdr:row>
          <xdr:rowOff>0</xdr:rowOff>
        </xdr:to>
        <xdr:sp macro="" textlink="">
          <xdr:nvSpPr>
            <xdr:cNvPr id="2068" name="Check Box 20" hidden="1">
              <a:extLst>
                <a:ext uri="{63B3BB69-23CF-44E3-9099-C40C66FF867C}">
                  <a14:compatExt spid="_x0000_s2068"/>
                </a:ext>
                <a:ext uri="{FF2B5EF4-FFF2-40B4-BE49-F238E27FC236}">
                  <a16:creationId xmlns:a16="http://schemas.microsoft.com/office/drawing/2014/main" id="{00000000-0008-0000-0100-000014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26</xdr:row>
          <xdr:rowOff>0</xdr:rowOff>
        </xdr:from>
        <xdr:to>
          <xdr:col>2</xdr:col>
          <xdr:colOff>0</xdr:colOff>
          <xdr:row>27</xdr:row>
          <xdr:rowOff>0</xdr:rowOff>
        </xdr:to>
        <xdr:sp macro="" textlink="">
          <xdr:nvSpPr>
            <xdr:cNvPr id="2069" name="Check Box 21" hidden="1">
              <a:extLst>
                <a:ext uri="{63B3BB69-23CF-44E3-9099-C40C66FF867C}">
                  <a14:compatExt spid="_x0000_s2069"/>
                </a:ext>
                <a:ext uri="{FF2B5EF4-FFF2-40B4-BE49-F238E27FC236}">
                  <a16:creationId xmlns:a16="http://schemas.microsoft.com/office/drawing/2014/main" id="{00000000-0008-0000-0100-000015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27</xdr:row>
          <xdr:rowOff>0</xdr:rowOff>
        </xdr:from>
        <xdr:to>
          <xdr:col>2</xdr:col>
          <xdr:colOff>0</xdr:colOff>
          <xdr:row>28</xdr:row>
          <xdr:rowOff>0</xdr:rowOff>
        </xdr:to>
        <xdr:sp macro="" textlink="">
          <xdr:nvSpPr>
            <xdr:cNvPr id="2070" name="Check Box 22" hidden="1">
              <a:extLst>
                <a:ext uri="{63B3BB69-23CF-44E3-9099-C40C66FF867C}">
                  <a14:compatExt spid="_x0000_s2070"/>
                </a:ext>
                <a:ext uri="{FF2B5EF4-FFF2-40B4-BE49-F238E27FC236}">
                  <a16:creationId xmlns:a16="http://schemas.microsoft.com/office/drawing/2014/main" id="{00000000-0008-0000-0100-000016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28</xdr:row>
          <xdr:rowOff>0</xdr:rowOff>
        </xdr:from>
        <xdr:to>
          <xdr:col>2</xdr:col>
          <xdr:colOff>0</xdr:colOff>
          <xdr:row>29</xdr:row>
          <xdr:rowOff>0</xdr:rowOff>
        </xdr:to>
        <xdr:sp macro="" textlink="">
          <xdr:nvSpPr>
            <xdr:cNvPr id="2071" name="Check Box 23" hidden="1">
              <a:extLst>
                <a:ext uri="{63B3BB69-23CF-44E3-9099-C40C66FF867C}">
                  <a14:compatExt spid="_x0000_s2071"/>
                </a:ext>
                <a:ext uri="{FF2B5EF4-FFF2-40B4-BE49-F238E27FC236}">
                  <a16:creationId xmlns:a16="http://schemas.microsoft.com/office/drawing/2014/main" id="{00000000-0008-0000-0100-000017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29</xdr:row>
          <xdr:rowOff>0</xdr:rowOff>
        </xdr:from>
        <xdr:to>
          <xdr:col>2</xdr:col>
          <xdr:colOff>0</xdr:colOff>
          <xdr:row>30</xdr:row>
          <xdr:rowOff>0</xdr:rowOff>
        </xdr:to>
        <xdr:sp macro="" textlink="">
          <xdr:nvSpPr>
            <xdr:cNvPr id="2072" name="Check Box 24" hidden="1">
              <a:extLst>
                <a:ext uri="{63B3BB69-23CF-44E3-9099-C40C66FF867C}">
                  <a14:compatExt spid="_x0000_s2072"/>
                </a:ext>
                <a:ext uri="{FF2B5EF4-FFF2-40B4-BE49-F238E27FC236}">
                  <a16:creationId xmlns:a16="http://schemas.microsoft.com/office/drawing/2014/main" id="{00000000-0008-0000-0100-000018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30</xdr:row>
          <xdr:rowOff>0</xdr:rowOff>
        </xdr:from>
        <xdr:to>
          <xdr:col>2</xdr:col>
          <xdr:colOff>0</xdr:colOff>
          <xdr:row>31</xdr:row>
          <xdr:rowOff>0</xdr:rowOff>
        </xdr:to>
        <xdr:sp macro="" textlink="">
          <xdr:nvSpPr>
            <xdr:cNvPr id="2073" name="Check Box 25" hidden="1">
              <a:extLst>
                <a:ext uri="{63B3BB69-23CF-44E3-9099-C40C66FF867C}">
                  <a14:compatExt spid="_x0000_s2073"/>
                </a:ext>
                <a:ext uri="{FF2B5EF4-FFF2-40B4-BE49-F238E27FC236}">
                  <a16:creationId xmlns:a16="http://schemas.microsoft.com/office/drawing/2014/main" id="{00000000-0008-0000-0100-000019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31</xdr:row>
          <xdr:rowOff>0</xdr:rowOff>
        </xdr:from>
        <xdr:to>
          <xdr:col>2</xdr:col>
          <xdr:colOff>0</xdr:colOff>
          <xdr:row>32</xdr:row>
          <xdr:rowOff>0</xdr:rowOff>
        </xdr:to>
        <xdr:sp macro="" textlink="">
          <xdr:nvSpPr>
            <xdr:cNvPr id="2074" name="Check Box 26" hidden="1">
              <a:extLst>
                <a:ext uri="{63B3BB69-23CF-44E3-9099-C40C66FF867C}">
                  <a14:compatExt spid="_x0000_s2074"/>
                </a:ext>
                <a:ext uri="{FF2B5EF4-FFF2-40B4-BE49-F238E27FC236}">
                  <a16:creationId xmlns:a16="http://schemas.microsoft.com/office/drawing/2014/main" id="{00000000-0008-0000-0100-00001A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32</xdr:row>
          <xdr:rowOff>0</xdr:rowOff>
        </xdr:from>
        <xdr:to>
          <xdr:col>2</xdr:col>
          <xdr:colOff>0</xdr:colOff>
          <xdr:row>33</xdr:row>
          <xdr:rowOff>0</xdr:rowOff>
        </xdr:to>
        <xdr:sp macro="" textlink="">
          <xdr:nvSpPr>
            <xdr:cNvPr id="2075" name="Check Box 27" hidden="1">
              <a:extLst>
                <a:ext uri="{63B3BB69-23CF-44E3-9099-C40C66FF867C}">
                  <a14:compatExt spid="_x0000_s2075"/>
                </a:ext>
                <a:ext uri="{FF2B5EF4-FFF2-40B4-BE49-F238E27FC236}">
                  <a16:creationId xmlns:a16="http://schemas.microsoft.com/office/drawing/2014/main" id="{00000000-0008-0000-0100-00001B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33</xdr:row>
          <xdr:rowOff>0</xdr:rowOff>
        </xdr:from>
        <xdr:to>
          <xdr:col>2</xdr:col>
          <xdr:colOff>0</xdr:colOff>
          <xdr:row>34</xdr:row>
          <xdr:rowOff>0</xdr:rowOff>
        </xdr:to>
        <xdr:sp macro="" textlink="">
          <xdr:nvSpPr>
            <xdr:cNvPr id="2076" name="Check Box 28" hidden="1">
              <a:extLst>
                <a:ext uri="{63B3BB69-23CF-44E3-9099-C40C66FF867C}">
                  <a14:compatExt spid="_x0000_s2076"/>
                </a:ext>
                <a:ext uri="{FF2B5EF4-FFF2-40B4-BE49-F238E27FC236}">
                  <a16:creationId xmlns:a16="http://schemas.microsoft.com/office/drawing/2014/main" id="{00000000-0008-0000-0100-00001C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34</xdr:row>
          <xdr:rowOff>0</xdr:rowOff>
        </xdr:from>
        <xdr:to>
          <xdr:col>2</xdr:col>
          <xdr:colOff>0</xdr:colOff>
          <xdr:row>35</xdr:row>
          <xdr:rowOff>0</xdr:rowOff>
        </xdr:to>
        <xdr:sp macro="" textlink="">
          <xdr:nvSpPr>
            <xdr:cNvPr id="2077" name="Check Box 29" hidden="1">
              <a:extLst>
                <a:ext uri="{63B3BB69-23CF-44E3-9099-C40C66FF867C}">
                  <a14:compatExt spid="_x0000_s2077"/>
                </a:ext>
                <a:ext uri="{FF2B5EF4-FFF2-40B4-BE49-F238E27FC236}">
                  <a16:creationId xmlns:a16="http://schemas.microsoft.com/office/drawing/2014/main" id="{00000000-0008-0000-0100-00001D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35</xdr:row>
          <xdr:rowOff>0</xdr:rowOff>
        </xdr:from>
        <xdr:to>
          <xdr:col>2</xdr:col>
          <xdr:colOff>0</xdr:colOff>
          <xdr:row>36</xdr:row>
          <xdr:rowOff>0</xdr:rowOff>
        </xdr:to>
        <xdr:sp macro="" textlink="">
          <xdr:nvSpPr>
            <xdr:cNvPr id="2078" name="Check Box 30" hidden="1">
              <a:extLst>
                <a:ext uri="{63B3BB69-23CF-44E3-9099-C40C66FF867C}">
                  <a14:compatExt spid="_x0000_s2078"/>
                </a:ext>
                <a:ext uri="{FF2B5EF4-FFF2-40B4-BE49-F238E27FC236}">
                  <a16:creationId xmlns:a16="http://schemas.microsoft.com/office/drawing/2014/main" id="{00000000-0008-0000-0100-00001E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editAs="oneCell">
    <xdr:from>
      <xdr:col>7</xdr:col>
      <xdr:colOff>647700</xdr:colOff>
      <xdr:row>0</xdr:row>
      <xdr:rowOff>0</xdr:rowOff>
    </xdr:from>
    <xdr:to>
      <xdr:col>8</xdr:col>
      <xdr:colOff>624204</xdr:colOff>
      <xdr:row>2</xdr:row>
      <xdr:rowOff>28875</xdr:rowOff>
    </xdr:to>
    <xdr:pic>
      <xdr:nvPicPr>
        <xdr:cNvPr id="35" name="Imagen 34">
          <a:extLst>
            <a:ext uri="{FF2B5EF4-FFF2-40B4-BE49-F238E27FC236}">
              <a16:creationId xmlns:a16="http://schemas.microsoft.com/office/drawing/2014/main" id="{00000000-0008-0000-0100-00002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629650" y="0"/>
          <a:ext cx="1643379" cy="648000"/>
        </a:xfrm>
        <a:prstGeom prst="rect">
          <a:avLst/>
        </a:prstGeom>
      </xdr:spPr>
    </xdr:pic>
    <xdr:clientData/>
  </xdr:twoCellAnchor>
  <xdr:twoCellAnchor editAs="oneCell">
    <xdr:from>
      <xdr:col>8</xdr:col>
      <xdr:colOff>876297</xdr:colOff>
      <xdr:row>0</xdr:row>
      <xdr:rowOff>1818</xdr:rowOff>
    </xdr:from>
    <xdr:to>
      <xdr:col>10</xdr:col>
      <xdr:colOff>528291</xdr:colOff>
      <xdr:row>2</xdr:row>
      <xdr:rowOff>27056</xdr:rowOff>
    </xdr:to>
    <xdr:pic>
      <xdr:nvPicPr>
        <xdr:cNvPr id="36" name="Imagen 35">
          <a:extLst>
            <a:ext uri="{FF2B5EF4-FFF2-40B4-BE49-F238E27FC236}">
              <a16:creationId xmlns:a16="http://schemas.microsoft.com/office/drawing/2014/main" id="{00000000-0008-0000-0100-00002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0286997" y="1818"/>
          <a:ext cx="2109444" cy="644363"/>
        </a:xfrm>
        <a:prstGeom prst="rect">
          <a:avLst/>
        </a:prstGeom>
      </xdr:spPr>
    </xdr:pic>
    <xdr:clientData/>
  </xdr:twoCellAnchor>
  <xdr:twoCellAnchor>
    <xdr:from>
      <xdr:col>0</xdr:col>
      <xdr:colOff>142875</xdr:colOff>
      <xdr:row>0</xdr:row>
      <xdr:rowOff>104775</xdr:rowOff>
    </xdr:from>
    <xdr:to>
      <xdr:col>2</xdr:col>
      <xdr:colOff>374025</xdr:colOff>
      <xdr:row>1</xdr:row>
      <xdr:rowOff>82650</xdr:rowOff>
    </xdr:to>
    <xdr:sp macro="" textlink="">
      <xdr:nvSpPr>
        <xdr:cNvPr id="39" name="Rectángulo: esquinas redondeadas 38">
          <a:hlinkClick xmlns:r="http://schemas.openxmlformats.org/officeDocument/2006/relationships" r:id="rId3"/>
          <a:extLst>
            <a:ext uri="{FF2B5EF4-FFF2-40B4-BE49-F238E27FC236}">
              <a16:creationId xmlns:a16="http://schemas.microsoft.com/office/drawing/2014/main" id="{00000000-0008-0000-0100-000027000000}"/>
            </a:ext>
          </a:extLst>
        </xdr:cNvPr>
        <xdr:cNvSpPr/>
      </xdr:nvSpPr>
      <xdr:spPr>
        <a:xfrm>
          <a:off x="142875" y="104775"/>
          <a:ext cx="936000" cy="216000"/>
        </a:xfrm>
        <a:prstGeom prst="roundRect">
          <a:avLst/>
        </a:prstGeom>
        <a:solidFill>
          <a:schemeClr val="tx1">
            <a:lumMod val="85000"/>
            <a:lumOff val="15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ES" sz="1100" b="1">
              <a:solidFill>
                <a:schemeClr val="bg1"/>
              </a:solidFill>
            </a:rPr>
            <a:t>Home</a:t>
          </a:r>
        </a:p>
      </xdr:txBody>
    </xdr:sp>
    <xdr:clientData/>
  </xdr:twoCellAnchor>
  <xdr:twoCellAnchor>
    <xdr:from>
      <xdr:col>2</xdr:col>
      <xdr:colOff>485775</xdr:colOff>
      <xdr:row>0</xdr:row>
      <xdr:rowOff>104775</xdr:rowOff>
    </xdr:from>
    <xdr:to>
      <xdr:col>3</xdr:col>
      <xdr:colOff>812175</xdr:colOff>
      <xdr:row>1</xdr:row>
      <xdr:rowOff>82650</xdr:rowOff>
    </xdr:to>
    <xdr:sp macro="" textlink="">
      <xdr:nvSpPr>
        <xdr:cNvPr id="41" name="Rectángulo: esquinas redondeadas 40">
          <a:hlinkClick xmlns:r="http://schemas.openxmlformats.org/officeDocument/2006/relationships" r:id="rId4"/>
          <a:extLst>
            <a:ext uri="{FF2B5EF4-FFF2-40B4-BE49-F238E27FC236}">
              <a16:creationId xmlns:a16="http://schemas.microsoft.com/office/drawing/2014/main" id="{00000000-0008-0000-0100-000029000000}"/>
            </a:ext>
          </a:extLst>
        </xdr:cNvPr>
        <xdr:cNvSpPr/>
      </xdr:nvSpPr>
      <xdr:spPr>
        <a:xfrm>
          <a:off x="1190625" y="104775"/>
          <a:ext cx="936000" cy="216000"/>
        </a:xfrm>
        <a:prstGeom prst="roundRect">
          <a:avLst/>
        </a:prstGeom>
        <a:solidFill>
          <a:schemeClr val="accent1">
            <a:lumMod val="50000"/>
          </a:schemeClr>
        </a:solidFill>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ES" sz="900" b="1"/>
            <a:t>CHARMS form</a:t>
          </a:r>
        </a:p>
      </xdr:txBody>
    </xdr:sp>
    <xdr:clientData/>
  </xdr:twoCellAnchor>
  <xdr:twoCellAnchor>
    <xdr:from>
      <xdr:col>3</xdr:col>
      <xdr:colOff>923925</xdr:colOff>
      <xdr:row>0</xdr:row>
      <xdr:rowOff>104775</xdr:rowOff>
    </xdr:from>
    <xdr:to>
      <xdr:col>4</xdr:col>
      <xdr:colOff>431175</xdr:colOff>
      <xdr:row>1</xdr:row>
      <xdr:rowOff>82650</xdr:rowOff>
    </xdr:to>
    <xdr:sp macro="" textlink="">
      <xdr:nvSpPr>
        <xdr:cNvPr id="42" name="Rectángulo: esquinas redondeadas 41">
          <a:hlinkClick xmlns:r="http://schemas.openxmlformats.org/officeDocument/2006/relationships" r:id="rId5"/>
          <a:extLst>
            <a:ext uri="{FF2B5EF4-FFF2-40B4-BE49-F238E27FC236}">
              <a16:creationId xmlns:a16="http://schemas.microsoft.com/office/drawing/2014/main" id="{00000000-0008-0000-0100-00002A000000}"/>
            </a:ext>
          </a:extLst>
        </xdr:cNvPr>
        <xdr:cNvSpPr/>
      </xdr:nvSpPr>
      <xdr:spPr>
        <a:xfrm>
          <a:off x="2238375" y="104775"/>
          <a:ext cx="936000" cy="216000"/>
        </a:xfrm>
        <a:prstGeom prst="roundRect">
          <a:avLst/>
        </a:prstGeom>
        <a:solidFill>
          <a:schemeClr val="accent1">
            <a:lumMod val="50000"/>
          </a:schemeClr>
        </a:solidFill>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ES" sz="900" b="1"/>
            <a:t>PROBAST form</a:t>
          </a:r>
        </a:p>
      </xdr:txBody>
    </xdr:sp>
    <xdr:clientData/>
  </xdr:twoCellAnchor>
  <xdr:twoCellAnchor>
    <xdr:from>
      <xdr:col>4</xdr:col>
      <xdr:colOff>552450</xdr:colOff>
      <xdr:row>0</xdr:row>
      <xdr:rowOff>104775</xdr:rowOff>
    </xdr:from>
    <xdr:to>
      <xdr:col>5</xdr:col>
      <xdr:colOff>533752</xdr:colOff>
      <xdr:row>1</xdr:row>
      <xdr:rowOff>82650</xdr:rowOff>
    </xdr:to>
    <xdr:sp macro="" textlink="">
      <xdr:nvSpPr>
        <xdr:cNvPr id="37" name="Rectángulo: esquinas redondeadas 36">
          <a:hlinkClick xmlns:r="http://schemas.openxmlformats.org/officeDocument/2006/relationships" r:id="rId6"/>
          <a:extLst>
            <a:ext uri="{FF2B5EF4-FFF2-40B4-BE49-F238E27FC236}">
              <a16:creationId xmlns:a16="http://schemas.microsoft.com/office/drawing/2014/main" id="{00000000-0008-0000-0100-000025000000}"/>
            </a:ext>
          </a:extLst>
        </xdr:cNvPr>
        <xdr:cNvSpPr/>
      </xdr:nvSpPr>
      <xdr:spPr>
        <a:xfrm>
          <a:off x="3295650" y="104775"/>
          <a:ext cx="933802" cy="216000"/>
        </a:xfrm>
        <a:prstGeom prst="roundRect">
          <a:avLst/>
        </a:prstGeom>
        <a:solidFill>
          <a:schemeClr val="accent6">
            <a:lumMod val="50000"/>
          </a:schemeClr>
        </a:solidFill>
        <a:ln>
          <a:solidFill>
            <a:schemeClr val="accent6">
              <a:lumMod val="50000"/>
            </a:schemeClr>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ES" sz="1100" b="1"/>
            <a:t>Table</a:t>
          </a:r>
          <a:r>
            <a:rPr lang="es-ES" sz="1100" b="1" baseline="0"/>
            <a:t> 1</a:t>
          </a:r>
          <a:endParaRPr lang="es-ES" sz="1100" b="1"/>
        </a:p>
      </xdr:txBody>
    </xdr:sp>
    <xdr:clientData/>
  </xdr:twoCellAnchor>
  <xdr:twoCellAnchor>
    <xdr:from>
      <xdr:col>5</xdr:col>
      <xdr:colOff>612164</xdr:colOff>
      <xdr:row>0</xdr:row>
      <xdr:rowOff>104775</xdr:rowOff>
    </xdr:from>
    <xdr:to>
      <xdr:col>5</xdr:col>
      <xdr:colOff>1548164</xdr:colOff>
      <xdr:row>1</xdr:row>
      <xdr:rowOff>82650</xdr:rowOff>
    </xdr:to>
    <xdr:sp macro="" textlink="">
      <xdr:nvSpPr>
        <xdr:cNvPr id="38" name="Rectángulo: esquinas redondeadas 37">
          <a:hlinkClick xmlns:r="http://schemas.openxmlformats.org/officeDocument/2006/relationships" r:id="rId7"/>
          <a:extLst>
            <a:ext uri="{FF2B5EF4-FFF2-40B4-BE49-F238E27FC236}">
              <a16:creationId xmlns:a16="http://schemas.microsoft.com/office/drawing/2014/main" id="{00000000-0008-0000-0100-000026000000}"/>
            </a:ext>
          </a:extLst>
        </xdr:cNvPr>
        <xdr:cNvSpPr/>
      </xdr:nvSpPr>
      <xdr:spPr>
        <a:xfrm>
          <a:off x="4307864" y="104775"/>
          <a:ext cx="936000" cy="216000"/>
        </a:xfrm>
        <a:prstGeom prst="roundRect">
          <a:avLst/>
        </a:prstGeom>
        <a:solidFill>
          <a:schemeClr val="accent6">
            <a:lumMod val="50000"/>
          </a:schemeClr>
        </a:solidFill>
        <a:ln>
          <a:solidFill>
            <a:schemeClr val="accent6">
              <a:lumMod val="50000"/>
            </a:schemeClr>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ES" sz="1100" b="1"/>
            <a:t>Table</a:t>
          </a:r>
          <a:r>
            <a:rPr lang="es-ES" sz="1100" b="1" baseline="0"/>
            <a:t> 2</a:t>
          </a:r>
          <a:endParaRPr lang="es-ES" sz="1100" b="1"/>
        </a:p>
      </xdr:txBody>
    </xdr:sp>
    <xdr:clientData/>
  </xdr:twoCellAnchor>
  <xdr:twoCellAnchor>
    <xdr:from>
      <xdr:col>5</xdr:col>
      <xdr:colOff>1626577</xdr:colOff>
      <xdr:row>0</xdr:row>
      <xdr:rowOff>104775</xdr:rowOff>
    </xdr:from>
    <xdr:to>
      <xdr:col>5</xdr:col>
      <xdr:colOff>2562577</xdr:colOff>
      <xdr:row>1</xdr:row>
      <xdr:rowOff>82650</xdr:rowOff>
    </xdr:to>
    <xdr:sp macro="" textlink="">
      <xdr:nvSpPr>
        <xdr:cNvPr id="40" name="Rectángulo: esquinas redondeadas 39">
          <a:hlinkClick xmlns:r="http://schemas.openxmlformats.org/officeDocument/2006/relationships" r:id="rId8"/>
          <a:extLst>
            <a:ext uri="{FF2B5EF4-FFF2-40B4-BE49-F238E27FC236}">
              <a16:creationId xmlns:a16="http://schemas.microsoft.com/office/drawing/2014/main" id="{00000000-0008-0000-0100-000028000000}"/>
            </a:ext>
          </a:extLst>
        </xdr:cNvPr>
        <xdr:cNvSpPr/>
      </xdr:nvSpPr>
      <xdr:spPr>
        <a:xfrm>
          <a:off x="5322277" y="104775"/>
          <a:ext cx="936000" cy="216000"/>
        </a:xfrm>
        <a:prstGeom prst="roundRect">
          <a:avLst/>
        </a:prstGeom>
        <a:solidFill>
          <a:schemeClr val="accent6">
            <a:lumMod val="50000"/>
          </a:schemeClr>
        </a:solidFill>
        <a:ln>
          <a:solidFill>
            <a:schemeClr val="accent6">
              <a:lumMod val="50000"/>
            </a:schemeClr>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ES" sz="1100" b="1"/>
            <a:t>Table</a:t>
          </a:r>
          <a:r>
            <a:rPr lang="es-ES" sz="1100" b="1" baseline="0"/>
            <a:t> 3</a:t>
          </a:r>
          <a:endParaRPr lang="es-ES" sz="1100" b="1"/>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152400</xdr:colOff>
      <xdr:row>0</xdr:row>
      <xdr:rowOff>104775</xdr:rowOff>
    </xdr:from>
    <xdr:to>
      <xdr:col>3</xdr:col>
      <xdr:colOff>88275</xdr:colOff>
      <xdr:row>1</xdr:row>
      <xdr:rowOff>130275</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00000000-0008-0000-0200-000002000000}"/>
            </a:ext>
          </a:extLst>
        </xdr:cNvPr>
        <xdr:cNvSpPr/>
      </xdr:nvSpPr>
      <xdr:spPr>
        <a:xfrm>
          <a:off x="152400" y="104775"/>
          <a:ext cx="936000" cy="216000"/>
        </a:xfrm>
        <a:prstGeom prst="roundRect">
          <a:avLst/>
        </a:prstGeom>
        <a:solidFill>
          <a:schemeClr val="tx1">
            <a:lumMod val="85000"/>
            <a:lumOff val="15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ES" sz="1100" b="1">
              <a:solidFill>
                <a:schemeClr val="bg1"/>
              </a:solidFill>
            </a:rPr>
            <a:t>Home</a:t>
          </a:r>
        </a:p>
      </xdr:txBody>
    </xdr:sp>
    <xdr:clientData/>
  </xdr:twoCellAnchor>
  <xdr:twoCellAnchor>
    <xdr:from>
      <xdr:col>3</xdr:col>
      <xdr:colOff>200025</xdr:colOff>
      <xdr:row>0</xdr:row>
      <xdr:rowOff>104775</xdr:rowOff>
    </xdr:from>
    <xdr:to>
      <xdr:col>3</xdr:col>
      <xdr:colOff>1136025</xdr:colOff>
      <xdr:row>1</xdr:row>
      <xdr:rowOff>130275</xdr:rowOff>
    </xdr:to>
    <xdr:sp macro="" textlink="">
      <xdr:nvSpPr>
        <xdr:cNvPr id="4" name="Rectángulo: esquinas redondeadas 3">
          <a:hlinkClick xmlns:r="http://schemas.openxmlformats.org/officeDocument/2006/relationships" r:id="rId2"/>
          <a:extLst>
            <a:ext uri="{FF2B5EF4-FFF2-40B4-BE49-F238E27FC236}">
              <a16:creationId xmlns:a16="http://schemas.microsoft.com/office/drawing/2014/main" id="{00000000-0008-0000-0200-000004000000}"/>
            </a:ext>
          </a:extLst>
        </xdr:cNvPr>
        <xdr:cNvSpPr/>
      </xdr:nvSpPr>
      <xdr:spPr>
        <a:xfrm>
          <a:off x="1200150" y="104775"/>
          <a:ext cx="936000" cy="216000"/>
        </a:xfrm>
        <a:prstGeom prst="roundRect">
          <a:avLst/>
        </a:prstGeom>
        <a:solidFill>
          <a:schemeClr val="tx1">
            <a:lumMod val="85000"/>
            <a:lumOff val="15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ES" sz="1100" b="1">
              <a:solidFill>
                <a:schemeClr val="bg1"/>
              </a:solidFill>
            </a:rPr>
            <a:t>Summary</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133350</xdr:colOff>
      <xdr:row>0</xdr:row>
      <xdr:rowOff>104775</xdr:rowOff>
    </xdr:from>
    <xdr:to>
      <xdr:col>0</xdr:col>
      <xdr:colOff>1069350</xdr:colOff>
      <xdr:row>1</xdr:row>
      <xdr:rowOff>130275</xdr:rowOff>
    </xdr:to>
    <xdr:sp macro="" textlink="">
      <xdr:nvSpPr>
        <xdr:cNvPr id="5" name="Rectángulo: esquinas redondeadas 4">
          <a:hlinkClick xmlns:r="http://schemas.openxmlformats.org/officeDocument/2006/relationships" r:id="rId1"/>
          <a:extLst>
            <a:ext uri="{FF2B5EF4-FFF2-40B4-BE49-F238E27FC236}">
              <a16:creationId xmlns:a16="http://schemas.microsoft.com/office/drawing/2014/main" id="{00000000-0008-0000-0300-000005000000}"/>
            </a:ext>
          </a:extLst>
        </xdr:cNvPr>
        <xdr:cNvSpPr/>
      </xdr:nvSpPr>
      <xdr:spPr>
        <a:xfrm>
          <a:off x="133350" y="104775"/>
          <a:ext cx="936000" cy="216000"/>
        </a:xfrm>
        <a:prstGeom prst="roundRect">
          <a:avLst/>
        </a:prstGeom>
        <a:solidFill>
          <a:schemeClr val="tx1">
            <a:lumMod val="85000"/>
            <a:lumOff val="15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ES" sz="1100" b="1">
              <a:solidFill>
                <a:schemeClr val="bg1"/>
              </a:solidFill>
            </a:rPr>
            <a:t>Home</a:t>
          </a:r>
        </a:p>
      </xdr:txBody>
    </xdr:sp>
    <xdr:clientData/>
  </xdr:twoCellAnchor>
  <xdr:twoCellAnchor>
    <xdr:from>
      <xdr:col>0</xdr:col>
      <xdr:colOff>1181100</xdr:colOff>
      <xdr:row>0</xdr:row>
      <xdr:rowOff>104775</xdr:rowOff>
    </xdr:from>
    <xdr:to>
      <xdr:col>0</xdr:col>
      <xdr:colOff>2117100</xdr:colOff>
      <xdr:row>1</xdr:row>
      <xdr:rowOff>130275</xdr:rowOff>
    </xdr:to>
    <xdr:sp macro="" textlink="">
      <xdr:nvSpPr>
        <xdr:cNvPr id="6" name="Rectángulo: esquinas redondeadas 5">
          <a:hlinkClick xmlns:r="http://schemas.openxmlformats.org/officeDocument/2006/relationships" r:id="rId2"/>
          <a:extLst>
            <a:ext uri="{FF2B5EF4-FFF2-40B4-BE49-F238E27FC236}">
              <a16:creationId xmlns:a16="http://schemas.microsoft.com/office/drawing/2014/main" id="{00000000-0008-0000-0300-000006000000}"/>
            </a:ext>
          </a:extLst>
        </xdr:cNvPr>
        <xdr:cNvSpPr/>
      </xdr:nvSpPr>
      <xdr:spPr>
        <a:xfrm>
          <a:off x="1181100" y="104775"/>
          <a:ext cx="936000" cy="216000"/>
        </a:xfrm>
        <a:prstGeom prst="roundRect">
          <a:avLst/>
        </a:prstGeom>
        <a:solidFill>
          <a:schemeClr val="tx1">
            <a:lumMod val="85000"/>
            <a:lumOff val="15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ES" sz="1100" b="1">
              <a:solidFill>
                <a:schemeClr val="bg1"/>
              </a:solidFill>
            </a:rPr>
            <a:t>Summary</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142875</xdr:colOff>
      <xdr:row>0</xdr:row>
      <xdr:rowOff>104775</xdr:rowOff>
    </xdr:from>
    <xdr:to>
      <xdr:col>1</xdr:col>
      <xdr:colOff>1078875</xdr:colOff>
      <xdr:row>1</xdr:row>
      <xdr:rowOff>130275</xdr:rowOff>
    </xdr:to>
    <xdr:sp macro="" textlink="">
      <xdr:nvSpPr>
        <xdr:cNvPr id="5" name="Rectángulo: esquinas redondeadas 4">
          <a:hlinkClick xmlns:r="http://schemas.openxmlformats.org/officeDocument/2006/relationships" r:id="rId1"/>
          <a:extLst>
            <a:ext uri="{FF2B5EF4-FFF2-40B4-BE49-F238E27FC236}">
              <a16:creationId xmlns:a16="http://schemas.microsoft.com/office/drawing/2014/main" id="{00000000-0008-0000-0400-000005000000}"/>
            </a:ext>
          </a:extLst>
        </xdr:cNvPr>
        <xdr:cNvSpPr/>
      </xdr:nvSpPr>
      <xdr:spPr>
        <a:xfrm>
          <a:off x="142875" y="104775"/>
          <a:ext cx="936000" cy="216000"/>
        </a:xfrm>
        <a:prstGeom prst="roundRect">
          <a:avLst/>
        </a:prstGeom>
        <a:solidFill>
          <a:schemeClr val="tx1">
            <a:lumMod val="85000"/>
            <a:lumOff val="15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ES" sz="1100" b="1">
              <a:solidFill>
                <a:schemeClr val="bg1"/>
              </a:solidFill>
            </a:rPr>
            <a:t>Home</a:t>
          </a:r>
        </a:p>
      </xdr:txBody>
    </xdr:sp>
    <xdr:clientData/>
  </xdr:twoCellAnchor>
  <xdr:twoCellAnchor>
    <xdr:from>
      <xdr:col>1</xdr:col>
      <xdr:colOff>1190625</xdr:colOff>
      <xdr:row>0</xdr:row>
      <xdr:rowOff>104775</xdr:rowOff>
    </xdr:from>
    <xdr:to>
      <xdr:col>2</xdr:col>
      <xdr:colOff>507375</xdr:colOff>
      <xdr:row>1</xdr:row>
      <xdr:rowOff>130275</xdr:rowOff>
    </xdr:to>
    <xdr:sp macro="" textlink="">
      <xdr:nvSpPr>
        <xdr:cNvPr id="6" name="Rectángulo: esquinas redondeadas 5">
          <a:hlinkClick xmlns:r="http://schemas.openxmlformats.org/officeDocument/2006/relationships" r:id="rId2"/>
          <a:extLst>
            <a:ext uri="{FF2B5EF4-FFF2-40B4-BE49-F238E27FC236}">
              <a16:creationId xmlns:a16="http://schemas.microsoft.com/office/drawing/2014/main" id="{00000000-0008-0000-0400-000006000000}"/>
            </a:ext>
          </a:extLst>
        </xdr:cNvPr>
        <xdr:cNvSpPr/>
      </xdr:nvSpPr>
      <xdr:spPr>
        <a:xfrm>
          <a:off x="1190625" y="104775"/>
          <a:ext cx="936000" cy="216000"/>
        </a:xfrm>
        <a:prstGeom prst="roundRect">
          <a:avLst/>
        </a:prstGeom>
        <a:solidFill>
          <a:schemeClr val="tx1">
            <a:lumMod val="85000"/>
            <a:lumOff val="15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ES" sz="1100" b="1">
              <a:solidFill>
                <a:schemeClr val="bg1"/>
              </a:solidFill>
            </a:rPr>
            <a:t>Summary</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xdr:col>
      <xdr:colOff>142875</xdr:colOff>
      <xdr:row>0</xdr:row>
      <xdr:rowOff>104775</xdr:rowOff>
    </xdr:from>
    <xdr:to>
      <xdr:col>1</xdr:col>
      <xdr:colOff>1078875</xdr:colOff>
      <xdr:row>1</xdr:row>
      <xdr:rowOff>130275</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00000000-0008-0000-0500-000002000000}"/>
            </a:ext>
          </a:extLst>
        </xdr:cNvPr>
        <xdr:cNvSpPr/>
      </xdr:nvSpPr>
      <xdr:spPr>
        <a:xfrm>
          <a:off x="142875" y="104775"/>
          <a:ext cx="936000" cy="216000"/>
        </a:xfrm>
        <a:prstGeom prst="roundRect">
          <a:avLst/>
        </a:prstGeom>
        <a:solidFill>
          <a:schemeClr val="tx1">
            <a:lumMod val="85000"/>
            <a:lumOff val="15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ES" sz="1100" b="1">
              <a:solidFill>
                <a:schemeClr val="bg1"/>
              </a:solidFill>
            </a:rPr>
            <a:t>Home</a:t>
          </a:r>
        </a:p>
      </xdr:txBody>
    </xdr:sp>
    <xdr:clientData/>
  </xdr:twoCellAnchor>
  <xdr:twoCellAnchor>
    <xdr:from>
      <xdr:col>1</xdr:col>
      <xdr:colOff>1190625</xdr:colOff>
      <xdr:row>0</xdr:row>
      <xdr:rowOff>104775</xdr:rowOff>
    </xdr:from>
    <xdr:to>
      <xdr:col>2</xdr:col>
      <xdr:colOff>412125</xdr:colOff>
      <xdr:row>1</xdr:row>
      <xdr:rowOff>130275</xdr:rowOff>
    </xdr:to>
    <xdr:sp macro="" textlink="">
      <xdr:nvSpPr>
        <xdr:cNvPr id="3" name="Rectángulo: esquinas redondeadas 2">
          <a:hlinkClick xmlns:r="http://schemas.openxmlformats.org/officeDocument/2006/relationships" r:id="rId2"/>
          <a:extLst>
            <a:ext uri="{FF2B5EF4-FFF2-40B4-BE49-F238E27FC236}">
              <a16:creationId xmlns:a16="http://schemas.microsoft.com/office/drawing/2014/main" id="{00000000-0008-0000-0500-000003000000}"/>
            </a:ext>
          </a:extLst>
        </xdr:cNvPr>
        <xdr:cNvSpPr/>
      </xdr:nvSpPr>
      <xdr:spPr>
        <a:xfrm>
          <a:off x="1190625" y="104775"/>
          <a:ext cx="936000" cy="216000"/>
        </a:xfrm>
        <a:prstGeom prst="roundRect">
          <a:avLst/>
        </a:prstGeom>
        <a:solidFill>
          <a:schemeClr val="tx1">
            <a:lumMod val="85000"/>
            <a:lumOff val="15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ES" sz="1100" b="1">
              <a:solidFill>
                <a:schemeClr val="bg1"/>
              </a:solidFill>
            </a:rPr>
            <a:t>Summary</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13</xdr:col>
      <xdr:colOff>0</xdr:colOff>
      <xdr:row>2</xdr:row>
      <xdr:rowOff>142875</xdr:rowOff>
    </xdr:from>
    <xdr:to>
      <xdr:col>20</xdr:col>
      <xdr:colOff>1</xdr:colOff>
      <xdr:row>27</xdr:row>
      <xdr:rowOff>161925</xdr:rowOff>
    </xdr:to>
    <xdr:grpSp>
      <xdr:nvGrpSpPr>
        <xdr:cNvPr id="2" name="Grupo 1">
          <a:extLst>
            <a:ext uri="{FF2B5EF4-FFF2-40B4-BE49-F238E27FC236}">
              <a16:creationId xmlns:a16="http://schemas.microsoft.com/office/drawing/2014/main" id="{00000000-0008-0000-0600-000002000000}"/>
            </a:ext>
          </a:extLst>
        </xdr:cNvPr>
        <xdr:cNvGrpSpPr/>
      </xdr:nvGrpSpPr>
      <xdr:grpSpPr>
        <a:xfrm>
          <a:off x="8227786" y="523875"/>
          <a:ext cx="6159501" cy="5552621"/>
          <a:chOff x="6762750" y="552450"/>
          <a:chExt cx="5334001" cy="5524500"/>
        </a:xfrm>
      </xdr:grpSpPr>
      <xdr:graphicFrame macro="">
        <xdr:nvGraphicFramePr>
          <xdr:cNvPr id="3" name="Gráfico 2">
            <a:extLst>
              <a:ext uri="{FF2B5EF4-FFF2-40B4-BE49-F238E27FC236}">
                <a16:creationId xmlns:a16="http://schemas.microsoft.com/office/drawing/2014/main" id="{00000000-0008-0000-0600-000003000000}"/>
              </a:ext>
            </a:extLst>
          </xdr:cNvPr>
          <xdr:cNvGraphicFramePr/>
        </xdr:nvGraphicFramePr>
        <xdr:xfrm>
          <a:off x="6762750" y="552450"/>
          <a:ext cx="5334000" cy="2857501"/>
        </xdr:xfrm>
        <a:graphic>
          <a:graphicData uri="http://schemas.openxmlformats.org/drawingml/2006/chart">
            <c:chart xmlns:c="http://schemas.openxmlformats.org/drawingml/2006/chart" xmlns:r="http://schemas.openxmlformats.org/officeDocument/2006/relationships" r:id="rId1"/>
          </a:graphicData>
        </a:graphic>
      </xdr:graphicFrame>
      <xdr:graphicFrame macro="">
        <xdr:nvGraphicFramePr>
          <xdr:cNvPr id="4" name="Gráfico 3">
            <a:extLst>
              <a:ext uri="{FF2B5EF4-FFF2-40B4-BE49-F238E27FC236}">
                <a16:creationId xmlns:a16="http://schemas.microsoft.com/office/drawing/2014/main" id="{00000000-0008-0000-0600-000004000000}"/>
              </a:ext>
            </a:extLst>
          </xdr:cNvPr>
          <xdr:cNvGraphicFramePr>
            <a:graphicFrameLocks/>
          </xdr:cNvGraphicFramePr>
        </xdr:nvGraphicFramePr>
        <xdr:xfrm>
          <a:off x="6762751" y="3600450"/>
          <a:ext cx="5334000" cy="2476500"/>
        </xdr:xfrm>
        <a:graphic>
          <a:graphicData uri="http://schemas.openxmlformats.org/drawingml/2006/chart">
            <c:chart xmlns:c="http://schemas.openxmlformats.org/drawingml/2006/chart" xmlns:r="http://schemas.openxmlformats.org/officeDocument/2006/relationships" r:id="rId2"/>
          </a:graphicData>
        </a:graphic>
      </xdr:graphicFrame>
    </xdr:grpSp>
    <xdr:clientData/>
  </xdr:twoCellAnchor>
  <xdr:twoCellAnchor>
    <xdr:from>
      <xdr:col>2</xdr:col>
      <xdr:colOff>0</xdr:colOff>
      <xdr:row>0</xdr:row>
      <xdr:rowOff>0</xdr:rowOff>
    </xdr:from>
    <xdr:to>
      <xdr:col>2</xdr:col>
      <xdr:colOff>0</xdr:colOff>
      <xdr:row>1</xdr:row>
      <xdr:rowOff>25500</xdr:rowOff>
    </xdr:to>
    <xdr:sp macro="" textlink="">
      <xdr:nvSpPr>
        <xdr:cNvPr id="6" name="Rectángulo: esquinas redondeadas 5">
          <a:hlinkClick xmlns:r="http://schemas.openxmlformats.org/officeDocument/2006/relationships" r:id="rId3"/>
          <a:extLst>
            <a:ext uri="{FF2B5EF4-FFF2-40B4-BE49-F238E27FC236}">
              <a16:creationId xmlns:a16="http://schemas.microsoft.com/office/drawing/2014/main" id="{00000000-0008-0000-0600-000006000000}"/>
            </a:ext>
          </a:extLst>
        </xdr:cNvPr>
        <xdr:cNvSpPr/>
      </xdr:nvSpPr>
      <xdr:spPr>
        <a:xfrm>
          <a:off x="1552575" y="0"/>
          <a:ext cx="1440000" cy="216000"/>
        </a:xfrm>
        <a:prstGeom prst="roundRect">
          <a:avLst/>
        </a:prstGeom>
        <a:solidFill>
          <a:schemeClr val="tx1">
            <a:lumMod val="85000"/>
            <a:lumOff val="15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ES" sz="1100" b="1">
              <a:solidFill>
                <a:schemeClr val="bg1"/>
              </a:solidFill>
            </a:rPr>
            <a:t>Resumen</a:t>
          </a:r>
        </a:p>
      </xdr:txBody>
    </xdr:sp>
    <xdr:clientData/>
  </xdr:twoCellAnchor>
  <xdr:twoCellAnchor>
    <xdr:from>
      <xdr:col>1</xdr:col>
      <xdr:colOff>142875</xdr:colOff>
      <xdr:row>0</xdr:row>
      <xdr:rowOff>104775</xdr:rowOff>
    </xdr:from>
    <xdr:to>
      <xdr:col>1</xdr:col>
      <xdr:colOff>1078875</xdr:colOff>
      <xdr:row>1</xdr:row>
      <xdr:rowOff>130275</xdr:rowOff>
    </xdr:to>
    <xdr:sp macro="" textlink="">
      <xdr:nvSpPr>
        <xdr:cNvPr id="9" name="Rectángulo: esquinas redondeadas 8">
          <a:hlinkClick xmlns:r="http://schemas.openxmlformats.org/officeDocument/2006/relationships" r:id="rId4"/>
          <a:extLst>
            <a:ext uri="{FF2B5EF4-FFF2-40B4-BE49-F238E27FC236}">
              <a16:creationId xmlns:a16="http://schemas.microsoft.com/office/drawing/2014/main" id="{00000000-0008-0000-0600-000009000000}"/>
            </a:ext>
          </a:extLst>
        </xdr:cNvPr>
        <xdr:cNvSpPr/>
      </xdr:nvSpPr>
      <xdr:spPr>
        <a:xfrm>
          <a:off x="142875" y="104775"/>
          <a:ext cx="936000" cy="216000"/>
        </a:xfrm>
        <a:prstGeom prst="roundRect">
          <a:avLst/>
        </a:prstGeom>
        <a:solidFill>
          <a:schemeClr val="tx1">
            <a:lumMod val="85000"/>
            <a:lumOff val="15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ES" sz="1100" b="1">
              <a:solidFill>
                <a:schemeClr val="bg1"/>
              </a:solidFill>
            </a:rPr>
            <a:t>Home</a:t>
          </a:r>
        </a:p>
      </xdr:txBody>
    </xdr:sp>
    <xdr:clientData/>
  </xdr:twoCellAnchor>
  <xdr:twoCellAnchor>
    <xdr:from>
      <xdr:col>1</xdr:col>
      <xdr:colOff>1190625</xdr:colOff>
      <xdr:row>0</xdr:row>
      <xdr:rowOff>104775</xdr:rowOff>
    </xdr:from>
    <xdr:to>
      <xdr:col>3</xdr:col>
      <xdr:colOff>412125</xdr:colOff>
      <xdr:row>1</xdr:row>
      <xdr:rowOff>130275</xdr:rowOff>
    </xdr:to>
    <xdr:sp macro="" textlink="">
      <xdr:nvSpPr>
        <xdr:cNvPr id="10" name="Rectángulo: esquinas redondeadas 9">
          <a:hlinkClick xmlns:r="http://schemas.openxmlformats.org/officeDocument/2006/relationships" r:id="rId5"/>
          <a:extLst>
            <a:ext uri="{FF2B5EF4-FFF2-40B4-BE49-F238E27FC236}">
              <a16:creationId xmlns:a16="http://schemas.microsoft.com/office/drawing/2014/main" id="{00000000-0008-0000-0600-00000A000000}"/>
            </a:ext>
          </a:extLst>
        </xdr:cNvPr>
        <xdr:cNvSpPr/>
      </xdr:nvSpPr>
      <xdr:spPr>
        <a:xfrm>
          <a:off x="1190625" y="104775"/>
          <a:ext cx="936000" cy="216000"/>
        </a:xfrm>
        <a:prstGeom prst="roundRect">
          <a:avLst/>
        </a:prstGeom>
        <a:solidFill>
          <a:schemeClr val="tx1">
            <a:lumMod val="85000"/>
            <a:lumOff val="15000"/>
          </a:schemeClr>
        </a:solidFill>
        <a:ln>
          <a:solidFill>
            <a:sysClr val="windowText" lastClr="000000"/>
          </a:solidFill>
        </a:ln>
        <a:scene3d>
          <a:camera prst="orthographicFront"/>
          <a:lightRig rig="threePt" dir="t"/>
        </a:scene3d>
        <a:sp3d>
          <a:bevelT w="165100" prst="coolSlan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ES" sz="1100" b="1">
              <a:solidFill>
                <a:schemeClr val="bg1"/>
              </a:solidFill>
            </a:rPr>
            <a:t>Summary</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2" Type="http://schemas.openxmlformats.org/officeDocument/2006/relationships/drawing" Target="../drawings/drawing2.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8" Type="http://schemas.openxmlformats.org/officeDocument/2006/relationships/ctrlProp" Target="../ctrlProps/ctrlProp5.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2">
    <tabColor theme="1"/>
  </sheetPr>
  <dimension ref="A1:L60"/>
  <sheetViews>
    <sheetView zoomScaleNormal="100" workbookViewId="0">
      <selection activeCell="A2" sqref="A2:L2"/>
    </sheetView>
  </sheetViews>
  <sheetFormatPr baseColWidth="10" defaultColWidth="11.5" defaultRowHeight="15" x14ac:dyDescent="0.2"/>
  <cols>
    <col min="1" max="1" width="2.6640625" style="3" customWidth="1"/>
    <col min="2" max="7" width="17.6640625" style="3" customWidth="1"/>
    <col min="8" max="8" width="0.5" style="3" customWidth="1"/>
    <col min="9" max="12" width="17.6640625" style="3" customWidth="1"/>
    <col min="13" max="16384" width="11.5" style="3"/>
  </cols>
  <sheetData>
    <row r="1" spans="1:12" ht="14.5" customHeight="1" x14ac:dyDescent="0.2">
      <c r="A1" s="238"/>
      <c r="B1" s="239"/>
      <c r="C1" s="239"/>
      <c r="D1" s="239"/>
      <c r="E1" s="239"/>
      <c r="F1" s="239"/>
      <c r="G1" s="239"/>
      <c r="H1" s="239"/>
      <c r="I1" s="239"/>
      <c r="J1" s="239"/>
      <c r="K1" s="239"/>
      <c r="L1" s="240"/>
    </row>
    <row r="2" spans="1:12" ht="30" customHeight="1" x14ac:dyDescent="0.2">
      <c r="A2" s="235" t="s">
        <v>0</v>
      </c>
      <c r="B2" s="236"/>
      <c r="C2" s="236"/>
      <c r="D2" s="236"/>
      <c r="E2" s="236"/>
      <c r="F2" s="236"/>
      <c r="G2" s="236"/>
      <c r="H2" s="236"/>
      <c r="I2" s="236"/>
      <c r="J2" s="236"/>
      <c r="K2" s="236"/>
      <c r="L2" s="237"/>
    </row>
    <row r="3" spans="1:12" ht="14.5" customHeight="1" thickBot="1" x14ac:dyDescent="0.25">
      <c r="A3" s="12"/>
      <c r="B3" s="193"/>
      <c r="C3" s="193"/>
      <c r="D3" s="10"/>
      <c r="E3" s="10"/>
      <c r="F3" s="10"/>
      <c r="G3" s="10"/>
      <c r="I3" s="10"/>
      <c r="J3" s="10"/>
      <c r="K3" s="10"/>
      <c r="L3" s="10"/>
    </row>
    <row r="4" spans="1:12" ht="24" customHeight="1" x14ac:dyDescent="0.2">
      <c r="A4" s="194"/>
      <c r="B4" s="241" t="s">
        <v>1</v>
      </c>
      <c r="C4" s="242"/>
      <c r="D4" s="242"/>
      <c r="E4" s="242"/>
      <c r="F4" s="242"/>
      <c r="G4" s="243"/>
      <c r="H4" s="195"/>
      <c r="I4" s="244"/>
      <c r="J4" s="245"/>
      <c r="K4" s="250"/>
      <c r="L4" s="251"/>
    </row>
    <row r="5" spans="1:12" ht="15" customHeight="1" x14ac:dyDescent="0.25">
      <c r="A5" s="196"/>
      <c r="B5" s="256" t="s">
        <v>2</v>
      </c>
      <c r="C5" s="257"/>
      <c r="D5" s="257"/>
      <c r="E5" s="257"/>
      <c r="F5" s="257"/>
      <c r="G5" s="258"/>
      <c r="H5" s="195"/>
      <c r="I5" s="246"/>
      <c r="J5" s="247"/>
      <c r="K5" s="252"/>
      <c r="L5" s="253"/>
    </row>
    <row r="6" spans="1:12" ht="15" customHeight="1" x14ac:dyDescent="0.2">
      <c r="A6" s="194"/>
      <c r="B6" s="256"/>
      <c r="C6" s="257"/>
      <c r="D6" s="257"/>
      <c r="E6" s="257"/>
      <c r="F6" s="257"/>
      <c r="G6" s="258"/>
      <c r="H6" s="195"/>
      <c r="I6" s="246"/>
      <c r="J6" s="247"/>
      <c r="K6" s="252"/>
      <c r="L6" s="253"/>
    </row>
    <row r="7" spans="1:12" ht="15" customHeight="1" thickBot="1" x14ac:dyDescent="0.25">
      <c r="A7" s="197"/>
      <c r="B7" s="256"/>
      <c r="C7" s="257"/>
      <c r="D7" s="257"/>
      <c r="E7" s="257"/>
      <c r="F7" s="257"/>
      <c r="G7" s="258"/>
      <c r="H7" s="195"/>
      <c r="I7" s="248"/>
      <c r="J7" s="249"/>
      <c r="K7" s="254"/>
      <c r="L7" s="255"/>
    </row>
    <row r="8" spans="1:12" ht="15" customHeight="1" thickBot="1" x14ac:dyDescent="0.25">
      <c r="A8" s="198"/>
      <c r="B8" s="259"/>
      <c r="C8" s="260"/>
      <c r="D8" s="260"/>
      <c r="E8" s="260"/>
      <c r="F8" s="260"/>
      <c r="G8" s="261"/>
      <c r="H8" s="195"/>
      <c r="I8" s="262" t="s">
        <v>3</v>
      </c>
      <c r="J8" s="263"/>
      <c r="K8" s="263"/>
      <c r="L8" s="264"/>
    </row>
    <row r="9" spans="1:12" ht="3" customHeight="1" thickBot="1" x14ac:dyDescent="0.25">
      <c r="A9" s="15"/>
      <c r="B9" s="11"/>
      <c r="C9" s="199"/>
      <c r="D9" s="11"/>
      <c r="E9" s="11"/>
      <c r="F9" s="11"/>
      <c r="G9" s="11"/>
      <c r="H9" s="200"/>
      <c r="I9" s="262"/>
      <c r="J9" s="263"/>
      <c r="K9" s="263"/>
      <c r="L9" s="264"/>
    </row>
    <row r="10" spans="1:12" ht="24" customHeight="1" x14ac:dyDescent="0.2">
      <c r="A10" s="15"/>
      <c r="B10" s="241" t="s">
        <v>4</v>
      </c>
      <c r="C10" s="242"/>
      <c r="D10" s="242"/>
      <c r="E10" s="242"/>
      <c r="F10" s="242"/>
      <c r="G10" s="243"/>
      <c r="H10" s="197"/>
      <c r="I10" s="262"/>
      <c r="J10" s="263"/>
      <c r="K10" s="263"/>
      <c r="L10" s="264"/>
    </row>
    <row r="11" spans="1:12" ht="15" customHeight="1" x14ac:dyDescent="0.2">
      <c r="A11" s="198"/>
      <c r="B11" s="268" t="s">
        <v>286</v>
      </c>
      <c r="C11" s="269"/>
      <c r="D11" s="269"/>
      <c r="E11" s="269"/>
      <c r="F11" s="269"/>
      <c r="G11" s="270"/>
      <c r="H11" s="201"/>
      <c r="I11" s="262"/>
      <c r="J11" s="263"/>
      <c r="K11" s="263"/>
      <c r="L11" s="264"/>
    </row>
    <row r="12" spans="1:12" ht="15" customHeight="1" x14ac:dyDescent="0.2">
      <c r="A12" s="198"/>
      <c r="B12" s="268"/>
      <c r="C12" s="269"/>
      <c r="D12" s="269"/>
      <c r="E12" s="269"/>
      <c r="F12" s="269"/>
      <c r="G12" s="270"/>
      <c r="H12" s="195"/>
      <c r="I12" s="262"/>
      <c r="J12" s="263"/>
      <c r="K12" s="263"/>
      <c r="L12" s="264"/>
    </row>
    <row r="13" spans="1:12" ht="15" customHeight="1" x14ac:dyDescent="0.2">
      <c r="A13" s="197"/>
      <c r="B13" s="268"/>
      <c r="C13" s="269"/>
      <c r="D13" s="269"/>
      <c r="E13" s="269"/>
      <c r="F13" s="269"/>
      <c r="G13" s="270"/>
      <c r="H13" s="195"/>
      <c r="I13" s="262"/>
      <c r="J13" s="263"/>
      <c r="K13" s="263"/>
      <c r="L13" s="264"/>
    </row>
    <row r="14" spans="1:12" ht="15" customHeight="1" x14ac:dyDescent="0.2">
      <c r="A14" s="198"/>
      <c r="B14" s="268"/>
      <c r="C14" s="269"/>
      <c r="D14" s="269"/>
      <c r="E14" s="269"/>
      <c r="F14" s="269"/>
      <c r="G14" s="270"/>
      <c r="H14" s="201"/>
      <c r="I14" s="262"/>
      <c r="J14" s="263"/>
      <c r="K14" s="263"/>
      <c r="L14" s="264"/>
    </row>
    <row r="15" spans="1:12" ht="15" customHeight="1" x14ac:dyDescent="0.2">
      <c r="A15" s="198"/>
      <c r="B15" s="268"/>
      <c r="C15" s="269"/>
      <c r="D15" s="269"/>
      <c r="E15" s="269"/>
      <c r="F15" s="269"/>
      <c r="G15" s="270"/>
      <c r="H15" s="202"/>
      <c r="I15" s="262"/>
      <c r="J15" s="263"/>
      <c r="K15" s="263"/>
      <c r="L15" s="264"/>
    </row>
    <row r="16" spans="1:12" ht="15" customHeight="1" x14ac:dyDescent="0.2">
      <c r="A16" s="198"/>
      <c r="B16" s="268"/>
      <c r="C16" s="269"/>
      <c r="D16" s="269"/>
      <c r="E16" s="269"/>
      <c r="F16" s="269"/>
      <c r="G16" s="270"/>
      <c r="H16" s="195"/>
      <c r="I16" s="262"/>
      <c r="J16" s="263"/>
      <c r="K16" s="263"/>
      <c r="L16" s="264"/>
    </row>
    <row r="17" spans="1:12" ht="15" customHeight="1" thickBot="1" x14ac:dyDescent="0.25">
      <c r="A17" s="197"/>
      <c r="B17" s="271"/>
      <c r="C17" s="272"/>
      <c r="D17" s="272"/>
      <c r="E17" s="272"/>
      <c r="F17" s="272"/>
      <c r="G17" s="273"/>
      <c r="H17" s="195"/>
      <c r="I17" s="265"/>
      <c r="J17" s="266"/>
      <c r="K17" s="266"/>
      <c r="L17" s="267"/>
    </row>
    <row r="18" spans="1:12" ht="3" customHeight="1" thickBot="1" x14ac:dyDescent="0.25">
      <c r="B18" s="203"/>
      <c r="C18" s="204"/>
      <c r="D18" s="203"/>
      <c r="E18" s="203"/>
      <c r="F18" s="203"/>
      <c r="G18" s="203"/>
      <c r="H18" s="10"/>
      <c r="I18" s="203"/>
      <c r="J18" s="203"/>
      <c r="K18" s="203"/>
      <c r="L18" s="203"/>
    </row>
    <row r="19" spans="1:12" ht="24" customHeight="1" x14ac:dyDescent="0.2">
      <c r="B19" s="220" t="s">
        <v>5</v>
      </c>
      <c r="C19" s="221"/>
      <c r="D19" s="221"/>
      <c r="E19" s="221"/>
      <c r="F19" s="221"/>
      <c r="G19" s="221"/>
      <c r="H19" s="221"/>
      <c r="I19" s="221"/>
      <c r="J19" s="221"/>
      <c r="K19" s="221"/>
      <c r="L19" s="222"/>
    </row>
    <row r="20" spans="1:12" ht="15" customHeight="1" x14ac:dyDescent="0.2">
      <c r="A20" s="197"/>
      <c r="B20" s="211" t="s">
        <v>6</v>
      </c>
      <c r="C20" s="223"/>
      <c r="D20" s="223"/>
      <c r="E20" s="223"/>
      <c r="F20" s="223"/>
      <c r="G20" s="223"/>
      <c r="H20" s="223"/>
      <c r="I20" s="223"/>
      <c r="J20" s="223"/>
      <c r="K20" s="223"/>
      <c r="L20" s="224"/>
    </row>
    <row r="21" spans="1:12" ht="15" customHeight="1" x14ac:dyDescent="0.2">
      <c r="A21" s="197"/>
      <c r="B21" s="225"/>
      <c r="C21" s="223"/>
      <c r="D21" s="223"/>
      <c r="E21" s="223"/>
      <c r="F21" s="223"/>
      <c r="G21" s="223"/>
      <c r="H21" s="223"/>
      <c r="I21" s="223"/>
      <c r="J21" s="223"/>
      <c r="K21" s="223"/>
      <c r="L21" s="224"/>
    </row>
    <row r="22" spans="1:12" ht="15" customHeight="1" x14ac:dyDescent="0.2">
      <c r="A22" s="197"/>
      <c r="B22" s="225"/>
      <c r="C22" s="223"/>
      <c r="D22" s="223"/>
      <c r="E22" s="223"/>
      <c r="F22" s="223"/>
      <c r="G22" s="223"/>
      <c r="H22" s="223"/>
      <c r="I22" s="223"/>
      <c r="J22" s="223"/>
      <c r="K22" s="223"/>
      <c r="L22" s="224"/>
    </row>
    <row r="23" spans="1:12" ht="24" customHeight="1" x14ac:dyDescent="0.2">
      <c r="A23" s="194"/>
      <c r="B23" s="226"/>
      <c r="C23" s="227"/>
      <c r="D23" s="227"/>
      <c r="E23" s="227"/>
      <c r="F23" s="227"/>
      <c r="G23" s="227"/>
      <c r="H23" s="227"/>
      <c r="I23" s="227"/>
      <c r="J23" s="227"/>
      <c r="K23" s="227"/>
      <c r="L23" s="228"/>
    </row>
    <row r="24" spans="1:12" ht="15" customHeight="1" x14ac:dyDescent="0.2">
      <c r="A24" s="194"/>
      <c r="B24" s="229" t="s">
        <v>7</v>
      </c>
      <c r="C24" s="230"/>
      <c r="D24" s="230"/>
      <c r="E24" s="230"/>
      <c r="F24" s="230"/>
      <c r="G24" s="230"/>
      <c r="H24" s="230"/>
      <c r="I24" s="230"/>
      <c r="J24" s="230"/>
      <c r="K24" s="230"/>
      <c r="L24" s="231"/>
    </row>
    <row r="25" spans="1:12" ht="15" customHeight="1" x14ac:dyDescent="0.2">
      <c r="A25" s="194"/>
      <c r="B25" s="229"/>
      <c r="C25" s="230"/>
      <c r="D25" s="230"/>
      <c r="E25" s="230"/>
      <c r="F25" s="230"/>
      <c r="G25" s="230"/>
      <c r="H25" s="230"/>
      <c r="I25" s="230"/>
      <c r="J25" s="230"/>
      <c r="K25" s="230"/>
      <c r="L25" s="231"/>
    </row>
    <row r="26" spans="1:12" ht="15" customHeight="1" x14ac:dyDescent="0.2">
      <c r="A26" s="194"/>
      <c r="B26" s="229"/>
      <c r="C26" s="230"/>
      <c r="D26" s="230"/>
      <c r="E26" s="230"/>
      <c r="F26" s="230"/>
      <c r="G26" s="230"/>
      <c r="H26" s="230"/>
      <c r="I26" s="230"/>
      <c r="J26" s="230"/>
      <c r="K26" s="230"/>
      <c r="L26" s="231"/>
    </row>
    <row r="27" spans="1:12" ht="15" customHeight="1" x14ac:dyDescent="0.2">
      <c r="A27" s="194"/>
      <c r="B27" s="229"/>
      <c r="C27" s="230"/>
      <c r="D27" s="230"/>
      <c r="E27" s="230"/>
      <c r="F27" s="230"/>
      <c r="G27" s="230"/>
      <c r="H27" s="230"/>
      <c r="I27" s="230"/>
      <c r="J27" s="230"/>
      <c r="K27" s="230"/>
      <c r="L27" s="231"/>
    </row>
    <row r="28" spans="1:12" ht="15" customHeight="1" x14ac:dyDescent="0.2">
      <c r="A28" s="194"/>
      <c r="B28" s="229"/>
      <c r="C28" s="230"/>
      <c r="D28" s="230"/>
      <c r="E28" s="230"/>
      <c r="F28" s="230"/>
      <c r="G28" s="230"/>
      <c r="H28" s="230"/>
      <c r="I28" s="230"/>
      <c r="J28" s="230"/>
      <c r="K28" s="230"/>
      <c r="L28" s="231"/>
    </row>
    <row r="29" spans="1:12" ht="24" customHeight="1" x14ac:dyDescent="0.2">
      <c r="A29" s="194"/>
      <c r="B29" s="232"/>
      <c r="C29" s="233"/>
      <c r="D29" s="233"/>
      <c r="E29" s="233"/>
      <c r="F29" s="233"/>
      <c r="G29" s="233"/>
      <c r="H29" s="233"/>
      <c r="I29" s="233"/>
      <c r="J29" s="233"/>
      <c r="K29" s="233"/>
      <c r="L29" s="234"/>
    </row>
    <row r="30" spans="1:12" ht="15" customHeight="1" x14ac:dyDescent="0.2">
      <c r="A30" s="194"/>
      <c r="B30" s="211" t="s">
        <v>8</v>
      </c>
      <c r="C30" s="212"/>
      <c r="D30" s="212"/>
      <c r="E30" s="212"/>
      <c r="F30" s="212"/>
      <c r="G30" s="212"/>
      <c r="H30" s="212"/>
      <c r="I30" s="212"/>
      <c r="J30" s="212"/>
      <c r="K30" s="212"/>
      <c r="L30" s="213"/>
    </row>
    <row r="31" spans="1:12" ht="15" customHeight="1" x14ac:dyDescent="0.2">
      <c r="A31" s="194"/>
      <c r="B31" s="211"/>
      <c r="C31" s="212"/>
      <c r="D31" s="212"/>
      <c r="E31" s="212"/>
      <c r="F31" s="212"/>
      <c r="G31" s="212"/>
      <c r="H31" s="212"/>
      <c r="I31" s="212"/>
      <c r="J31" s="212"/>
      <c r="K31" s="212"/>
      <c r="L31" s="213"/>
    </row>
    <row r="32" spans="1:12" ht="15" customHeight="1" x14ac:dyDescent="0.2">
      <c r="A32" s="194"/>
      <c r="B32" s="211"/>
      <c r="C32" s="212"/>
      <c r="D32" s="212"/>
      <c r="E32" s="212"/>
      <c r="F32" s="212"/>
      <c r="G32" s="212"/>
      <c r="H32" s="212"/>
      <c r="I32" s="212"/>
      <c r="J32" s="212"/>
      <c r="K32" s="212"/>
      <c r="L32" s="213"/>
    </row>
    <row r="33" spans="1:12" ht="15" customHeight="1" x14ac:dyDescent="0.2">
      <c r="A33" s="194"/>
      <c r="B33" s="211"/>
      <c r="C33" s="212"/>
      <c r="D33" s="212"/>
      <c r="E33" s="212"/>
      <c r="F33" s="212"/>
      <c r="G33" s="212"/>
      <c r="H33" s="212"/>
      <c r="I33" s="212"/>
      <c r="J33" s="212"/>
      <c r="K33" s="212"/>
      <c r="L33" s="213"/>
    </row>
    <row r="34" spans="1:12" ht="15" customHeight="1" x14ac:dyDescent="0.2">
      <c r="A34" s="194"/>
      <c r="B34" s="211"/>
      <c r="C34" s="212"/>
      <c r="D34" s="212"/>
      <c r="E34" s="212"/>
      <c r="F34" s="212"/>
      <c r="G34" s="212"/>
      <c r="H34" s="212"/>
      <c r="I34" s="212"/>
      <c r="J34" s="212"/>
      <c r="K34" s="212"/>
      <c r="L34" s="213"/>
    </row>
    <row r="35" spans="1:12" ht="15" customHeight="1" x14ac:dyDescent="0.2">
      <c r="A35" s="194"/>
      <c r="B35" s="211"/>
      <c r="C35" s="212"/>
      <c r="D35" s="212"/>
      <c r="E35" s="212"/>
      <c r="F35" s="212"/>
      <c r="G35" s="212"/>
      <c r="H35" s="212"/>
      <c r="I35" s="212"/>
      <c r="J35" s="212"/>
      <c r="K35" s="212"/>
      <c r="L35" s="213"/>
    </row>
    <row r="36" spans="1:12" ht="15" customHeight="1" x14ac:dyDescent="0.2">
      <c r="A36" s="194"/>
      <c r="B36" s="211"/>
      <c r="C36" s="212"/>
      <c r="D36" s="212"/>
      <c r="E36" s="212"/>
      <c r="F36" s="212"/>
      <c r="G36" s="212"/>
      <c r="H36" s="212"/>
      <c r="I36" s="212"/>
      <c r="J36" s="212"/>
      <c r="K36" s="212"/>
      <c r="L36" s="213"/>
    </row>
    <row r="37" spans="1:12" ht="24" customHeight="1" x14ac:dyDescent="0.2">
      <c r="A37" s="194"/>
      <c r="B37" s="214"/>
      <c r="C37" s="215"/>
      <c r="D37" s="215"/>
      <c r="E37" s="215"/>
      <c r="F37" s="215"/>
      <c r="G37" s="215"/>
      <c r="H37" s="215"/>
      <c r="I37" s="215"/>
      <c r="J37" s="215"/>
      <c r="K37" s="215"/>
      <c r="L37" s="216"/>
    </row>
    <row r="38" spans="1:12" ht="15" customHeight="1" x14ac:dyDescent="0.2">
      <c r="A38" s="194"/>
      <c r="B38" s="211" t="s">
        <v>285</v>
      </c>
      <c r="C38" s="212"/>
      <c r="D38" s="212"/>
      <c r="E38" s="212"/>
      <c r="F38" s="212"/>
      <c r="G38" s="212"/>
      <c r="H38" s="212"/>
      <c r="I38" s="212"/>
      <c r="J38" s="212"/>
      <c r="K38" s="212"/>
      <c r="L38" s="213"/>
    </row>
    <row r="39" spans="1:12" ht="15" customHeight="1" x14ac:dyDescent="0.2">
      <c r="A39" s="194"/>
      <c r="B39" s="211"/>
      <c r="C39" s="212"/>
      <c r="D39" s="212"/>
      <c r="E39" s="212"/>
      <c r="F39" s="212"/>
      <c r="G39" s="212"/>
      <c r="H39" s="212"/>
      <c r="I39" s="212"/>
      <c r="J39" s="212"/>
      <c r="K39" s="212"/>
      <c r="L39" s="213"/>
    </row>
    <row r="40" spans="1:12" ht="15" customHeight="1" x14ac:dyDescent="0.2">
      <c r="A40" s="205"/>
      <c r="B40" s="211"/>
      <c r="C40" s="212"/>
      <c r="D40" s="212"/>
      <c r="E40" s="212"/>
      <c r="F40" s="212"/>
      <c r="G40" s="212"/>
      <c r="H40" s="212"/>
      <c r="I40" s="212"/>
      <c r="J40" s="212"/>
      <c r="K40" s="212"/>
      <c r="L40" s="213"/>
    </row>
    <row r="41" spans="1:12" ht="15" customHeight="1" x14ac:dyDescent="0.2">
      <c r="A41" s="194"/>
      <c r="B41" s="211"/>
      <c r="C41" s="212"/>
      <c r="D41" s="212"/>
      <c r="E41" s="212"/>
      <c r="F41" s="212"/>
      <c r="G41" s="212"/>
      <c r="H41" s="212"/>
      <c r="I41" s="212"/>
      <c r="J41" s="212"/>
      <c r="K41" s="212"/>
      <c r="L41" s="213"/>
    </row>
    <row r="42" spans="1:12" ht="15" customHeight="1" x14ac:dyDescent="0.2">
      <c r="A42" s="194"/>
      <c r="B42" s="211"/>
      <c r="C42" s="212"/>
      <c r="D42" s="212"/>
      <c r="E42" s="212"/>
      <c r="F42" s="212"/>
      <c r="G42" s="212"/>
      <c r="H42" s="212"/>
      <c r="I42" s="212"/>
      <c r="J42" s="212"/>
      <c r="K42" s="212"/>
      <c r="L42" s="213"/>
    </row>
    <row r="43" spans="1:12" s="4" customFormat="1" ht="15" customHeight="1" x14ac:dyDescent="0.2">
      <c r="A43" s="205"/>
      <c r="B43" s="211"/>
      <c r="C43" s="212"/>
      <c r="D43" s="212"/>
      <c r="E43" s="212"/>
      <c r="F43" s="212"/>
      <c r="G43" s="212"/>
      <c r="H43" s="212"/>
      <c r="I43" s="212"/>
      <c r="J43" s="212"/>
      <c r="K43" s="212"/>
      <c r="L43" s="213"/>
    </row>
    <row r="44" spans="1:12" ht="15" customHeight="1" x14ac:dyDescent="0.2">
      <c r="A44" s="197"/>
      <c r="B44" s="211"/>
      <c r="C44" s="212"/>
      <c r="D44" s="212"/>
      <c r="E44" s="212"/>
      <c r="F44" s="212"/>
      <c r="G44" s="212"/>
      <c r="H44" s="212"/>
      <c r="I44" s="212"/>
      <c r="J44" s="212"/>
      <c r="K44" s="212"/>
      <c r="L44" s="213"/>
    </row>
    <row r="45" spans="1:12" ht="15" customHeight="1" x14ac:dyDescent="0.2">
      <c r="A45" s="197"/>
      <c r="B45" s="211"/>
      <c r="C45" s="212"/>
      <c r="D45" s="212"/>
      <c r="E45" s="212"/>
      <c r="F45" s="212"/>
      <c r="G45" s="212"/>
      <c r="H45" s="212"/>
      <c r="I45" s="212"/>
      <c r="J45" s="212"/>
      <c r="K45" s="212"/>
      <c r="L45" s="213"/>
    </row>
    <row r="46" spans="1:12" ht="15" customHeight="1" x14ac:dyDescent="0.2">
      <c r="A46" s="197"/>
      <c r="B46" s="211"/>
      <c r="C46" s="212"/>
      <c r="D46" s="212"/>
      <c r="E46" s="212"/>
      <c r="F46" s="212"/>
      <c r="G46" s="212"/>
      <c r="H46" s="212"/>
      <c r="I46" s="212"/>
      <c r="J46" s="212"/>
      <c r="K46" s="212"/>
      <c r="L46" s="213"/>
    </row>
    <row r="47" spans="1:12" ht="24" customHeight="1" thickBot="1" x14ac:dyDescent="0.25">
      <c r="A47" s="197"/>
      <c r="B47" s="217"/>
      <c r="C47" s="218"/>
      <c r="D47" s="218"/>
      <c r="E47" s="218"/>
      <c r="F47" s="218"/>
      <c r="G47" s="218"/>
      <c r="H47" s="218"/>
      <c r="I47" s="218"/>
      <c r="J47" s="218"/>
      <c r="K47" s="218"/>
      <c r="L47" s="219"/>
    </row>
    <row r="48" spans="1:12" ht="15" customHeight="1" x14ac:dyDescent="0.2">
      <c r="B48" s="11"/>
      <c r="C48" s="11"/>
      <c r="D48" s="11"/>
      <c r="E48" s="11"/>
      <c r="F48" s="11"/>
      <c r="G48" s="11"/>
      <c r="H48" s="11"/>
      <c r="I48" s="11"/>
      <c r="J48" s="11"/>
      <c r="K48" s="11"/>
      <c r="L48" s="11"/>
    </row>
    <row r="49" spans="1:5" ht="15" customHeight="1" x14ac:dyDescent="0.2"/>
    <row r="50" spans="1:5" ht="15" customHeight="1" x14ac:dyDescent="0.2"/>
    <row r="51" spans="1:5" ht="15" customHeight="1" x14ac:dyDescent="0.2"/>
    <row r="52" spans="1:5" ht="15" customHeight="1" x14ac:dyDescent="0.2"/>
    <row r="53" spans="1:5" ht="15" customHeight="1" x14ac:dyDescent="0.2"/>
    <row r="54" spans="1:5" ht="15" customHeight="1" x14ac:dyDescent="0.2"/>
    <row r="55" spans="1:5" ht="15" customHeight="1" x14ac:dyDescent="0.2"/>
    <row r="56" spans="1:5" ht="15" customHeight="1" x14ac:dyDescent="0.2"/>
    <row r="57" spans="1:5" ht="15" customHeight="1" x14ac:dyDescent="0.2"/>
    <row r="58" spans="1:5" ht="15" customHeight="1" x14ac:dyDescent="0.2"/>
    <row r="59" spans="1:5" ht="15" customHeight="1" x14ac:dyDescent="0.2"/>
    <row r="60" spans="1:5" x14ac:dyDescent="0.2">
      <c r="A60" s="11"/>
      <c r="B60" s="11"/>
      <c r="C60" s="11"/>
      <c r="D60" s="11"/>
      <c r="E60" s="11"/>
    </row>
  </sheetData>
  <sheetProtection selectLockedCells="1" selectUnlockedCells="1"/>
  <mergeCells count="18">
    <mergeCell ref="A2:L2"/>
    <mergeCell ref="A1:L1"/>
    <mergeCell ref="B4:G4"/>
    <mergeCell ref="I4:J7"/>
    <mergeCell ref="K4:L7"/>
    <mergeCell ref="B5:G8"/>
    <mergeCell ref="I8:L17"/>
    <mergeCell ref="B10:G10"/>
    <mergeCell ref="B11:G17"/>
    <mergeCell ref="B30:L36"/>
    <mergeCell ref="B37:L37"/>
    <mergeCell ref="B38:L46"/>
    <mergeCell ref="B47:L47"/>
    <mergeCell ref="B19:L19"/>
    <mergeCell ref="B20:L22"/>
    <mergeCell ref="B23:L23"/>
    <mergeCell ref="B24:L28"/>
    <mergeCell ref="B29:L29"/>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635FD1-5C3B-4D16-8FDE-AA786208D457}">
  <sheetPr codeName="Hoja3">
    <tabColor theme="1"/>
  </sheetPr>
  <dimension ref="B1:K36"/>
  <sheetViews>
    <sheetView showGridLines="0" topLeftCell="D1" zoomScale="170" zoomScaleNormal="170" workbookViewId="0">
      <selection activeCell="F17" sqref="F17"/>
    </sheetView>
  </sheetViews>
  <sheetFormatPr baseColWidth="10" defaultColWidth="11.5" defaultRowHeight="15" x14ac:dyDescent="0.2"/>
  <cols>
    <col min="1" max="1" width="3.5" customWidth="1"/>
    <col min="2" max="2" width="7.1640625" customWidth="1"/>
    <col min="3" max="3" width="9.1640625" customWidth="1"/>
    <col min="4" max="4" width="21.5" customWidth="1"/>
    <col min="5" max="5" width="14.33203125" customWidth="1"/>
    <col min="6" max="6" width="57.1640625" customWidth="1"/>
    <col min="7" max="7" width="21.5" customWidth="1"/>
    <col min="8" max="9" width="25" customWidth="1"/>
    <col min="10" max="10" width="11.83203125" bestFit="1" customWidth="1"/>
  </cols>
  <sheetData>
    <row r="1" spans="2:11" ht="18.75" customHeight="1" x14ac:dyDescent="0.2"/>
    <row r="2" spans="2:11" ht="30" customHeight="1" x14ac:dyDescent="0.2">
      <c r="D2" s="17"/>
      <c r="E2" s="18"/>
      <c r="F2" s="18"/>
    </row>
    <row r="3" spans="2:11" ht="16.5" customHeight="1" x14ac:dyDescent="0.3">
      <c r="B3" s="39" t="s">
        <v>9</v>
      </c>
      <c r="C3" s="16"/>
      <c r="D3" s="36"/>
      <c r="E3" s="18"/>
      <c r="F3" s="18"/>
      <c r="I3" s="35">
        <v>0</v>
      </c>
      <c r="J3" s="274" t="s">
        <v>10</v>
      </c>
      <c r="K3" s="274"/>
    </row>
    <row r="4" spans="2:11" ht="16.5" customHeight="1" x14ac:dyDescent="0.2">
      <c r="I4" s="35">
        <v>1</v>
      </c>
      <c r="J4" s="274" t="s">
        <v>11</v>
      </c>
      <c r="K4" s="274"/>
    </row>
    <row r="5" spans="2:11" ht="16.5" customHeight="1" x14ac:dyDescent="0.2">
      <c r="C5" s="19"/>
      <c r="E5" s="20" t="s">
        <v>12</v>
      </c>
      <c r="F5" s="45">
        <f>COUNTIF(SUMMARY!B7:B36,TRUE())</f>
        <v>12</v>
      </c>
    </row>
    <row r="6" spans="2:11" ht="37.5" customHeight="1" x14ac:dyDescent="0.2">
      <c r="B6" s="23" t="s">
        <v>13</v>
      </c>
      <c r="C6" s="24" t="s">
        <v>14</v>
      </c>
      <c r="D6" s="24" t="s">
        <v>15</v>
      </c>
      <c r="E6" s="24" t="s">
        <v>16</v>
      </c>
      <c r="F6" s="24" t="s">
        <v>17</v>
      </c>
      <c r="G6" s="24" t="s">
        <v>18</v>
      </c>
      <c r="H6" s="24" t="s">
        <v>19</v>
      </c>
      <c r="I6" s="24" t="s">
        <v>20</v>
      </c>
      <c r="J6" s="24" t="s">
        <v>21</v>
      </c>
      <c r="K6" s="24" t="s">
        <v>22</v>
      </c>
    </row>
    <row r="7" spans="2:11" s="14" customFormat="1" ht="15" customHeight="1" x14ac:dyDescent="0.2">
      <c r="B7" s="41" t="b">
        <v>1</v>
      </c>
      <c r="C7" s="21">
        <f>IF(B7=TRUE,1,"")</f>
        <v>1</v>
      </c>
      <c r="D7" s="22" t="s">
        <v>287</v>
      </c>
      <c r="E7" s="26">
        <v>2023</v>
      </c>
      <c r="F7" s="185" t="s">
        <v>288</v>
      </c>
      <c r="G7" s="185" t="s">
        <v>289</v>
      </c>
      <c r="H7" s="185" t="s">
        <v>496</v>
      </c>
      <c r="I7" s="186" t="str">
        <f t="shared" ref="I7:I36" si="0">IF(D7="","",CONCATENATE(C7," - ",D7,", ",E7))</f>
        <v>1 - Matthew-David Ogbechie, 2023</v>
      </c>
      <c r="J7" s="44">
        <f>IF(SUMMARY!B7=TRUE,IF(SUM(CHARMS!F$13,CHARMS!F$15,CHARMS!F$29,CHARMS!F$37,CHARMS!F$44,CHARMS!F$49,CHARMS!F$52,CHARMS!F$57,CHARMS!F$78,CHARMS!F$83,CHARMS!F$88)&lt;11,0,1))</f>
        <v>1</v>
      </c>
      <c r="K7" s="44">
        <f>IF(SUMMARY!B7=TRUE,IF(SUM(COUNTBLANK(PROBAST!B$16:B$17),COUNTBLANK(PROBAST!B$30:B$31),COUNTBLANK(PROBAST!B$44:B$45),COUNTBLANK(PROBAST!B$63))&gt;0,0,1))</f>
        <v>1</v>
      </c>
    </row>
    <row r="8" spans="2:11" ht="15" customHeight="1" x14ac:dyDescent="0.2">
      <c r="B8" s="42" t="b">
        <v>1</v>
      </c>
      <c r="C8" s="21">
        <f>IF(B8=TRUE,2,"")</f>
        <v>2</v>
      </c>
      <c r="D8" s="22" t="s">
        <v>290</v>
      </c>
      <c r="E8" s="26">
        <v>2023</v>
      </c>
      <c r="F8" s="185" t="s">
        <v>291</v>
      </c>
      <c r="G8" s="185" t="s">
        <v>292</v>
      </c>
      <c r="H8" s="185" t="s">
        <v>495</v>
      </c>
      <c r="I8" s="186" t="str">
        <f t="shared" si="0"/>
        <v>2 - Esra, Rachel, 2023</v>
      </c>
      <c r="J8" s="44">
        <f>IF(SUMMARY!B$8=TRUE,IF(SUM(CHARMS!I13,CHARMS!I15,CHARMS!I29,CHARMS!I37,CHARMS!I44,CHARMS!I49,CHARMS!I52,CHARMS!I57,CHARMS!I78,CHARMS!I83,CHARMS!I88)&lt;11,0,1))</f>
        <v>1</v>
      </c>
      <c r="K8" s="44">
        <f>IF(SUMMARY!B8=TRUE,IF(SUM(COUNTBLANK(PROBAST!C$16:C$17),COUNTBLANK(PROBAST!C$30:C$31),COUNTBLANK(PROBAST!C$44:C$45),COUNTBLANK(PROBAST!C$63))&gt;0,0,1))</f>
        <v>1</v>
      </c>
    </row>
    <row r="9" spans="2:11" ht="15" customHeight="1" x14ac:dyDescent="0.2">
      <c r="B9" s="42" t="b">
        <v>1</v>
      </c>
      <c r="C9" s="21">
        <f>IF(B9=TRUE,3,"")</f>
        <v>3</v>
      </c>
      <c r="D9" s="22" t="s">
        <v>290</v>
      </c>
      <c r="E9" s="26">
        <v>2023</v>
      </c>
      <c r="F9" s="185" t="s">
        <v>291</v>
      </c>
      <c r="G9" s="185" t="s">
        <v>292</v>
      </c>
      <c r="H9" s="185" t="s">
        <v>497</v>
      </c>
      <c r="I9" s="186" t="str">
        <f t="shared" si="0"/>
        <v>3 - Esra, Rachel, 2023</v>
      </c>
      <c r="J9" s="44">
        <f>IF(SUMMARY!B$9=TRUE,IF(SUM(CHARMS!L13,CHARMS!L15,CHARMS!L29,CHARMS!L37,CHARMS!L44,CHARMS!L49,CHARMS!L52,CHARMS!L57,CHARMS!L78,CHARMS!L83,CHARMS!L88)&lt;11,0,1))</f>
        <v>1</v>
      </c>
      <c r="K9" s="44">
        <f>IF(SUMMARY!B9=TRUE,IF(SUM(COUNTBLANK(PROBAST!D$16:D$17),COUNTBLANK(PROBAST!D$30:D$31),COUNTBLANK(PROBAST!D$44:D$45),COUNTBLANK(PROBAST!D$63))&gt;0,0,1))</f>
        <v>1</v>
      </c>
    </row>
    <row r="10" spans="2:11" ht="15" customHeight="1" x14ac:dyDescent="0.2">
      <c r="B10" s="43" t="b">
        <v>1</v>
      </c>
      <c r="C10" s="21">
        <f>IF(B10=TRUE,4,"")</f>
        <v>4</v>
      </c>
      <c r="D10" s="22" t="s">
        <v>293</v>
      </c>
      <c r="E10" s="26">
        <v>2022</v>
      </c>
      <c r="F10" s="185" t="s">
        <v>294</v>
      </c>
      <c r="G10" s="185" t="s">
        <v>292</v>
      </c>
      <c r="H10" s="185" t="s">
        <v>295</v>
      </c>
      <c r="I10" s="186" t="str">
        <f t="shared" si="0"/>
        <v>4 - Stockman, Jeni , 2022</v>
      </c>
      <c r="J10" s="44">
        <f>IF(SUMMARY!B$10=TRUE,IF(SUM(CHARMS!O13,CHARMS!O15,CHARMS!O29,CHARMS!O37,CHARMS!O44,CHARMS!O49,CHARMS!O52,CHARMS!O57,CHARMS!O78,CHARMS!O83,CHARMS!O88)&lt;11,0,1))</f>
        <v>1</v>
      </c>
      <c r="K10" s="44">
        <f>IF(SUMMARY!B10=TRUE,IF(SUM(COUNTBLANK(PROBAST!E$16:E$17),COUNTBLANK(PROBAST!E$30:E$31),COUNTBLANK(PROBAST!E$44:E$45),COUNTBLANK(PROBAST!E$63))&gt;0,0,1))</f>
        <v>1</v>
      </c>
    </row>
    <row r="11" spans="2:11" ht="15" customHeight="1" x14ac:dyDescent="0.2">
      <c r="B11" s="43" t="b">
        <v>1</v>
      </c>
      <c r="C11" s="21">
        <f>IF(B11=TRUE,5,"")</f>
        <v>5</v>
      </c>
      <c r="D11" s="22" t="s">
        <v>293</v>
      </c>
      <c r="E11" s="26">
        <v>2022</v>
      </c>
      <c r="F11" s="185" t="s">
        <v>294</v>
      </c>
      <c r="G11" s="185" t="s">
        <v>292</v>
      </c>
      <c r="H11" s="185" t="s">
        <v>496</v>
      </c>
      <c r="I11" s="186" t="str">
        <f t="shared" si="0"/>
        <v>5 - Stockman, Jeni , 2022</v>
      </c>
      <c r="J11" s="44">
        <f>IF(SUMMARY!B$11=TRUE,IF(SUM(CHARMS!R13,CHARMS!R15,CHARMS!R29,CHARMS!R37,CHARMS!R44,CHARMS!R49,CHARMS!R52,CHARMS!R57,CHARMS!R78,CHARMS!R83,CHARMS!R88)&lt;11,0,1))</f>
        <v>1</v>
      </c>
      <c r="K11" s="44">
        <f>IF(SUMMARY!B11=TRUE,IF(SUM(COUNTBLANK(PROBAST!F$16:F$17),COUNTBLANK(PROBAST!F$30:F$31),COUNTBLANK(PROBAST!F$44:F$45),COUNTBLANK(PROBAST!F$63))&gt;0,0,1))</f>
        <v>1</v>
      </c>
    </row>
    <row r="12" spans="2:11" ht="15" customHeight="1" x14ac:dyDescent="0.2">
      <c r="B12" s="43" t="b">
        <v>1</v>
      </c>
      <c r="C12" s="21">
        <f>IF(B12=TRUE,6,"")</f>
        <v>6</v>
      </c>
      <c r="D12" s="22" t="s">
        <v>296</v>
      </c>
      <c r="E12" s="26">
        <v>2020</v>
      </c>
      <c r="F12" s="185" t="s">
        <v>297</v>
      </c>
      <c r="G12" s="185" t="s">
        <v>298</v>
      </c>
      <c r="H12" s="185" t="s">
        <v>295</v>
      </c>
      <c r="I12" s="186" t="str">
        <f t="shared" si="0"/>
        <v>6 - Arthi, Ramachandran, 2020</v>
      </c>
      <c r="J12" s="44">
        <f>IF(SUMMARY!B$12=TRUE,IF(SUM(CHARMS!U13,CHARMS!U15,CHARMS!U29,CHARMS!U37,CHARMS!U44,CHARMS!U49,CHARMS!U52,CHARMS!U57,CHARMS!U78,CHARMS!U83,CHARMS!U88)&lt;11,0,1))</f>
        <v>1</v>
      </c>
      <c r="K12" s="44">
        <f>IF(SUMMARY!B12=TRUE,IF(SUM(COUNTBLANK(PROBAST!G$16:G$17),COUNTBLANK(PROBAST!G$30:G$31),COUNTBLANK(PROBAST!G$44:G$45),COUNTBLANK(PROBAST!G$63))&gt;0,0,1))</f>
        <v>1</v>
      </c>
    </row>
    <row r="13" spans="2:11" ht="15" customHeight="1" x14ac:dyDescent="0.2">
      <c r="B13" s="43" t="b">
        <v>1</v>
      </c>
      <c r="C13" s="21">
        <f>IF(B13=TRUE,7,"")</f>
        <v>7</v>
      </c>
      <c r="D13" s="22" t="s">
        <v>296</v>
      </c>
      <c r="E13" s="26">
        <v>2020</v>
      </c>
      <c r="F13" s="185" t="s">
        <v>297</v>
      </c>
      <c r="G13" s="185" t="s">
        <v>298</v>
      </c>
      <c r="H13" s="185" t="s">
        <v>498</v>
      </c>
      <c r="I13" s="186" t="str">
        <f t="shared" si="0"/>
        <v>7 - Arthi, Ramachandran, 2020</v>
      </c>
      <c r="J13" s="44">
        <f>IF(SUMMARY!B$13=TRUE,IF(SUM(CHARMS!X13,CHARMS!X15,CHARMS!X29,CHARMS!X37,CHARMS!X44,CHARMS!X49,CHARMS!X52,CHARMS!X57,CHARMS!X78,CHARMS!X83,CHARMS!X88)&lt;11,0,1))</f>
        <v>1</v>
      </c>
      <c r="K13" s="44">
        <f>IF(SUMMARY!B13=TRUE,IF(SUM(COUNTBLANK(PROBAST!H$16:H$17),COUNTBLANK(PROBAST!H$30:H$31),COUNTBLANK(PROBAST!H$44:H$45),COUNTBLANK(PROBAST!H$63))&gt;0,0,1))</f>
        <v>1</v>
      </c>
    </row>
    <row r="14" spans="2:11" ht="15" customHeight="1" x14ac:dyDescent="0.2">
      <c r="B14" s="43" t="b">
        <v>1</v>
      </c>
      <c r="C14" s="21">
        <f>IF(B14=TRUE,8,"")</f>
        <v>8</v>
      </c>
      <c r="D14" s="22" t="s">
        <v>299</v>
      </c>
      <c r="E14" s="26">
        <v>2018</v>
      </c>
      <c r="F14" s="185" t="s">
        <v>300</v>
      </c>
      <c r="G14" s="185" t="s">
        <v>301</v>
      </c>
      <c r="H14" s="185" t="s">
        <v>91</v>
      </c>
      <c r="I14" s="186" t="str">
        <f t="shared" si="0"/>
        <v>8 - Brian W. Pence, 2018</v>
      </c>
      <c r="J14" s="44">
        <f>IF(SUMMARY!B$14=TRUE,IF(SUM(CHARMS!AA13,CHARMS!AA15,CHARMS!AA29,CHARMS!AA37,CHARMS!AA44,CHARMS!AA49,CHARMS!AA52,CHARMS!AA57,CHARMS!AA78,CHARMS!AA83,CHARMS!AA88)&lt;11,0,1))</f>
        <v>1</v>
      </c>
      <c r="K14" s="44">
        <f>IF(SUMMARY!B14=TRUE,IF(SUM(COUNTBLANK(PROBAST!I$16:I$17),COUNTBLANK(PROBAST!I$30:I$31),COUNTBLANK(PROBAST!I$44:I$45),COUNTBLANK(PROBAST!I$63))&gt;0,0,1))</f>
        <v>1</v>
      </c>
    </row>
    <row r="15" spans="2:11" ht="15" customHeight="1" x14ac:dyDescent="0.2">
      <c r="B15" s="43" t="b">
        <v>1</v>
      </c>
      <c r="C15" s="21">
        <f>IF(B15=TRUE,9,"")</f>
        <v>9</v>
      </c>
      <c r="D15" s="22" t="s">
        <v>302</v>
      </c>
      <c r="E15" s="26">
        <v>2022</v>
      </c>
      <c r="F15" s="185" t="s">
        <v>303</v>
      </c>
      <c r="G15" s="185" t="s">
        <v>298</v>
      </c>
      <c r="H15" s="185" t="s">
        <v>495</v>
      </c>
      <c r="I15" s="186" t="str">
        <f t="shared" si="0"/>
        <v>9 - Mhairi, Maskew, 2022</v>
      </c>
      <c r="J15" s="44">
        <f>IF(SUMMARY!B$15=TRUE,IF(SUM(CHARMS!AD13,CHARMS!AD15,CHARMS!AD29,CHARMS!AD37,CHARMS!AD44,CHARMS!AD49,CHARMS!AD52,CHARMS!AD57,CHARMS!AD78,CHARMS!AD83,CHARMS!AD88)&lt;11,0,1))</f>
        <v>1</v>
      </c>
      <c r="K15" s="44">
        <f>IF(SUMMARY!B15=TRUE,IF(SUM(COUNTBLANK(PROBAST!J$16:J$17),COUNTBLANK(PROBAST!J$30:J$31),COUNTBLANK(PROBAST!J$44:J$45),COUNTBLANK(PROBAST!J$63))&gt;0,0,1))</f>
        <v>1</v>
      </c>
    </row>
    <row r="16" spans="2:11" ht="15" customHeight="1" x14ac:dyDescent="0.2">
      <c r="B16" s="43" t="b">
        <v>1</v>
      </c>
      <c r="C16" s="21">
        <f>IF(B16=TRUE,10,"")</f>
        <v>10</v>
      </c>
      <c r="D16" s="22" t="s">
        <v>302</v>
      </c>
      <c r="E16" s="26">
        <v>2024</v>
      </c>
      <c r="F16" s="185" t="s">
        <v>439</v>
      </c>
      <c r="G16" s="185" t="s">
        <v>440</v>
      </c>
      <c r="H16" s="185" t="s">
        <v>495</v>
      </c>
      <c r="I16" s="186" t="str">
        <f t="shared" si="0"/>
        <v>10 - Mhairi, Maskew, 2024</v>
      </c>
      <c r="J16" s="44">
        <f>IF(SUMMARY!B$16=TRUE,IF(SUM(CHARMS!AG13,CHARMS!AG15,CHARMS!AG29,CHARMS!AG37,CHARMS!AG44,CHARMS!AG49,CHARMS!AG52,CHARMS!AG57,CHARMS!AG78,CHARMS!AG83,CHARMS!AG88)&lt;11,0,1))</f>
        <v>1</v>
      </c>
      <c r="K16" s="44">
        <f>IF(SUMMARY!B16=TRUE,IF(SUM(COUNTBLANK(PROBAST!K$16:K$17),COUNTBLANK(PROBAST!K$30:K$31),COUNTBLANK(PROBAST!K$44:K$45),COUNTBLANK(PROBAST!K$63))&gt;0,0,1))</f>
        <v>1</v>
      </c>
    </row>
    <row r="17" spans="2:11" ht="15" customHeight="1" x14ac:dyDescent="0.2">
      <c r="B17" s="43" t="b">
        <v>1</v>
      </c>
      <c r="C17" s="21">
        <f>IF(B17=TRUE,11,"")</f>
        <v>11</v>
      </c>
      <c r="D17" s="22" t="s">
        <v>458</v>
      </c>
      <c r="E17" s="26">
        <v>2023</v>
      </c>
      <c r="F17" s="210" t="s">
        <v>459</v>
      </c>
      <c r="G17" s="185" t="s">
        <v>460</v>
      </c>
      <c r="H17" s="185" t="s">
        <v>295</v>
      </c>
      <c r="I17" s="186" t="str">
        <f t="shared" si="0"/>
        <v>11 - Joseph A Mason, 2023</v>
      </c>
      <c r="J17" s="44">
        <f>IF(SUMMARY!B$17=TRUE,IF(SUM(CHARMS!AJ13,CHARMS!AJ15,CHARMS!AJ29,CHARMS!AJ37,CHARMS!AJ44,CHARMS!AJ49,CHARMS!AJ52,CHARMS!AJ57,CHARMS!AJ78,CHARMS!AJ83,CHARMS!AJ88)&lt;11,0,1))</f>
        <v>1</v>
      </c>
      <c r="K17" s="44">
        <f>IF(SUMMARY!B17=TRUE,IF(SUM(COUNTBLANK(PROBAST!L$16:L$17),COUNTBLANK(PROBAST!L$30:L$31),COUNTBLANK(PROBAST!L$44:L$45),COUNTBLANK(PROBAST!L$63))&gt;0,0,1))</f>
        <v>1</v>
      </c>
    </row>
    <row r="18" spans="2:11" x14ac:dyDescent="0.2">
      <c r="B18" s="43" t="b">
        <v>1</v>
      </c>
      <c r="C18" s="21">
        <f>IF(B18=TRUE,12,"")</f>
        <v>12</v>
      </c>
      <c r="D18" s="22" t="s">
        <v>469</v>
      </c>
      <c r="E18" s="26">
        <v>2022</v>
      </c>
      <c r="F18" s="185" t="s">
        <v>471</v>
      </c>
      <c r="G18" s="185" t="s">
        <v>470</v>
      </c>
      <c r="H18" s="185" t="s">
        <v>472</v>
      </c>
      <c r="I18" s="186" t="str">
        <f t="shared" si="0"/>
        <v>12 - Carolyn A Fahey, 2022</v>
      </c>
      <c r="J18" s="44">
        <f>IF(SUMMARY!B$18=TRUE,IF(SUM(CHARMS!AM13,CHARMS!AM15,CHARMS!AM29,CHARMS!AM37,CHARMS!AM44,CHARMS!AM49,CHARMS!AM52,CHARMS!AM57,CHARMS!AM78,CHARMS!AM83,CHARMS!AM88)&lt;11,0,1))</f>
        <v>1</v>
      </c>
      <c r="K18" s="44">
        <f>IF(SUMMARY!B18=TRUE,IF(SUM(COUNTBLANK(PROBAST!M$16:M$17),COUNTBLANK(PROBAST!M$30:M$31),COUNTBLANK(PROBAST!M$44:M$45),COUNTBLANK(PROBAST!M$63))&gt;0,0,1))</f>
        <v>1</v>
      </c>
    </row>
    <row r="19" spans="2:11" x14ac:dyDescent="0.2">
      <c r="B19" s="43" t="b">
        <v>0</v>
      </c>
      <c r="C19" s="21" t="str">
        <f>IF(B19=TRUE,13,"")</f>
        <v/>
      </c>
      <c r="D19" s="22"/>
      <c r="E19" s="26"/>
      <c r="F19" s="185"/>
      <c r="G19" s="185"/>
      <c r="H19" s="185"/>
      <c r="I19" s="186" t="str">
        <f t="shared" si="0"/>
        <v/>
      </c>
      <c r="J19" s="44" t="b">
        <f>IF(SUMMARY!B$19=TRUE,IF(SUM(CHARMS!AP13,CHARMS!AP15,CHARMS!AP29,CHARMS!AP37,CHARMS!AP44,CHARMS!AP49,CHARMS!AP52,CHARMS!AP57,CHARMS!AP78,CHARMS!AP83,CHARMS!AP88)&lt;11,0,1))</f>
        <v>0</v>
      </c>
      <c r="K19" s="44" t="b">
        <f>IF(SUMMARY!B19=TRUE,IF(SUM(COUNTBLANK(PROBAST!N$16:N$17),COUNTBLANK(PROBAST!N$30:N$31),COUNTBLANK(PROBAST!N$44:N$45),COUNTBLANK(PROBAST!N$63))&gt;0,0,1))</f>
        <v>0</v>
      </c>
    </row>
    <row r="20" spans="2:11" x14ac:dyDescent="0.2">
      <c r="B20" s="43" t="b">
        <v>0</v>
      </c>
      <c r="C20" s="21" t="str">
        <f>IF(B20=TRUE,14,"")</f>
        <v/>
      </c>
      <c r="D20" s="22"/>
      <c r="E20" s="26"/>
      <c r="F20" s="185"/>
      <c r="G20" s="185"/>
      <c r="H20" s="185"/>
      <c r="I20" s="186" t="str">
        <f t="shared" si="0"/>
        <v/>
      </c>
      <c r="J20" s="44" t="b">
        <f>IF(SUMMARY!B$20=TRUE,IF(SUM(CHARMS!AS13,CHARMS!AS15,CHARMS!AS29,CHARMS!AS37,CHARMS!AS44,CHARMS!AS49,CHARMS!AS52,CHARMS!AS57,CHARMS!AS78,CHARMS!AS83,CHARMS!AS88)&lt;11,0,1))</f>
        <v>0</v>
      </c>
      <c r="K20" s="44" t="b">
        <f>IF(SUMMARY!B20=TRUE,IF(SUM(COUNTBLANK(PROBAST!O$16:O$17),COUNTBLANK(PROBAST!O$30:O$31),COUNTBLANK(PROBAST!O$44:O$45),COUNTBLANK(PROBAST!O$63))&gt;0,0,1))</f>
        <v>0</v>
      </c>
    </row>
    <row r="21" spans="2:11" x14ac:dyDescent="0.2">
      <c r="B21" s="43" t="b">
        <v>0</v>
      </c>
      <c r="C21" s="21" t="str">
        <f>IF(B21=TRUE,15,"")</f>
        <v/>
      </c>
      <c r="D21" s="22"/>
      <c r="E21" s="26"/>
      <c r="F21" s="185"/>
      <c r="G21" s="185"/>
      <c r="H21" s="185"/>
      <c r="I21" s="186" t="str">
        <f t="shared" si="0"/>
        <v/>
      </c>
      <c r="J21" s="44" t="b">
        <f>IF(SUMMARY!B$21=TRUE,IF(SUM(CHARMS!AV13,CHARMS!AV15,CHARMS!AV29,CHARMS!AV37,CHARMS!AV44,CHARMS!AV49,CHARMS!AV52,CHARMS!AV57,CHARMS!AV78,CHARMS!AV83,CHARMS!AV88)&lt;11,0,1))</f>
        <v>0</v>
      </c>
      <c r="K21" s="44" t="b">
        <f>IF(SUMMARY!B21=TRUE,IF(SUM(COUNTBLANK(PROBAST!P$16:P$17),COUNTBLANK(PROBAST!P$30:P$31),COUNTBLANK(PROBAST!P$44:P$45),COUNTBLANK(PROBAST!P$63))&gt;0,0,1))</f>
        <v>0</v>
      </c>
    </row>
    <row r="22" spans="2:11" x14ac:dyDescent="0.2">
      <c r="B22" s="43" t="b">
        <v>0</v>
      </c>
      <c r="C22" s="21" t="str">
        <f>IF(B22=TRUE,16,"")</f>
        <v/>
      </c>
      <c r="D22" s="22"/>
      <c r="E22" s="26"/>
      <c r="F22" s="185"/>
      <c r="G22" s="185"/>
      <c r="H22" s="185"/>
      <c r="I22" s="186" t="str">
        <f t="shared" si="0"/>
        <v/>
      </c>
      <c r="J22" s="44" t="b">
        <f>IF(SUMMARY!B$22=TRUE,IF(SUM(CHARMS!AY13,CHARMS!AY15,CHARMS!AY29,CHARMS!AY37,CHARMS!AY44,CHARMS!AY49,CHARMS!AY52,CHARMS!AY57,CHARMS!AY78,CHARMS!AY83,CHARMS!AY88)&lt;11,0,1))</f>
        <v>0</v>
      </c>
      <c r="K22" s="44" t="b">
        <f>IF(SUMMARY!B22=TRUE,IF(SUM(COUNTBLANK(PROBAST!Q$16:Q$17),COUNTBLANK(PROBAST!Q$30:Q$31),COUNTBLANK(PROBAST!Q$44:Q$45),COUNTBLANK(PROBAST!Q$63))&gt;0,0,1))</f>
        <v>0</v>
      </c>
    </row>
    <row r="23" spans="2:11" x14ac:dyDescent="0.2">
      <c r="B23" s="43" t="b">
        <v>0</v>
      </c>
      <c r="C23" s="21" t="str">
        <f>IF(B23=TRUE,17,"")</f>
        <v/>
      </c>
      <c r="D23" s="22"/>
      <c r="E23" s="26"/>
      <c r="F23" s="185"/>
      <c r="G23" s="185"/>
      <c r="H23" s="185"/>
      <c r="I23" s="186" t="str">
        <f t="shared" si="0"/>
        <v/>
      </c>
      <c r="J23" s="44" t="b">
        <f>IF(SUMMARY!B$23=TRUE,IF(SUM(CHARMS!BB13,CHARMS!BB15,CHARMS!BB29,CHARMS!BB37,CHARMS!BB44,CHARMS!BB49,CHARMS!BB52,CHARMS!BB57,CHARMS!BB78,CHARMS!BB83,CHARMS!BB88)&lt;11,0,1))</f>
        <v>0</v>
      </c>
      <c r="K23" s="44" t="b">
        <f>IF(SUMMARY!B23=TRUE,IF(SUM(COUNTBLANK(PROBAST!R$16:R$17),COUNTBLANK(PROBAST!R$30:R$31),COUNTBLANK(PROBAST!R$44:R$45),COUNTBLANK(PROBAST!R$63))&gt;0,0,1))</f>
        <v>0</v>
      </c>
    </row>
    <row r="24" spans="2:11" x14ac:dyDescent="0.2">
      <c r="B24" s="43" t="b">
        <v>0</v>
      </c>
      <c r="C24" s="21" t="str">
        <f>IF(B24=TRUE,18,"")</f>
        <v/>
      </c>
      <c r="D24" s="22"/>
      <c r="E24" s="26"/>
      <c r="F24" s="185"/>
      <c r="G24" s="185"/>
      <c r="H24" s="185"/>
      <c r="I24" s="186" t="str">
        <f t="shared" si="0"/>
        <v/>
      </c>
      <c r="J24" s="44" t="b">
        <f>IF(SUMMARY!B$24=TRUE,IF(SUM(CHARMS!BE13,CHARMS!BE15,CHARMS!BE29,CHARMS!BE37,CHARMS!BE44,CHARMS!BE49,CHARMS!BE52,CHARMS!BE57,CHARMS!BE78,CHARMS!BE83,CHARMS!BE88)&lt;11,0,1))</f>
        <v>0</v>
      </c>
      <c r="K24" s="44" t="b">
        <f>IF(SUMMARY!B24=TRUE,IF(SUM(COUNTBLANK(PROBAST!S$16:S$17),COUNTBLANK(PROBAST!S$30:S$31),COUNTBLANK(PROBAST!S$44:S$45),COUNTBLANK(PROBAST!S$63))&gt;0,0,1))</f>
        <v>0</v>
      </c>
    </row>
    <row r="25" spans="2:11" x14ac:dyDescent="0.2">
      <c r="B25" s="43" t="b">
        <v>0</v>
      </c>
      <c r="C25" s="21" t="str">
        <f>IF(B25=TRUE,19,"")</f>
        <v/>
      </c>
      <c r="D25" s="22"/>
      <c r="E25" s="26"/>
      <c r="F25" s="185"/>
      <c r="G25" s="185"/>
      <c r="H25" s="185"/>
      <c r="I25" s="186" t="str">
        <f t="shared" si="0"/>
        <v/>
      </c>
      <c r="J25" s="44" t="b">
        <f>IF(SUMMARY!B$25=TRUE,IF(SUM(CHARMS!BH13,CHARMS!BH15,CHARMS!BH29,CHARMS!BH37,CHARMS!BH44,CHARMS!BH49,CHARMS!BH52,CHARMS!BH57,CHARMS!BH78,CHARMS!BH83,CHARMS!BH88)&lt;11,0,1))</f>
        <v>0</v>
      </c>
      <c r="K25" s="44" t="b">
        <f>IF(SUMMARY!B25=TRUE,IF(SUM(COUNTBLANK(PROBAST!T$16:T$17),COUNTBLANK(PROBAST!T$30:T$31),COUNTBLANK(PROBAST!T$44:T$45),COUNTBLANK(PROBAST!T$63))&gt;0,0,1))</f>
        <v>0</v>
      </c>
    </row>
    <row r="26" spans="2:11" x14ac:dyDescent="0.2">
      <c r="B26" s="43" t="b">
        <v>0</v>
      </c>
      <c r="C26" s="21" t="str">
        <f>IF(B26=TRUE,20,"")</f>
        <v/>
      </c>
      <c r="D26" s="22"/>
      <c r="E26" s="26"/>
      <c r="F26" s="185"/>
      <c r="G26" s="185"/>
      <c r="H26" s="185"/>
      <c r="I26" s="186" t="str">
        <f t="shared" si="0"/>
        <v/>
      </c>
      <c r="J26" s="44" t="b">
        <f>IF(SUMMARY!B$26=TRUE,IF(SUM(CHARMS!BK13,CHARMS!BK15,CHARMS!BK29,CHARMS!BK37,CHARMS!BK44,CHARMS!BK49,CHARMS!BK52,CHARMS!BK57,CHARMS!BK78,CHARMS!BK83,CHARMS!BK88)&lt;11,0,1))</f>
        <v>0</v>
      </c>
      <c r="K26" s="44" t="b">
        <f>IF(SUMMARY!B26=TRUE,IF(SUM(COUNTBLANK(PROBAST!U$16:U$17),COUNTBLANK(PROBAST!U$30:U$31),COUNTBLANK(PROBAST!U$44:U$45),COUNTBLANK(PROBAST!U$63))&gt;0,0,1))</f>
        <v>0</v>
      </c>
    </row>
    <row r="27" spans="2:11" x14ac:dyDescent="0.2">
      <c r="B27" s="43" t="b">
        <v>0</v>
      </c>
      <c r="C27" s="21" t="str">
        <f>IF(B27=TRUE,21,"")</f>
        <v/>
      </c>
      <c r="D27" s="22"/>
      <c r="E27" s="26"/>
      <c r="F27" s="185"/>
      <c r="G27" s="185"/>
      <c r="H27" s="185"/>
      <c r="I27" s="186" t="str">
        <f t="shared" si="0"/>
        <v/>
      </c>
      <c r="J27" s="44" t="b">
        <f>IF(SUMMARY!B$27=TRUE,IF(SUM(CHARMS!BN13,CHARMS!BN15,CHARMS!BN29,CHARMS!BN37,CHARMS!BN44,CHARMS!BN49,CHARMS!BN52,CHARMS!BN57,CHARMS!BN78,CHARMS!BN83,CHARMS!BN88)&lt;11,0,1))</f>
        <v>0</v>
      </c>
      <c r="K27" s="44" t="b">
        <f>IF(SUMMARY!B27=TRUE,IF(SUM(COUNTBLANK(PROBAST!V$16:V$17),COUNTBLANK(PROBAST!V$30:V$31),COUNTBLANK(PROBAST!V$44:V$45),COUNTBLANK(PROBAST!V$63))&gt;0,0,1))</f>
        <v>0</v>
      </c>
    </row>
    <row r="28" spans="2:11" x14ac:dyDescent="0.2">
      <c r="B28" s="43" t="b">
        <v>0</v>
      </c>
      <c r="C28" s="21" t="str">
        <f>IF(B28=TRUE,22,"")</f>
        <v/>
      </c>
      <c r="D28" s="22"/>
      <c r="E28" s="26"/>
      <c r="F28" s="185"/>
      <c r="G28" s="185"/>
      <c r="H28" s="185"/>
      <c r="I28" s="186" t="str">
        <f t="shared" si="0"/>
        <v/>
      </c>
      <c r="J28" s="44" t="b">
        <f>IF(SUMMARY!B$28=TRUE,IF(SUM(CHARMS!BQ13,CHARMS!BQ15,CHARMS!BQ29,CHARMS!BQ37,CHARMS!BQ44,CHARMS!BQ49,CHARMS!BQ52,CHARMS!BQ57,CHARMS!BQ78,CHARMS!BQ83,CHARMS!BQ88)&lt;11,0,1))</f>
        <v>0</v>
      </c>
      <c r="K28" s="44" t="b">
        <f>IF(SUMMARY!B28=TRUE,IF(SUM(COUNTBLANK(PROBAST!W$16:W$17),COUNTBLANK(PROBAST!W$30:W$31),COUNTBLANK(PROBAST!W$44:W$45),COUNTBLANK(PROBAST!W$63))&gt;0,0,1))</f>
        <v>0</v>
      </c>
    </row>
    <row r="29" spans="2:11" x14ac:dyDescent="0.2">
      <c r="B29" s="43" t="b">
        <v>0</v>
      </c>
      <c r="C29" s="21" t="str">
        <f>IF(B29=TRUE,23,"")</f>
        <v/>
      </c>
      <c r="D29" s="22"/>
      <c r="E29" s="26"/>
      <c r="F29" s="185"/>
      <c r="G29" s="185"/>
      <c r="H29" s="185"/>
      <c r="I29" s="186" t="str">
        <f t="shared" si="0"/>
        <v/>
      </c>
      <c r="J29" s="44" t="b">
        <f>IF(SUMMARY!B$29=TRUE,IF(SUM(CHARMS!BT13,CHARMS!BT15,CHARMS!BT29,CHARMS!BT37,CHARMS!BT44,CHARMS!BT49,CHARMS!BT52,CHARMS!BT57,CHARMS!BT78,CHARMS!BT83,CHARMS!BT88)&lt;11,0,1))</f>
        <v>0</v>
      </c>
      <c r="K29" s="44" t="b">
        <f>IF(SUMMARY!B29=TRUE,IF(SUM(COUNTBLANK(PROBAST!X$16:X$17),COUNTBLANK(PROBAST!X$30:X$31),COUNTBLANK(PROBAST!X$44:X$45),COUNTBLANK(PROBAST!X$63))&gt;0,0,1))</f>
        <v>0</v>
      </c>
    </row>
    <row r="30" spans="2:11" x14ac:dyDescent="0.2">
      <c r="B30" s="43" t="b">
        <v>0</v>
      </c>
      <c r="C30" s="21" t="str">
        <f>IF(B30=TRUE,24,"")</f>
        <v/>
      </c>
      <c r="D30" s="22"/>
      <c r="E30" s="26"/>
      <c r="F30" s="185"/>
      <c r="G30" s="185"/>
      <c r="H30" s="185"/>
      <c r="I30" s="186" t="str">
        <f t="shared" si="0"/>
        <v/>
      </c>
      <c r="J30" s="44" t="b">
        <f>IF(SUMMARY!B$30=TRUE,IF(SUM(CHARMS!BW13,CHARMS!BW15,CHARMS!BW29,CHARMS!BW37,CHARMS!BW44,CHARMS!BW49,CHARMS!BW52,CHARMS!BW57,CHARMS!BW78,CHARMS!BW83,CHARMS!BW88)&lt;11,0,1))</f>
        <v>0</v>
      </c>
      <c r="K30" s="44" t="b">
        <f>IF(SUMMARY!B30=TRUE,IF(SUM(COUNTBLANK(PROBAST!Y$16:Y$17),COUNTBLANK(PROBAST!Y$30:Y$31),COUNTBLANK(PROBAST!Y$44:Y$45),COUNTBLANK(PROBAST!Y$63))&gt;0,0,1))</f>
        <v>0</v>
      </c>
    </row>
    <row r="31" spans="2:11" x14ac:dyDescent="0.2">
      <c r="B31" s="43" t="b">
        <v>0</v>
      </c>
      <c r="C31" s="21" t="str">
        <f>IF(B31=TRUE,25,"")</f>
        <v/>
      </c>
      <c r="D31" s="22"/>
      <c r="E31" s="26"/>
      <c r="F31" s="185"/>
      <c r="G31" s="185"/>
      <c r="H31" s="185"/>
      <c r="I31" s="186" t="str">
        <f t="shared" si="0"/>
        <v/>
      </c>
      <c r="J31" s="44" t="b">
        <f>IF(SUMMARY!B$31=TRUE,IF(SUM(CHARMS!BZ$13,CHARMS!BZ$15,CHARMS!BZ$29,CHARMS!BZ$37,CHARMS!BZ$44,CHARMS!BZ$49,CHARMS!BZ$52,CHARMS!BZ$57,CHARMS!BZ$78,CHARMS!BZ$83,CHARMS!BZ$88)&lt;11,0,1))</f>
        <v>0</v>
      </c>
      <c r="K31" s="44" t="b">
        <f>IF(SUMMARY!B31=TRUE,IF(SUM(COUNTBLANK(PROBAST!Z$16:Z$17),COUNTBLANK(PROBAST!Z$30:Z$31),COUNTBLANK(PROBAST!Z$44:Z$45),COUNTBLANK(PROBAST!Z$63))&gt;0,0,1))</f>
        <v>0</v>
      </c>
    </row>
    <row r="32" spans="2:11" x14ac:dyDescent="0.2">
      <c r="B32" s="43" t="b">
        <v>0</v>
      </c>
      <c r="C32" s="21" t="str">
        <f>IF(B32=TRUE,26,"")</f>
        <v/>
      </c>
      <c r="D32" s="22"/>
      <c r="E32" s="26"/>
      <c r="F32" s="185"/>
      <c r="G32" s="185"/>
      <c r="H32" s="185"/>
      <c r="I32" s="186" t="str">
        <f t="shared" si="0"/>
        <v/>
      </c>
      <c r="J32" s="44" t="b">
        <f>IF(SUMMARY!B$32=TRUE,IF(SUM(CHARMS!CC$13,CHARMS!CC$15,CHARMS!CC$29,CHARMS!CC$37,CHARMS!CC$44,CHARMS!CC$49,CHARMS!CC$52,CHARMS!CC$57,CHARMS!CC$78,CHARMS!CC$83,CHARMS!CC$88)&lt;11,0,1))</f>
        <v>0</v>
      </c>
      <c r="K32" s="44" t="b">
        <f>IF(SUMMARY!B32=TRUE,IF(SUM(COUNTBLANK(PROBAST!AA$16:AA$17),COUNTBLANK(PROBAST!AA$30:AA$31),COUNTBLANK(PROBAST!AA$44:AA$45),COUNTBLANK(PROBAST!AA$63))&gt;0,0,1))</f>
        <v>0</v>
      </c>
    </row>
    <row r="33" spans="2:11" x14ac:dyDescent="0.2">
      <c r="B33" s="43" t="b">
        <v>0</v>
      </c>
      <c r="C33" s="21" t="str">
        <f>IF(B33=TRUE,27,"")</f>
        <v/>
      </c>
      <c r="D33" s="22"/>
      <c r="E33" s="26"/>
      <c r="F33" s="185"/>
      <c r="G33" s="185"/>
      <c r="H33" s="185"/>
      <c r="I33" s="186" t="str">
        <f t="shared" si="0"/>
        <v/>
      </c>
      <c r="J33" s="44" t="b">
        <f>IF(SUMMARY!B$33=TRUE,IF(SUM(CHARMS!CF$13,CHARMS!CF$15,CHARMS!CF$29,CHARMS!CF$37,CHARMS!CF$44,CHARMS!CF$49,CHARMS!CF$52,CHARMS!CF$57,CHARMS!CF$78,CHARMS!CF$83,CHARMS!CF$88)&lt;11,0,1))</f>
        <v>0</v>
      </c>
      <c r="K33" s="44" t="b">
        <f>IF(SUMMARY!B33=TRUE,IF(SUM(COUNTBLANK(PROBAST!AB$16:AB$17),COUNTBLANK(PROBAST!AB$30:AB$31),COUNTBLANK(PROBAST!AB$44:AB$45),COUNTBLANK(PROBAST!AB$63))&gt;0,0,1))</f>
        <v>0</v>
      </c>
    </row>
    <row r="34" spans="2:11" x14ac:dyDescent="0.2">
      <c r="B34" s="43" t="b">
        <v>0</v>
      </c>
      <c r="C34" s="21" t="str">
        <f>IF(B34=TRUE,28,"")</f>
        <v/>
      </c>
      <c r="D34" s="22"/>
      <c r="E34" s="26"/>
      <c r="F34" s="185"/>
      <c r="G34" s="185"/>
      <c r="H34" s="185"/>
      <c r="I34" s="186" t="str">
        <f t="shared" si="0"/>
        <v/>
      </c>
      <c r="J34" s="44" t="b">
        <f>IF(SUMMARY!B$34=TRUE,IF(SUM(CHARMS!CI$13,CHARMS!CI$15,CHARMS!CI$29,CHARMS!CI$37,CHARMS!CI$44,CHARMS!CI$49,CHARMS!CI$52,CHARMS!CI$57,CHARMS!CI$78,CHARMS!CI$83,CHARMS!CI$88)&lt;11,0,1))</f>
        <v>0</v>
      </c>
      <c r="K34" s="44" t="b">
        <f>IF(SUMMARY!B34=TRUE,IF(SUM(COUNTBLANK(PROBAST!B$16:AC$17),COUNTBLANK(PROBAST!AC$30:AC$31),COUNTBLANK(PROBAST!AC$44:AC$45),COUNTBLANK(PROBAST!AC$63))&gt;0,0,1))</f>
        <v>0</v>
      </c>
    </row>
    <row r="35" spans="2:11" x14ac:dyDescent="0.2">
      <c r="B35" s="43" t="b">
        <v>0</v>
      </c>
      <c r="C35" s="21" t="str">
        <f>IF(B35=TRUE,29,"")</f>
        <v/>
      </c>
      <c r="D35" s="22"/>
      <c r="E35" s="26"/>
      <c r="F35" s="185"/>
      <c r="G35" s="185"/>
      <c r="H35" s="185"/>
      <c r="I35" s="186" t="str">
        <f t="shared" si="0"/>
        <v/>
      </c>
      <c r="J35" s="44" t="b">
        <f>IF(SUMMARY!B$35=TRUE,IF(SUM(CHARMS!CL$13,CHARMS!CL$15,CHARMS!CL$29,CHARMS!CL$37,CHARMS!CL$44,CHARMS!CL$49,CHARMS!CL$52,CHARMS!CL$57,CHARMS!CL$78,CHARMS!CL$83,CHARMS!CL$88)&lt;11,0,1))</f>
        <v>0</v>
      </c>
      <c r="K35" s="44" t="b">
        <f>IF(SUMMARY!B35=TRUE,IF(SUM(COUNTBLANK(PROBAST!AD$16:AD$17),COUNTBLANK(PROBAST!AD$30:AD$31),COUNTBLANK(PROBAST!AD$44:AD$45),COUNTBLANK(PROBAST!AD$63))&gt;0,0,1))</f>
        <v>0</v>
      </c>
    </row>
    <row r="36" spans="2:11" x14ac:dyDescent="0.2">
      <c r="B36" s="43" t="b">
        <v>0</v>
      </c>
      <c r="C36" s="21" t="str">
        <f>IF(B36=TRUE,30,"")</f>
        <v/>
      </c>
      <c r="D36" s="22"/>
      <c r="E36" s="26"/>
      <c r="F36" s="185"/>
      <c r="G36" s="185"/>
      <c r="H36" s="185"/>
      <c r="I36" s="186" t="str">
        <f t="shared" si="0"/>
        <v/>
      </c>
      <c r="J36" s="44" t="b">
        <f>IF(SUMMARY!B$36=TRUE,IF(SUM(CHARMS!CO$13,CHARMS!CO$15,CHARMS!CO$29,CHARMS!CO$37,CHARMS!CO$44,CHARMS!CO$49,CHARMS!CO$52,CHARMS!CO$57,CHARMS!CO$78,CHARMS!CO$83,CHARMS!CO$88)&lt;11,0,1))</f>
        <v>0</v>
      </c>
      <c r="K36" s="44" t="b">
        <f>IF(SUMMARY!B36=TRUE,IF(SUM(COUNTBLANK(PROBAST!AE$16:AE$17),COUNTBLANK(PROBAST!AE$30:AE$31),COUNTBLANK(PROBAST!AE$44:AE$45),COUNTBLANK(PROBAST!AE$63))&gt;0,0,1))</f>
        <v>0</v>
      </c>
    </row>
  </sheetData>
  <sheetProtection password="8015" sheet="1" selectLockedCells="1"/>
  <mergeCells count="2">
    <mergeCell ref="J3:K3"/>
    <mergeCell ref="J4:K4"/>
  </mergeCells>
  <conditionalFormatting sqref="C7:K36">
    <cfRule type="expression" dxfId="757" priority="3">
      <formula>$B7=FALSE</formula>
    </cfRule>
  </conditionalFormatting>
  <conditionalFormatting sqref="I3:I4">
    <cfRule type="iconSet" priority="1">
      <iconSet iconSet="3Symbols" showValue="0">
        <cfvo type="percent" val="0"/>
        <cfvo type="num" val="0"/>
        <cfvo type="num" val="1"/>
      </iconSet>
    </cfRule>
  </conditionalFormatting>
  <conditionalFormatting sqref="J7:K36">
    <cfRule type="iconSet" priority="2">
      <iconSet iconSet="3Symbols" showValue="0">
        <cfvo type="percent" val="0"/>
        <cfvo type="num" val="0"/>
        <cfvo type="num" val="1"/>
      </iconSet>
    </cfRule>
  </conditionalFormatting>
  <dataValidations disablePrompts="1" count="1">
    <dataValidation showInputMessage="1" showErrorMessage="1" sqref="K7" xr:uid="{00000000-0002-0000-0000-000000000000}"/>
  </dataValidations>
  <pageMargins left="0.7" right="0.7" top="0.75" bottom="0.75" header="0.3" footer="0.3"/>
  <pageSetup paperSize="9" orientation="portrait" horizontalDpi="4294967295" verticalDpi="4294967295" r:id="rId1"/>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ltText="">
                <anchor moveWithCells="1">
                  <from>
                    <xdr:col>1</xdr:col>
                    <xdr:colOff>0</xdr:colOff>
                    <xdr:row>6</xdr:row>
                    <xdr:rowOff>0</xdr:rowOff>
                  </from>
                  <to>
                    <xdr:col>2</xdr:col>
                    <xdr:colOff>0</xdr:colOff>
                    <xdr:row>7</xdr:row>
                    <xdr:rowOff>0</xdr:rowOff>
                  </to>
                </anchor>
              </controlPr>
            </control>
          </mc:Choice>
        </mc:AlternateContent>
        <mc:AlternateContent xmlns:mc="http://schemas.openxmlformats.org/markup-compatibility/2006">
          <mc:Choice Requires="x14">
            <control shapeId="2050" r:id="rId5" name="Check Box 2">
              <controlPr defaultSize="0" autoFill="0" autoLine="0" autoPict="0" altText="">
                <anchor moveWithCells="1">
                  <from>
                    <xdr:col>1</xdr:col>
                    <xdr:colOff>0</xdr:colOff>
                    <xdr:row>7</xdr:row>
                    <xdr:rowOff>0</xdr:rowOff>
                  </from>
                  <to>
                    <xdr:col>2</xdr:col>
                    <xdr:colOff>0</xdr:colOff>
                    <xdr:row>8</xdr:row>
                    <xdr:rowOff>0</xdr:rowOff>
                  </to>
                </anchor>
              </controlPr>
            </control>
          </mc:Choice>
        </mc:AlternateContent>
        <mc:AlternateContent xmlns:mc="http://schemas.openxmlformats.org/markup-compatibility/2006">
          <mc:Choice Requires="x14">
            <control shapeId="2051" r:id="rId6" name="Check Box 3">
              <controlPr defaultSize="0" autoFill="0" autoLine="0" autoPict="0" altText="">
                <anchor moveWithCells="1">
                  <from>
                    <xdr:col>1</xdr:col>
                    <xdr:colOff>0</xdr:colOff>
                    <xdr:row>8</xdr:row>
                    <xdr:rowOff>0</xdr:rowOff>
                  </from>
                  <to>
                    <xdr:col>2</xdr:col>
                    <xdr:colOff>0</xdr:colOff>
                    <xdr:row>9</xdr:row>
                    <xdr:rowOff>0</xdr:rowOff>
                  </to>
                </anchor>
              </controlPr>
            </control>
          </mc:Choice>
        </mc:AlternateContent>
        <mc:AlternateContent xmlns:mc="http://schemas.openxmlformats.org/markup-compatibility/2006">
          <mc:Choice Requires="x14">
            <control shapeId="2052" r:id="rId7" name="Check Box 4">
              <controlPr defaultSize="0" autoFill="0" autoLine="0" autoPict="0" altText="">
                <anchor moveWithCells="1">
                  <from>
                    <xdr:col>1</xdr:col>
                    <xdr:colOff>0</xdr:colOff>
                    <xdr:row>9</xdr:row>
                    <xdr:rowOff>0</xdr:rowOff>
                  </from>
                  <to>
                    <xdr:col>2</xdr:col>
                    <xdr:colOff>0</xdr:colOff>
                    <xdr:row>10</xdr:row>
                    <xdr:rowOff>0</xdr:rowOff>
                  </to>
                </anchor>
              </controlPr>
            </control>
          </mc:Choice>
        </mc:AlternateContent>
        <mc:AlternateContent xmlns:mc="http://schemas.openxmlformats.org/markup-compatibility/2006">
          <mc:Choice Requires="x14">
            <control shapeId="2053" r:id="rId8" name="Check Box 5">
              <controlPr defaultSize="0" autoFill="0" autoLine="0" autoPict="0" altText="">
                <anchor moveWithCells="1">
                  <from>
                    <xdr:col>1</xdr:col>
                    <xdr:colOff>0</xdr:colOff>
                    <xdr:row>10</xdr:row>
                    <xdr:rowOff>0</xdr:rowOff>
                  </from>
                  <to>
                    <xdr:col>2</xdr:col>
                    <xdr:colOff>0</xdr:colOff>
                    <xdr:row>11</xdr:row>
                    <xdr:rowOff>0</xdr:rowOff>
                  </to>
                </anchor>
              </controlPr>
            </control>
          </mc:Choice>
        </mc:AlternateContent>
        <mc:AlternateContent xmlns:mc="http://schemas.openxmlformats.org/markup-compatibility/2006">
          <mc:Choice Requires="x14">
            <control shapeId="2054" r:id="rId9" name="Check Box 6">
              <controlPr defaultSize="0" autoFill="0" autoLine="0" autoPict="0" altText="">
                <anchor moveWithCells="1">
                  <from>
                    <xdr:col>1</xdr:col>
                    <xdr:colOff>0</xdr:colOff>
                    <xdr:row>11</xdr:row>
                    <xdr:rowOff>0</xdr:rowOff>
                  </from>
                  <to>
                    <xdr:col>2</xdr:col>
                    <xdr:colOff>0</xdr:colOff>
                    <xdr:row>12</xdr:row>
                    <xdr:rowOff>0</xdr:rowOff>
                  </to>
                </anchor>
              </controlPr>
            </control>
          </mc:Choice>
        </mc:AlternateContent>
        <mc:AlternateContent xmlns:mc="http://schemas.openxmlformats.org/markup-compatibility/2006">
          <mc:Choice Requires="x14">
            <control shapeId="2055" r:id="rId10" name="Check Box 7">
              <controlPr defaultSize="0" autoFill="0" autoLine="0" autoPict="0" altText="">
                <anchor moveWithCells="1">
                  <from>
                    <xdr:col>1</xdr:col>
                    <xdr:colOff>0</xdr:colOff>
                    <xdr:row>12</xdr:row>
                    <xdr:rowOff>0</xdr:rowOff>
                  </from>
                  <to>
                    <xdr:col>2</xdr:col>
                    <xdr:colOff>0</xdr:colOff>
                    <xdr:row>13</xdr:row>
                    <xdr:rowOff>0</xdr:rowOff>
                  </to>
                </anchor>
              </controlPr>
            </control>
          </mc:Choice>
        </mc:AlternateContent>
        <mc:AlternateContent xmlns:mc="http://schemas.openxmlformats.org/markup-compatibility/2006">
          <mc:Choice Requires="x14">
            <control shapeId="2056" r:id="rId11" name="Check Box 8">
              <controlPr defaultSize="0" autoFill="0" autoLine="0" autoPict="0" altText="">
                <anchor moveWithCells="1">
                  <from>
                    <xdr:col>1</xdr:col>
                    <xdr:colOff>0</xdr:colOff>
                    <xdr:row>13</xdr:row>
                    <xdr:rowOff>0</xdr:rowOff>
                  </from>
                  <to>
                    <xdr:col>2</xdr:col>
                    <xdr:colOff>0</xdr:colOff>
                    <xdr:row>14</xdr:row>
                    <xdr:rowOff>0</xdr:rowOff>
                  </to>
                </anchor>
              </controlPr>
            </control>
          </mc:Choice>
        </mc:AlternateContent>
        <mc:AlternateContent xmlns:mc="http://schemas.openxmlformats.org/markup-compatibility/2006">
          <mc:Choice Requires="x14">
            <control shapeId="2057" r:id="rId12" name="Check Box 9">
              <controlPr defaultSize="0" autoFill="0" autoLine="0" autoPict="0" altText="">
                <anchor moveWithCells="1">
                  <from>
                    <xdr:col>1</xdr:col>
                    <xdr:colOff>0</xdr:colOff>
                    <xdr:row>14</xdr:row>
                    <xdr:rowOff>0</xdr:rowOff>
                  </from>
                  <to>
                    <xdr:col>2</xdr:col>
                    <xdr:colOff>0</xdr:colOff>
                    <xdr:row>15</xdr:row>
                    <xdr:rowOff>0</xdr:rowOff>
                  </to>
                </anchor>
              </controlPr>
            </control>
          </mc:Choice>
        </mc:AlternateContent>
        <mc:AlternateContent xmlns:mc="http://schemas.openxmlformats.org/markup-compatibility/2006">
          <mc:Choice Requires="x14">
            <control shapeId="2058" r:id="rId13" name="Check Box 10">
              <controlPr defaultSize="0" autoFill="0" autoLine="0" autoPict="0" altText="">
                <anchor moveWithCells="1">
                  <from>
                    <xdr:col>1</xdr:col>
                    <xdr:colOff>0</xdr:colOff>
                    <xdr:row>15</xdr:row>
                    <xdr:rowOff>0</xdr:rowOff>
                  </from>
                  <to>
                    <xdr:col>2</xdr:col>
                    <xdr:colOff>0</xdr:colOff>
                    <xdr:row>16</xdr:row>
                    <xdr:rowOff>0</xdr:rowOff>
                  </to>
                </anchor>
              </controlPr>
            </control>
          </mc:Choice>
        </mc:AlternateContent>
        <mc:AlternateContent xmlns:mc="http://schemas.openxmlformats.org/markup-compatibility/2006">
          <mc:Choice Requires="x14">
            <control shapeId="2059" r:id="rId14" name="Check Box 11">
              <controlPr defaultSize="0" autoFill="0" autoLine="0" autoPict="0" altText="">
                <anchor moveWithCells="1">
                  <from>
                    <xdr:col>1</xdr:col>
                    <xdr:colOff>0</xdr:colOff>
                    <xdr:row>16</xdr:row>
                    <xdr:rowOff>0</xdr:rowOff>
                  </from>
                  <to>
                    <xdr:col>2</xdr:col>
                    <xdr:colOff>0</xdr:colOff>
                    <xdr:row>17</xdr:row>
                    <xdr:rowOff>0</xdr:rowOff>
                  </to>
                </anchor>
              </controlPr>
            </control>
          </mc:Choice>
        </mc:AlternateContent>
        <mc:AlternateContent xmlns:mc="http://schemas.openxmlformats.org/markup-compatibility/2006">
          <mc:Choice Requires="x14">
            <control shapeId="2060" r:id="rId15" name="Check Box 12">
              <controlPr defaultSize="0" autoFill="0" autoLine="0" autoPict="0" altText="">
                <anchor moveWithCells="1">
                  <from>
                    <xdr:col>1</xdr:col>
                    <xdr:colOff>0</xdr:colOff>
                    <xdr:row>17</xdr:row>
                    <xdr:rowOff>0</xdr:rowOff>
                  </from>
                  <to>
                    <xdr:col>2</xdr:col>
                    <xdr:colOff>0</xdr:colOff>
                    <xdr:row>18</xdr:row>
                    <xdr:rowOff>0</xdr:rowOff>
                  </to>
                </anchor>
              </controlPr>
            </control>
          </mc:Choice>
        </mc:AlternateContent>
        <mc:AlternateContent xmlns:mc="http://schemas.openxmlformats.org/markup-compatibility/2006">
          <mc:Choice Requires="x14">
            <control shapeId="2061" r:id="rId16" name="Check Box 13">
              <controlPr defaultSize="0" autoFill="0" autoLine="0" autoPict="0" altText="">
                <anchor moveWithCells="1">
                  <from>
                    <xdr:col>1</xdr:col>
                    <xdr:colOff>0</xdr:colOff>
                    <xdr:row>18</xdr:row>
                    <xdr:rowOff>0</xdr:rowOff>
                  </from>
                  <to>
                    <xdr:col>2</xdr:col>
                    <xdr:colOff>0</xdr:colOff>
                    <xdr:row>19</xdr:row>
                    <xdr:rowOff>0</xdr:rowOff>
                  </to>
                </anchor>
              </controlPr>
            </control>
          </mc:Choice>
        </mc:AlternateContent>
        <mc:AlternateContent xmlns:mc="http://schemas.openxmlformats.org/markup-compatibility/2006">
          <mc:Choice Requires="x14">
            <control shapeId="2062" r:id="rId17" name="Check Box 14">
              <controlPr defaultSize="0" autoFill="0" autoLine="0" autoPict="0" altText="">
                <anchor moveWithCells="1">
                  <from>
                    <xdr:col>1</xdr:col>
                    <xdr:colOff>0</xdr:colOff>
                    <xdr:row>19</xdr:row>
                    <xdr:rowOff>0</xdr:rowOff>
                  </from>
                  <to>
                    <xdr:col>2</xdr:col>
                    <xdr:colOff>0</xdr:colOff>
                    <xdr:row>20</xdr:row>
                    <xdr:rowOff>0</xdr:rowOff>
                  </to>
                </anchor>
              </controlPr>
            </control>
          </mc:Choice>
        </mc:AlternateContent>
        <mc:AlternateContent xmlns:mc="http://schemas.openxmlformats.org/markup-compatibility/2006">
          <mc:Choice Requires="x14">
            <control shapeId="2063" r:id="rId18" name="Check Box 15">
              <controlPr defaultSize="0" autoFill="0" autoLine="0" autoPict="0" altText="">
                <anchor moveWithCells="1">
                  <from>
                    <xdr:col>1</xdr:col>
                    <xdr:colOff>0</xdr:colOff>
                    <xdr:row>20</xdr:row>
                    <xdr:rowOff>0</xdr:rowOff>
                  </from>
                  <to>
                    <xdr:col>2</xdr:col>
                    <xdr:colOff>0</xdr:colOff>
                    <xdr:row>21</xdr:row>
                    <xdr:rowOff>0</xdr:rowOff>
                  </to>
                </anchor>
              </controlPr>
            </control>
          </mc:Choice>
        </mc:AlternateContent>
        <mc:AlternateContent xmlns:mc="http://schemas.openxmlformats.org/markup-compatibility/2006">
          <mc:Choice Requires="x14">
            <control shapeId="2064" r:id="rId19" name="Check Box 16">
              <controlPr defaultSize="0" autoFill="0" autoLine="0" autoPict="0" altText="">
                <anchor moveWithCells="1">
                  <from>
                    <xdr:col>1</xdr:col>
                    <xdr:colOff>0</xdr:colOff>
                    <xdr:row>21</xdr:row>
                    <xdr:rowOff>0</xdr:rowOff>
                  </from>
                  <to>
                    <xdr:col>2</xdr:col>
                    <xdr:colOff>0</xdr:colOff>
                    <xdr:row>22</xdr:row>
                    <xdr:rowOff>0</xdr:rowOff>
                  </to>
                </anchor>
              </controlPr>
            </control>
          </mc:Choice>
        </mc:AlternateContent>
        <mc:AlternateContent xmlns:mc="http://schemas.openxmlformats.org/markup-compatibility/2006">
          <mc:Choice Requires="x14">
            <control shapeId="2065" r:id="rId20" name="Check Box 17">
              <controlPr defaultSize="0" autoFill="0" autoLine="0" autoPict="0" altText="">
                <anchor moveWithCells="1">
                  <from>
                    <xdr:col>1</xdr:col>
                    <xdr:colOff>0</xdr:colOff>
                    <xdr:row>22</xdr:row>
                    <xdr:rowOff>0</xdr:rowOff>
                  </from>
                  <to>
                    <xdr:col>2</xdr:col>
                    <xdr:colOff>0</xdr:colOff>
                    <xdr:row>23</xdr:row>
                    <xdr:rowOff>0</xdr:rowOff>
                  </to>
                </anchor>
              </controlPr>
            </control>
          </mc:Choice>
        </mc:AlternateContent>
        <mc:AlternateContent xmlns:mc="http://schemas.openxmlformats.org/markup-compatibility/2006">
          <mc:Choice Requires="x14">
            <control shapeId="2066" r:id="rId21" name="Check Box 18">
              <controlPr defaultSize="0" autoFill="0" autoLine="0" autoPict="0" altText="">
                <anchor moveWithCells="1">
                  <from>
                    <xdr:col>1</xdr:col>
                    <xdr:colOff>0</xdr:colOff>
                    <xdr:row>23</xdr:row>
                    <xdr:rowOff>0</xdr:rowOff>
                  </from>
                  <to>
                    <xdr:col>2</xdr:col>
                    <xdr:colOff>0</xdr:colOff>
                    <xdr:row>24</xdr:row>
                    <xdr:rowOff>0</xdr:rowOff>
                  </to>
                </anchor>
              </controlPr>
            </control>
          </mc:Choice>
        </mc:AlternateContent>
        <mc:AlternateContent xmlns:mc="http://schemas.openxmlformats.org/markup-compatibility/2006">
          <mc:Choice Requires="x14">
            <control shapeId="2067" r:id="rId22" name="Check Box 19">
              <controlPr defaultSize="0" autoFill="0" autoLine="0" autoPict="0" altText="">
                <anchor moveWithCells="1">
                  <from>
                    <xdr:col>1</xdr:col>
                    <xdr:colOff>0</xdr:colOff>
                    <xdr:row>24</xdr:row>
                    <xdr:rowOff>0</xdr:rowOff>
                  </from>
                  <to>
                    <xdr:col>2</xdr:col>
                    <xdr:colOff>0</xdr:colOff>
                    <xdr:row>25</xdr:row>
                    <xdr:rowOff>0</xdr:rowOff>
                  </to>
                </anchor>
              </controlPr>
            </control>
          </mc:Choice>
        </mc:AlternateContent>
        <mc:AlternateContent xmlns:mc="http://schemas.openxmlformats.org/markup-compatibility/2006">
          <mc:Choice Requires="x14">
            <control shapeId="2068" r:id="rId23" name="Check Box 20">
              <controlPr defaultSize="0" autoFill="0" autoLine="0" autoPict="0" altText="">
                <anchor moveWithCells="1">
                  <from>
                    <xdr:col>1</xdr:col>
                    <xdr:colOff>0</xdr:colOff>
                    <xdr:row>25</xdr:row>
                    <xdr:rowOff>0</xdr:rowOff>
                  </from>
                  <to>
                    <xdr:col>2</xdr:col>
                    <xdr:colOff>0</xdr:colOff>
                    <xdr:row>26</xdr:row>
                    <xdr:rowOff>0</xdr:rowOff>
                  </to>
                </anchor>
              </controlPr>
            </control>
          </mc:Choice>
        </mc:AlternateContent>
        <mc:AlternateContent xmlns:mc="http://schemas.openxmlformats.org/markup-compatibility/2006">
          <mc:Choice Requires="x14">
            <control shapeId="2069" r:id="rId24" name="Check Box 21">
              <controlPr defaultSize="0" autoFill="0" autoLine="0" autoPict="0" altText="">
                <anchor moveWithCells="1">
                  <from>
                    <xdr:col>1</xdr:col>
                    <xdr:colOff>0</xdr:colOff>
                    <xdr:row>26</xdr:row>
                    <xdr:rowOff>0</xdr:rowOff>
                  </from>
                  <to>
                    <xdr:col>2</xdr:col>
                    <xdr:colOff>0</xdr:colOff>
                    <xdr:row>27</xdr:row>
                    <xdr:rowOff>0</xdr:rowOff>
                  </to>
                </anchor>
              </controlPr>
            </control>
          </mc:Choice>
        </mc:AlternateContent>
        <mc:AlternateContent xmlns:mc="http://schemas.openxmlformats.org/markup-compatibility/2006">
          <mc:Choice Requires="x14">
            <control shapeId="2070" r:id="rId25" name="Check Box 22">
              <controlPr defaultSize="0" autoFill="0" autoLine="0" autoPict="0" altText="">
                <anchor moveWithCells="1">
                  <from>
                    <xdr:col>1</xdr:col>
                    <xdr:colOff>0</xdr:colOff>
                    <xdr:row>27</xdr:row>
                    <xdr:rowOff>0</xdr:rowOff>
                  </from>
                  <to>
                    <xdr:col>2</xdr:col>
                    <xdr:colOff>0</xdr:colOff>
                    <xdr:row>28</xdr:row>
                    <xdr:rowOff>0</xdr:rowOff>
                  </to>
                </anchor>
              </controlPr>
            </control>
          </mc:Choice>
        </mc:AlternateContent>
        <mc:AlternateContent xmlns:mc="http://schemas.openxmlformats.org/markup-compatibility/2006">
          <mc:Choice Requires="x14">
            <control shapeId="2071" r:id="rId26" name="Check Box 23">
              <controlPr defaultSize="0" autoFill="0" autoLine="0" autoPict="0" altText="">
                <anchor moveWithCells="1">
                  <from>
                    <xdr:col>1</xdr:col>
                    <xdr:colOff>0</xdr:colOff>
                    <xdr:row>28</xdr:row>
                    <xdr:rowOff>0</xdr:rowOff>
                  </from>
                  <to>
                    <xdr:col>2</xdr:col>
                    <xdr:colOff>0</xdr:colOff>
                    <xdr:row>29</xdr:row>
                    <xdr:rowOff>0</xdr:rowOff>
                  </to>
                </anchor>
              </controlPr>
            </control>
          </mc:Choice>
        </mc:AlternateContent>
        <mc:AlternateContent xmlns:mc="http://schemas.openxmlformats.org/markup-compatibility/2006">
          <mc:Choice Requires="x14">
            <control shapeId="2072" r:id="rId27" name="Check Box 24">
              <controlPr defaultSize="0" autoFill="0" autoLine="0" autoPict="0" altText="">
                <anchor moveWithCells="1">
                  <from>
                    <xdr:col>1</xdr:col>
                    <xdr:colOff>0</xdr:colOff>
                    <xdr:row>29</xdr:row>
                    <xdr:rowOff>0</xdr:rowOff>
                  </from>
                  <to>
                    <xdr:col>2</xdr:col>
                    <xdr:colOff>0</xdr:colOff>
                    <xdr:row>30</xdr:row>
                    <xdr:rowOff>0</xdr:rowOff>
                  </to>
                </anchor>
              </controlPr>
            </control>
          </mc:Choice>
        </mc:AlternateContent>
        <mc:AlternateContent xmlns:mc="http://schemas.openxmlformats.org/markup-compatibility/2006">
          <mc:Choice Requires="x14">
            <control shapeId="2073" r:id="rId28" name="Check Box 25">
              <controlPr defaultSize="0" autoFill="0" autoLine="0" autoPict="0" altText="">
                <anchor moveWithCells="1">
                  <from>
                    <xdr:col>1</xdr:col>
                    <xdr:colOff>0</xdr:colOff>
                    <xdr:row>30</xdr:row>
                    <xdr:rowOff>0</xdr:rowOff>
                  </from>
                  <to>
                    <xdr:col>2</xdr:col>
                    <xdr:colOff>0</xdr:colOff>
                    <xdr:row>31</xdr:row>
                    <xdr:rowOff>0</xdr:rowOff>
                  </to>
                </anchor>
              </controlPr>
            </control>
          </mc:Choice>
        </mc:AlternateContent>
        <mc:AlternateContent xmlns:mc="http://schemas.openxmlformats.org/markup-compatibility/2006">
          <mc:Choice Requires="x14">
            <control shapeId="2074" r:id="rId29" name="Check Box 26">
              <controlPr defaultSize="0" autoFill="0" autoLine="0" autoPict="0" altText="">
                <anchor moveWithCells="1">
                  <from>
                    <xdr:col>1</xdr:col>
                    <xdr:colOff>0</xdr:colOff>
                    <xdr:row>31</xdr:row>
                    <xdr:rowOff>0</xdr:rowOff>
                  </from>
                  <to>
                    <xdr:col>2</xdr:col>
                    <xdr:colOff>0</xdr:colOff>
                    <xdr:row>32</xdr:row>
                    <xdr:rowOff>0</xdr:rowOff>
                  </to>
                </anchor>
              </controlPr>
            </control>
          </mc:Choice>
        </mc:AlternateContent>
        <mc:AlternateContent xmlns:mc="http://schemas.openxmlformats.org/markup-compatibility/2006">
          <mc:Choice Requires="x14">
            <control shapeId="2075" r:id="rId30" name="Check Box 27">
              <controlPr defaultSize="0" autoFill="0" autoLine="0" autoPict="0" altText="">
                <anchor moveWithCells="1">
                  <from>
                    <xdr:col>1</xdr:col>
                    <xdr:colOff>0</xdr:colOff>
                    <xdr:row>32</xdr:row>
                    <xdr:rowOff>0</xdr:rowOff>
                  </from>
                  <to>
                    <xdr:col>2</xdr:col>
                    <xdr:colOff>0</xdr:colOff>
                    <xdr:row>33</xdr:row>
                    <xdr:rowOff>0</xdr:rowOff>
                  </to>
                </anchor>
              </controlPr>
            </control>
          </mc:Choice>
        </mc:AlternateContent>
        <mc:AlternateContent xmlns:mc="http://schemas.openxmlformats.org/markup-compatibility/2006">
          <mc:Choice Requires="x14">
            <control shapeId="2076" r:id="rId31" name="Check Box 28">
              <controlPr defaultSize="0" autoFill="0" autoLine="0" autoPict="0" altText="">
                <anchor moveWithCells="1">
                  <from>
                    <xdr:col>1</xdr:col>
                    <xdr:colOff>0</xdr:colOff>
                    <xdr:row>33</xdr:row>
                    <xdr:rowOff>0</xdr:rowOff>
                  </from>
                  <to>
                    <xdr:col>2</xdr:col>
                    <xdr:colOff>0</xdr:colOff>
                    <xdr:row>34</xdr:row>
                    <xdr:rowOff>0</xdr:rowOff>
                  </to>
                </anchor>
              </controlPr>
            </control>
          </mc:Choice>
        </mc:AlternateContent>
        <mc:AlternateContent xmlns:mc="http://schemas.openxmlformats.org/markup-compatibility/2006">
          <mc:Choice Requires="x14">
            <control shapeId="2077" r:id="rId32" name="Check Box 29">
              <controlPr defaultSize="0" autoFill="0" autoLine="0" autoPict="0" altText="">
                <anchor moveWithCells="1">
                  <from>
                    <xdr:col>1</xdr:col>
                    <xdr:colOff>0</xdr:colOff>
                    <xdr:row>34</xdr:row>
                    <xdr:rowOff>0</xdr:rowOff>
                  </from>
                  <to>
                    <xdr:col>2</xdr:col>
                    <xdr:colOff>0</xdr:colOff>
                    <xdr:row>35</xdr:row>
                    <xdr:rowOff>0</xdr:rowOff>
                  </to>
                </anchor>
              </controlPr>
            </control>
          </mc:Choice>
        </mc:AlternateContent>
        <mc:AlternateContent xmlns:mc="http://schemas.openxmlformats.org/markup-compatibility/2006">
          <mc:Choice Requires="x14">
            <control shapeId="2078" r:id="rId33" name="Check Box 30">
              <controlPr defaultSize="0" autoFill="0" autoLine="0" autoPict="0" altText="">
                <anchor moveWithCells="1">
                  <from>
                    <xdr:col>1</xdr:col>
                    <xdr:colOff>0</xdr:colOff>
                    <xdr:row>35</xdr:row>
                    <xdr:rowOff>0</xdr:rowOff>
                  </from>
                  <to>
                    <xdr:col>2</xdr:col>
                    <xdr:colOff>0</xdr:colOff>
                    <xdr:row>36</xdr:row>
                    <xdr:rowOff>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4">
    <tabColor theme="4" tint="-0.499984740745262"/>
  </sheetPr>
  <dimension ref="A1:CQ96"/>
  <sheetViews>
    <sheetView zoomScale="120" zoomScaleNormal="120" workbookViewId="0">
      <pane xSplit="5" ySplit="6" topLeftCell="F50" activePane="bottomRight" state="frozen"/>
      <selection pane="topRight" activeCell="F1" sqref="F1"/>
      <selection pane="bottomLeft" activeCell="A5" sqref="A5"/>
      <selection pane="bottomRight" activeCell="L85" sqref="L85:N85"/>
    </sheetView>
  </sheetViews>
  <sheetFormatPr baseColWidth="10" defaultColWidth="11.5" defaultRowHeight="15" x14ac:dyDescent="0.2"/>
  <cols>
    <col min="1" max="2" width="5" style="1" customWidth="1"/>
    <col min="3" max="3" width="5" style="2" customWidth="1"/>
    <col min="4" max="4" width="35.6640625" style="2" customWidth="1"/>
    <col min="5" max="5" width="21.5" style="2" customWidth="1"/>
    <col min="6" max="6" width="6.5" customWidth="1"/>
    <col min="7" max="7" width="12.83203125" customWidth="1"/>
    <col min="8" max="8" width="21.5" customWidth="1"/>
    <col min="9" max="9" width="6.5" customWidth="1"/>
    <col min="10" max="10" width="12.83203125" customWidth="1"/>
    <col min="11" max="11" width="21.5" customWidth="1"/>
    <col min="12" max="12" width="6.5" customWidth="1"/>
    <col min="13" max="13" width="12.83203125" customWidth="1"/>
    <col min="14" max="14" width="21.5" customWidth="1"/>
    <col min="15" max="15" width="6.5" customWidth="1"/>
    <col min="16" max="16" width="12.83203125" customWidth="1"/>
    <col min="17" max="17" width="21.5" customWidth="1"/>
    <col min="18" max="18" width="6.5" customWidth="1"/>
    <col min="19" max="19" width="12.83203125" customWidth="1"/>
    <col min="20" max="20" width="21.5" customWidth="1"/>
    <col min="21" max="21" width="6.5" customWidth="1"/>
    <col min="22" max="22" width="12.83203125" customWidth="1"/>
    <col min="23" max="23" width="21.5" customWidth="1"/>
    <col min="24" max="24" width="6.5" customWidth="1"/>
    <col min="25" max="25" width="12.83203125" customWidth="1"/>
    <col min="26" max="26" width="21.5" customWidth="1"/>
    <col min="27" max="27" width="6.5" customWidth="1"/>
    <col min="28" max="28" width="12.83203125" customWidth="1"/>
    <col min="29" max="29" width="21.5" customWidth="1"/>
    <col min="30" max="30" width="6.5" customWidth="1"/>
    <col min="31" max="31" width="12.83203125" customWidth="1"/>
    <col min="32" max="32" width="21.5" customWidth="1"/>
    <col min="33" max="33" width="6.5" customWidth="1"/>
    <col min="34" max="34" width="12.83203125" customWidth="1"/>
    <col min="35" max="35" width="21.5" customWidth="1"/>
    <col min="36" max="36" width="6.5" customWidth="1"/>
    <col min="37" max="37" width="12.83203125" customWidth="1"/>
    <col min="38" max="38" width="21.5" customWidth="1"/>
    <col min="39" max="39" width="6.5" customWidth="1"/>
    <col min="40" max="40" width="12.83203125" customWidth="1"/>
    <col min="41" max="41" width="21.5" customWidth="1"/>
    <col min="42" max="42" width="6.5" customWidth="1"/>
    <col min="43" max="43" width="12.83203125" customWidth="1"/>
    <col min="44" max="44" width="21.5" customWidth="1"/>
    <col min="45" max="45" width="6.5" customWidth="1"/>
    <col min="46" max="46" width="12.83203125" customWidth="1"/>
    <col min="47" max="47" width="21.5" customWidth="1"/>
    <col min="48" max="48" width="6.5" customWidth="1"/>
    <col min="49" max="49" width="12.83203125" customWidth="1"/>
    <col min="50" max="50" width="21.5" customWidth="1"/>
    <col min="51" max="51" width="6.5" customWidth="1"/>
    <col min="52" max="52" width="12.83203125" customWidth="1"/>
    <col min="53" max="53" width="21.5" customWidth="1"/>
    <col min="54" max="54" width="6.5" customWidth="1"/>
    <col min="55" max="55" width="12.83203125" customWidth="1"/>
    <col min="56" max="56" width="21.5" customWidth="1"/>
    <col min="57" max="57" width="6.5" customWidth="1"/>
    <col min="58" max="58" width="12.83203125" customWidth="1"/>
    <col min="59" max="59" width="21.5" customWidth="1"/>
    <col min="60" max="60" width="6.5" customWidth="1"/>
    <col min="61" max="61" width="12.83203125" customWidth="1"/>
    <col min="62" max="62" width="21.5" customWidth="1"/>
    <col min="63" max="63" width="6.5" customWidth="1"/>
    <col min="64" max="64" width="12.83203125" customWidth="1"/>
    <col min="65" max="65" width="21.5" customWidth="1"/>
    <col min="66" max="66" width="6.5" customWidth="1"/>
    <col min="67" max="67" width="12.83203125" customWidth="1"/>
    <col min="68" max="68" width="21.5" customWidth="1"/>
    <col min="69" max="69" width="6.5" customWidth="1"/>
    <col min="70" max="70" width="12.83203125" customWidth="1"/>
    <col min="71" max="71" width="21.5" customWidth="1"/>
    <col min="72" max="72" width="6.5" customWidth="1"/>
    <col min="73" max="73" width="12.83203125" customWidth="1"/>
    <col min="74" max="74" width="21.5" customWidth="1"/>
    <col min="75" max="75" width="6.5" customWidth="1"/>
    <col min="76" max="76" width="12.83203125" customWidth="1"/>
    <col min="77" max="77" width="21.5" customWidth="1"/>
    <col min="78" max="78" width="6.5" customWidth="1"/>
    <col min="79" max="79" width="12.83203125" customWidth="1"/>
    <col min="80" max="80" width="21.5" customWidth="1"/>
    <col min="81" max="81" width="6.5" customWidth="1"/>
    <col min="82" max="82" width="12.83203125" customWidth="1"/>
    <col min="83" max="83" width="21.5" customWidth="1"/>
    <col min="84" max="84" width="6.5" customWidth="1"/>
    <col min="85" max="85" width="12.83203125" customWidth="1"/>
    <col min="86" max="86" width="21.5" customWidth="1"/>
    <col min="87" max="87" width="6.5" customWidth="1"/>
    <col min="88" max="88" width="12.83203125" customWidth="1"/>
    <col min="89" max="89" width="21.5" customWidth="1"/>
    <col min="90" max="90" width="6.5" customWidth="1"/>
    <col min="91" max="91" width="12.83203125" customWidth="1"/>
    <col min="92" max="92" width="21.5" customWidth="1"/>
    <col min="93" max="93" width="6.5" customWidth="1"/>
    <col min="94" max="94" width="12.83203125" customWidth="1"/>
    <col min="95" max="95" width="21.5" customWidth="1"/>
  </cols>
  <sheetData>
    <row r="1" spans="1:95" s="3" customFormat="1" x14ac:dyDescent="0.2">
      <c r="A1" s="5"/>
      <c r="B1" s="5"/>
      <c r="C1" s="6"/>
      <c r="D1" s="6"/>
      <c r="E1" s="6"/>
    </row>
    <row r="2" spans="1:95" s="3" customFormat="1" x14ac:dyDescent="0.2">
      <c r="A2" s="5"/>
      <c r="B2" s="5"/>
      <c r="C2" s="6"/>
      <c r="D2" s="6"/>
      <c r="E2" s="6"/>
    </row>
    <row r="3" spans="1:95" s="10" customFormat="1" ht="27" customHeight="1" x14ac:dyDescent="0.2">
      <c r="A3" s="275" t="s">
        <v>23</v>
      </c>
      <c r="B3" s="275"/>
      <c r="C3" s="275"/>
      <c r="D3" s="275"/>
      <c r="E3" s="276"/>
    </row>
    <row r="4" spans="1:95" s="10" customFormat="1" x14ac:dyDescent="0.2">
      <c r="A4" s="40"/>
      <c r="B4" s="40"/>
      <c r="C4" s="9"/>
      <c r="D4" s="9"/>
      <c r="E4" s="9"/>
    </row>
    <row r="5" spans="1:95" s="10" customFormat="1" ht="17.25" customHeight="1" thickBot="1" x14ac:dyDescent="0.25">
      <c r="A5" s="7" t="s">
        <v>24</v>
      </c>
      <c r="B5" s="8"/>
      <c r="C5" s="7"/>
      <c r="D5" s="9"/>
      <c r="E5" s="9"/>
    </row>
    <row r="6" spans="1:95" s="14" customFormat="1" ht="30" customHeight="1" x14ac:dyDescent="0.2">
      <c r="A6" s="59" t="s">
        <v>25</v>
      </c>
      <c r="B6" s="60" t="s">
        <v>26</v>
      </c>
      <c r="C6" s="60" t="s">
        <v>27</v>
      </c>
      <c r="D6" s="296" t="s">
        <v>28</v>
      </c>
      <c r="E6" s="298"/>
      <c r="F6" s="296" t="str">
        <f>IF(SUMMARY!C7="","",SUMMARY!I7)</f>
        <v>1 - Matthew-David Ogbechie, 2023</v>
      </c>
      <c r="G6" s="297"/>
      <c r="H6" s="298"/>
      <c r="I6" s="296" t="str">
        <f>IF(SUMMARY!C8="","",SUMMARY!I8)</f>
        <v>2 - Esra, Rachel, 2023</v>
      </c>
      <c r="J6" s="297" t="s">
        <v>29</v>
      </c>
      <c r="K6" s="298" t="s">
        <v>30</v>
      </c>
      <c r="L6" s="296" t="str">
        <f>IF(SUMMARY!C9="","",SUMMARY!I9)</f>
        <v>3 - Esra, Rachel, 2023</v>
      </c>
      <c r="M6" s="297"/>
      <c r="N6" s="298"/>
      <c r="O6" s="296" t="str">
        <f>IF(SUMMARY!C10="","",SUMMARY!I10)</f>
        <v>4 - Stockman, Jeni , 2022</v>
      </c>
      <c r="P6" s="297"/>
      <c r="Q6" s="298"/>
      <c r="R6" s="296" t="str">
        <f>IF(SUMMARY!C11="","",SUMMARY!I11)</f>
        <v>5 - Stockman, Jeni , 2022</v>
      </c>
      <c r="S6" s="297"/>
      <c r="T6" s="298"/>
      <c r="U6" s="296" t="str">
        <f>IF(SUMMARY!C12="","",SUMMARY!I12)</f>
        <v>6 - Arthi, Ramachandran, 2020</v>
      </c>
      <c r="V6" s="297"/>
      <c r="W6" s="298"/>
      <c r="X6" s="296" t="str">
        <f>IF(SUMMARY!C13="","",SUMMARY!I13)</f>
        <v>7 - Arthi, Ramachandran, 2020</v>
      </c>
      <c r="Y6" s="297"/>
      <c r="Z6" s="298"/>
      <c r="AA6" s="296" t="str">
        <f>IF(SUMMARY!C14="","",SUMMARY!I14)</f>
        <v>8 - Brian W. Pence, 2018</v>
      </c>
      <c r="AB6" s="297"/>
      <c r="AC6" s="298"/>
      <c r="AD6" s="296" t="str">
        <f>IF(SUMMARY!C15="","",SUMMARY!I15)</f>
        <v>9 - Mhairi, Maskew, 2022</v>
      </c>
      <c r="AE6" s="297"/>
      <c r="AF6" s="298"/>
      <c r="AG6" s="296" t="str">
        <f>IF(SUMMARY!C16="","",SUMMARY!I16)</f>
        <v>10 - Mhairi, Maskew, 2024</v>
      </c>
      <c r="AH6" s="297"/>
      <c r="AI6" s="298"/>
      <c r="AJ6" s="296" t="str">
        <f>IF(SUMMARY!C17="","",SUMMARY!I17)</f>
        <v>11 - Joseph A Mason, 2023</v>
      </c>
      <c r="AK6" s="297"/>
      <c r="AL6" s="298"/>
      <c r="AM6" s="296" t="str">
        <f>IF(SUMMARY!C18="","",SUMMARY!I18)</f>
        <v>12 - Carolyn A Fahey, 2022</v>
      </c>
      <c r="AN6" s="297"/>
      <c r="AO6" s="298"/>
      <c r="AP6" s="296" t="str">
        <f>IF(SUMMARY!C19="","",SUMMARY!I19)</f>
        <v/>
      </c>
      <c r="AQ6" s="297"/>
      <c r="AR6" s="298"/>
      <c r="AS6" s="296" t="str">
        <f>IF(SUMMARY!C20="","",SUMMARY!I20)</f>
        <v/>
      </c>
      <c r="AT6" s="297"/>
      <c r="AU6" s="298"/>
      <c r="AV6" s="296" t="str">
        <f>IF(SUMMARY!C21="","",SUMMARY!I21)</f>
        <v/>
      </c>
      <c r="AW6" s="297"/>
      <c r="AX6" s="298"/>
      <c r="AY6" s="296" t="str">
        <f>IF(SUMMARY!C22="","",SUMMARY!I22)</f>
        <v/>
      </c>
      <c r="AZ6" s="297"/>
      <c r="BA6" s="298"/>
      <c r="BB6" s="296" t="str">
        <f>IF(SUMMARY!C23="","",SUMMARY!I23)</f>
        <v/>
      </c>
      <c r="BC6" s="297"/>
      <c r="BD6" s="298"/>
      <c r="BE6" s="296" t="str">
        <f>IF(SUMMARY!C24="","",SUMMARY!I24)</f>
        <v/>
      </c>
      <c r="BF6" s="297"/>
      <c r="BG6" s="298"/>
      <c r="BH6" s="296" t="str">
        <f>IF(SUMMARY!C25="","",SUMMARY!I25)</f>
        <v/>
      </c>
      <c r="BI6" s="297"/>
      <c r="BJ6" s="298"/>
      <c r="BK6" s="296" t="str">
        <f>IF(SUMMARY!C26="","",SUMMARY!I26)</f>
        <v/>
      </c>
      <c r="BL6" s="297"/>
      <c r="BM6" s="298"/>
      <c r="BN6" s="296" t="str">
        <f>IF(SUMMARY!C27="","",SUMMARY!I27)</f>
        <v/>
      </c>
      <c r="BO6" s="297"/>
      <c r="BP6" s="298"/>
      <c r="BQ6" s="296" t="str">
        <f>IF(SUMMARY!C28="","",SUMMARY!I28)</f>
        <v/>
      </c>
      <c r="BR6" s="297"/>
      <c r="BS6" s="298"/>
      <c r="BT6" s="296" t="str">
        <f>IF(SUMMARY!C29="","",SUMMARY!I29)</f>
        <v/>
      </c>
      <c r="BU6" s="297"/>
      <c r="BV6" s="298"/>
      <c r="BW6" s="296" t="str">
        <f>IF(SUMMARY!C30="","",SUMMARY!I30)</f>
        <v/>
      </c>
      <c r="BX6" s="297"/>
      <c r="BY6" s="298"/>
      <c r="BZ6" s="296" t="str">
        <f>IF(SUMMARY!C31="","",SUMMARY!I31)</f>
        <v/>
      </c>
      <c r="CA6" s="297"/>
      <c r="CB6" s="298"/>
      <c r="CC6" s="296" t="str">
        <f>IF(SUMMARY!C32="","",SUMMARY!I32)</f>
        <v/>
      </c>
      <c r="CD6" s="297"/>
      <c r="CE6" s="298"/>
      <c r="CF6" s="296" t="str">
        <f>IF(SUMMARY!C33="","",SUMMARY!I33)</f>
        <v/>
      </c>
      <c r="CG6" s="297"/>
      <c r="CH6" s="298"/>
      <c r="CI6" s="296" t="str">
        <f>IF(SUMMARY!C34="","",SUMMARY!I34)</f>
        <v/>
      </c>
      <c r="CJ6" s="297"/>
      <c r="CK6" s="298"/>
      <c r="CL6" s="296" t="str">
        <f>IF(SUMMARY!C35="","",SUMMARY!I35)</f>
        <v/>
      </c>
      <c r="CM6" s="297"/>
      <c r="CN6" s="297"/>
      <c r="CO6" s="296" t="str">
        <f>IF(SUMMARY!C36="","",SUMMARY!I36)</f>
        <v/>
      </c>
      <c r="CP6" s="297"/>
      <c r="CQ6" s="297"/>
    </row>
    <row r="7" spans="1:95" ht="18.75" customHeight="1" x14ac:dyDescent="0.2">
      <c r="A7" s="335" t="s">
        <v>31</v>
      </c>
      <c r="B7" s="335"/>
      <c r="C7" s="335"/>
      <c r="D7" s="335"/>
      <c r="E7" s="336"/>
      <c r="F7" s="281"/>
      <c r="G7" s="280"/>
      <c r="H7" s="280"/>
      <c r="I7" s="280"/>
      <c r="J7" s="280"/>
      <c r="K7" s="280"/>
      <c r="L7" s="280"/>
      <c r="M7" s="280"/>
      <c r="N7" s="280"/>
      <c r="O7" s="280"/>
      <c r="P7" s="280"/>
      <c r="Q7" s="280"/>
      <c r="R7" s="280"/>
      <c r="S7" s="280"/>
      <c r="T7" s="280"/>
      <c r="U7" s="280"/>
      <c r="V7" s="280"/>
      <c r="W7" s="280"/>
      <c r="X7" s="280"/>
      <c r="Y7" s="280"/>
      <c r="Z7" s="280"/>
      <c r="AA7" s="280"/>
      <c r="AB7" s="280"/>
      <c r="AC7" s="280"/>
      <c r="AD7" s="280"/>
      <c r="AE7" s="280"/>
      <c r="AF7" s="280"/>
      <c r="AG7" s="280"/>
      <c r="AH7" s="280"/>
      <c r="AI7" s="280"/>
      <c r="AJ7" s="281"/>
      <c r="AK7" s="280"/>
      <c r="AL7" s="280"/>
      <c r="AM7" s="280"/>
      <c r="AN7" s="280"/>
      <c r="AO7" s="280"/>
      <c r="AP7" s="280"/>
      <c r="AQ7" s="280"/>
      <c r="AR7" s="280"/>
      <c r="AS7" s="280"/>
      <c r="AT7" s="280"/>
      <c r="AU7" s="280"/>
      <c r="AV7" s="280"/>
      <c r="AW7" s="280"/>
      <c r="AX7" s="280"/>
      <c r="AY7" s="280"/>
      <c r="AZ7" s="280"/>
      <c r="BA7" s="280"/>
      <c r="BB7" s="280"/>
      <c r="BC7" s="280"/>
      <c r="BD7" s="280"/>
      <c r="BE7" s="280"/>
      <c r="BF7" s="280"/>
      <c r="BG7" s="280"/>
      <c r="BH7" s="280"/>
      <c r="BI7" s="280"/>
      <c r="BJ7" s="280"/>
      <c r="BK7" s="280"/>
      <c r="BL7" s="280"/>
      <c r="BM7" s="280"/>
      <c r="BN7" s="280"/>
      <c r="BO7" s="280"/>
      <c r="BP7" s="280"/>
      <c r="BQ7" s="280"/>
      <c r="BR7" s="280"/>
      <c r="BS7" s="280"/>
      <c r="BT7" s="280"/>
      <c r="BU7" s="280"/>
      <c r="BV7" s="280"/>
      <c r="BW7" s="280"/>
      <c r="BX7" s="280"/>
      <c r="BY7" s="280"/>
      <c r="BZ7" s="280"/>
      <c r="CA7" s="280"/>
      <c r="CB7" s="280"/>
      <c r="CC7" s="280"/>
      <c r="CD7" s="280"/>
      <c r="CE7" s="280"/>
      <c r="CF7" s="280"/>
      <c r="CG7" s="280"/>
      <c r="CH7" s="280"/>
      <c r="CI7" s="280"/>
      <c r="CJ7" s="280"/>
      <c r="CK7" s="280"/>
      <c r="CL7" s="280"/>
      <c r="CM7" s="280"/>
      <c r="CN7" s="280"/>
      <c r="CO7" s="281"/>
      <c r="CP7" s="280"/>
      <c r="CQ7" s="280"/>
    </row>
    <row r="8" spans="1:95" s="14" customFormat="1" ht="15" customHeight="1" x14ac:dyDescent="0.2">
      <c r="A8" s="61" t="s">
        <v>32</v>
      </c>
      <c r="B8" s="61"/>
      <c r="C8" s="61"/>
      <c r="D8" s="329" t="s">
        <v>33</v>
      </c>
      <c r="E8" s="330"/>
      <c r="F8" s="305" t="str">
        <f>IF(SUMMARY!$D7="","",SUMMARY!$D7)</f>
        <v>Matthew-David Ogbechie</v>
      </c>
      <c r="G8" s="306"/>
      <c r="H8" s="306"/>
      <c r="I8" s="305" t="str">
        <f>IF(SUMMARY!$D8="","",SUMMARY!$D8)</f>
        <v>Esra, Rachel</v>
      </c>
      <c r="J8" s="306"/>
      <c r="K8" s="306"/>
      <c r="L8" s="305" t="str">
        <f>IF(SUMMARY!$D9="","",SUMMARY!$D9)</f>
        <v>Esra, Rachel</v>
      </c>
      <c r="M8" s="306"/>
      <c r="N8" s="306"/>
      <c r="O8" s="305" t="str">
        <f>IF(SUMMARY!$D10="","",SUMMARY!$D10)</f>
        <v xml:space="preserve">Stockman, Jeni </v>
      </c>
      <c r="P8" s="306"/>
      <c r="Q8" s="306"/>
      <c r="R8" s="305" t="str">
        <f>IF(SUMMARY!$D11="","",SUMMARY!$D11)</f>
        <v xml:space="preserve">Stockman, Jeni </v>
      </c>
      <c r="S8" s="306"/>
      <c r="T8" s="306"/>
      <c r="U8" s="305" t="str">
        <f>IF(SUMMARY!$D12="","",SUMMARY!$D12)</f>
        <v>Arthi, Ramachandran</v>
      </c>
      <c r="V8" s="306"/>
      <c r="W8" s="306"/>
      <c r="X8" s="305" t="str">
        <f>IF(SUMMARY!$D13="","",SUMMARY!$D13)</f>
        <v>Arthi, Ramachandran</v>
      </c>
      <c r="Y8" s="306"/>
      <c r="Z8" s="306"/>
      <c r="AA8" s="305" t="str">
        <f>IF(SUMMARY!$D14="","",SUMMARY!$D14)</f>
        <v>Brian W. Pence</v>
      </c>
      <c r="AB8" s="306"/>
      <c r="AC8" s="306"/>
      <c r="AD8" s="305" t="str">
        <f>IF(SUMMARY!$D15="","",SUMMARY!$D15)</f>
        <v>Mhairi, Maskew</v>
      </c>
      <c r="AE8" s="306"/>
      <c r="AF8" s="306"/>
      <c r="AG8" s="305" t="str">
        <f>IF(SUMMARY!$D16="","",SUMMARY!$D16)</f>
        <v>Mhairi, Maskew</v>
      </c>
      <c r="AH8" s="306"/>
      <c r="AI8" s="306"/>
      <c r="AJ8" s="305" t="str">
        <f>IF(SUMMARY!$D17="","",SUMMARY!$D17)</f>
        <v>Joseph A Mason</v>
      </c>
      <c r="AK8" s="306"/>
      <c r="AL8" s="306"/>
      <c r="AM8" s="305" t="str">
        <f>IF(SUMMARY!$D18="","",SUMMARY!$D18)</f>
        <v>Carolyn A Fahey</v>
      </c>
      <c r="AN8" s="306"/>
      <c r="AO8" s="306"/>
      <c r="AP8" s="305" t="str">
        <f>IF(SUMMARY!$D19="","",SUMMARY!$D19)</f>
        <v/>
      </c>
      <c r="AQ8" s="306"/>
      <c r="AR8" s="306"/>
      <c r="AS8" s="305" t="str">
        <f>IF(SUMMARY!$D20="","",SUMMARY!$D20)</f>
        <v/>
      </c>
      <c r="AT8" s="306"/>
      <c r="AU8" s="306"/>
      <c r="AV8" s="305" t="str">
        <f>IF(SUMMARY!$D21="","",SUMMARY!$D21)</f>
        <v/>
      </c>
      <c r="AW8" s="306"/>
      <c r="AX8" s="306"/>
      <c r="AY8" s="305" t="str">
        <f>IF(SUMMARY!$D22="","",SUMMARY!$D22)</f>
        <v/>
      </c>
      <c r="AZ8" s="306"/>
      <c r="BA8" s="306"/>
      <c r="BB8" s="305" t="str">
        <f>IF(SUMMARY!$D23="","",SUMMARY!$D23)</f>
        <v/>
      </c>
      <c r="BC8" s="306"/>
      <c r="BD8" s="306"/>
      <c r="BE8" s="305" t="str">
        <f>IF(SUMMARY!$D24="","",SUMMARY!$D24)</f>
        <v/>
      </c>
      <c r="BF8" s="306"/>
      <c r="BG8" s="306"/>
      <c r="BH8" s="305" t="str">
        <f>IF(SUMMARY!$D25="","",SUMMARY!$D25)</f>
        <v/>
      </c>
      <c r="BI8" s="306"/>
      <c r="BJ8" s="306"/>
      <c r="BK8" s="305" t="str">
        <f>IF(SUMMARY!$D26="","",SUMMARY!$D26)</f>
        <v/>
      </c>
      <c r="BL8" s="306"/>
      <c r="BM8" s="306"/>
      <c r="BN8" s="305" t="str">
        <f>IF(SUMMARY!$D27="","",SUMMARY!$D27)</f>
        <v/>
      </c>
      <c r="BO8" s="306"/>
      <c r="BP8" s="306"/>
      <c r="BQ8" s="305" t="str">
        <f>IF(SUMMARY!$D28="","",SUMMARY!$D28)</f>
        <v/>
      </c>
      <c r="BR8" s="306"/>
      <c r="BS8" s="306"/>
      <c r="BT8" s="305" t="str">
        <f>IF(SUMMARY!$D29="","",SUMMARY!$D29)</f>
        <v/>
      </c>
      <c r="BU8" s="306"/>
      <c r="BV8" s="306"/>
      <c r="BW8" s="305" t="str">
        <f>IF(SUMMARY!$D30="","",SUMMARY!$D30)</f>
        <v/>
      </c>
      <c r="BX8" s="306"/>
      <c r="BY8" s="306"/>
      <c r="BZ8" s="305" t="str">
        <f>IF(SUMMARY!$D31="","",SUMMARY!$D31)</f>
        <v/>
      </c>
      <c r="CA8" s="306"/>
      <c r="CB8" s="306"/>
      <c r="CC8" s="305" t="str">
        <f>IF(SUMMARY!$D32="","",SUMMARY!$D32)</f>
        <v/>
      </c>
      <c r="CD8" s="306"/>
      <c r="CE8" s="306"/>
      <c r="CF8" s="305" t="str">
        <f>IF(SUMMARY!$D33="","",SUMMARY!$D33)</f>
        <v/>
      </c>
      <c r="CG8" s="306"/>
      <c r="CH8" s="306"/>
      <c r="CI8" s="305" t="str">
        <f>IF(SUMMARY!$D34="","",SUMMARY!$D34)</f>
        <v/>
      </c>
      <c r="CJ8" s="306"/>
      <c r="CK8" s="306"/>
      <c r="CL8" s="305" t="str">
        <f>IF(SUMMARY!$D35="","",SUMMARY!$D35)</f>
        <v/>
      </c>
      <c r="CM8" s="306"/>
      <c r="CN8" s="306"/>
      <c r="CO8" s="305" t="str">
        <f>IF(SUMMARY!$D36="","",SUMMARY!$D36)</f>
        <v/>
      </c>
      <c r="CP8" s="306"/>
      <c r="CQ8" s="306"/>
    </row>
    <row r="9" spans="1:95" s="14" customFormat="1" ht="15" customHeight="1" x14ac:dyDescent="0.2">
      <c r="A9" s="62" t="s">
        <v>32</v>
      </c>
      <c r="B9" s="62"/>
      <c r="C9" s="62"/>
      <c r="D9" s="327" t="s">
        <v>34</v>
      </c>
      <c r="E9" s="328"/>
      <c r="F9" s="302">
        <f>IF(SUMMARY!$E7="","",SUMMARY!$E7)</f>
        <v>2023</v>
      </c>
      <c r="G9" s="303"/>
      <c r="H9" s="304"/>
      <c r="I9" s="302">
        <f>IF(SUMMARY!$E8="","",SUMMARY!$E8)</f>
        <v>2023</v>
      </c>
      <c r="J9" s="303"/>
      <c r="K9" s="304"/>
      <c r="L9" s="302">
        <f>IF(SUMMARY!$E9="","",SUMMARY!$E9)</f>
        <v>2023</v>
      </c>
      <c r="M9" s="303"/>
      <c r="N9" s="304"/>
      <c r="O9" s="302">
        <f>IF(SUMMARY!$E10="","",SUMMARY!$E10)</f>
        <v>2022</v>
      </c>
      <c r="P9" s="303"/>
      <c r="Q9" s="304"/>
      <c r="R9" s="302">
        <f>IF(SUMMARY!$E11="","",SUMMARY!$E11)</f>
        <v>2022</v>
      </c>
      <c r="S9" s="303"/>
      <c r="T9" s="304"/>
      <c r="U9" s="302">
        <f>IF(SUMMARY!$E12="","",SUMMARY!$E12)</f>
        <v>2020</v>
      </c>
      <c r="V9" s="303"/>
      <c r="W9" s="304"/>
      <c r="X9" s="302">
        <f>IF(SUMMARY!$E13="","",SUMMARY!$E13)</f>
        <v>2020</v>
      </c>
      <c r="Y9" s="303"/>
      <c r="Z9" s="304"/>
      <c r="AA9" s="302">
        <f>IF(SUMMARY!$E14="","",SUMMARY!$E14)</f>
        <v>2018</v>
      </c>
      <c r="AB9" s="303"/>
      <c r="AC9" s="304"/>
      <c r="AD9" s="302">
        <f>IF(SUMMARY!$E15="","",SUMMARY!$E15)</f>
        <v>2022</v>
      </c>
      <c r="AE9" s="303"/>
      <c r="AF9" s="304"/>
      <c r="AG9" s="302">
        <f>IF(SUMMARY!$E16="","",SUMMARY!$E16)</f>
        <v>2024</v>
      </c>
      <c r="AH9" s="303"/>
      <c r="AI9" s="304"/>
      <c r="AJ9" s="302">
        <f>IF(SUMMARY!$E17="","",SUMMARY!$E17)</f>
        <v>2023</v>
      </c>
      <c r="AK9" s="303"/>
      <c r="AL9" s="304"/>
      <c r="AM9" s="302">
        <f>IF(SUMMARY!$E18="","",SUMMARY!$E18)</f>
        <v>2022</v>
      </c>
      <c r="AN9" s="303"/>
      <c r="AO9" s="304"/>
      <c r="AP9" s="302" t="str">
        <f>IF(SUMMARY!$E19="","",SUMMARY!$E19)</f>
        <v/>
      </c>
      <c r="AQ9" s="303"/>
      <c r="AR9" s="304"/>
      <c r="AS9" s="302" t="str">
        <f>IF(SUMMARY!$E20="","",SUMMARY!$E20)</f>
        <v/>
      </c>
      <c r="AT9" s="303"/>
      <c r="AU9" s="304"/>
      <c r="AV9" s="302" t="str">
        <f>IF(SUMMARY!$E21="","",SUMMARY!$E21)</f>
        <v/>
      </c>
      <c r="AW9" s="303"/>
      <c r="AX9" s="304"/>
      <c r="AY9" s="302" t="str">
        <f>IF(SUMMARY!$E22="","",SUMMARY!$E22)</f>
        <v/>
      </c>
      <c r="AZ9" s="303"/>
      <c r="BA9" s="304"/>
      <c r="BB9" s="302" t="str">
        <f>IF(SUMMARY!$E23="","",SUMMARY!$E23)</f>
        <v/>
      </c>
      <c r="BC9" s="303"/>
      <c r="BD9" s="304"/>
      <c r="BE9" s="302" t="str">
        <f>IF(SUMMARY!$E24="","",SUMMARY!$E24)</f>
        <v/>
      </c>
      <c r="BF9" s="303"/>
      <c r="BG9" s="304"/>
      <c r="BH9" s="302" t="str">
        <f>IF(SUMMARY!$E25="","",SUMMARY!$E25)</f>
        <v/>
      </c>
      <c r="BI9" s="303"/>
      <c r="BJ9" s="304"/>
      <c r="BK9" s="302" t="str">
        <f>IF(SUMMARY!$E26="","",SUMMARY!$E26)</f>
        <v/>
      </c>
      <c r="BL9" s="303"/>
      <c r="BM9" s="304"/>
      <c r="BN9" s="302" t="str">
        <f>IF(SUMMARY!$E27="","",SUMMARY!$E27)</f>
        <v/>
      </c>
      <c r="BO9" s="303"/>
      <c r="BP9" s="304"/>
      <c r="BQ9" s="302" t="str">
        <f>IF(SUMMARY!$E28="","",SUMMARY!$E28)</f>
        <v/>
      </c>
      <c r="BR9" s="303"/>
      <c r="BS9" s="304"/>
      <c r="BT9" s="302" t="str">
        <f>IF(SUMMARY!$E29="","",SUMMARY!$E29)</f>
        <v/>
      </c>
      <c r="BU9" s="303"/>
      <c r="BV9" s="304"/>
      <c r="BW9" s="302" t="str">
        <f>IF(SUMMARY!$E30="","",SUMMARY!$E30)</f>
        <v/>
      </c>
      <c r="BX9" s="303"/>
      <c r="BY9" s="304"/>
      <c r="BZ9" s="302" t="str">
        <f>IF(SUMMARY!$E31="","",SUMMARY!$E31)</f>
        <v/>
      </c>
      <c r="CA9" s="303"/>
      <c r="CB9" s="304"/>
      <c r="CC9" s="302" t="str">
        <f>IF(SUMMARY!$E32="","",SUMMARY!$E32)</f>
        <v/>
      </c>
      <c r="CD9" s="303"/>
      <c r="CE9" s="304"/>
      <c r="CF9" s="302" t="str">
        <f>IF(SUMMARY!$E33="","",SUMMARY!$E33)</f>
        <v/>
      </c>
      <c r="CG9" s="303"/>
      <c r="CH9" s="304"/>
      <c r="CI9" s="302" t="str">
        <f>IF(SUMMARY!$E34="","",SUMMARY!$E34)</f>
        <v/>
      </c>
      <c r="CJ9" s="303"/>
      <c r="CK9" s="304"/>
      <c r="CL9" s="302" t="str">
        <f>IF(SUMMARY!$E35="","",SUMMARY!$E35)</f>
        <v/>
      </c>
      <c r="CM9" s="303"/>
      <c r="CN9" s="303"/>
      <c r="CO9" s="302" t="str">
        <f>IF(SUMMARY!$E36="","",SUMMARY!$E36)</f>
        <v/>
      </c>
      <c r="CP9" s="303"/>
      <c r="CQ9" s="303"/>
    </row>
    <row r="10" spans="1:95" s="14" customFormat="1" ht="15" customHeight="1" x14ac:dyDescent="0.2">
      <c r="A10" s="62" t="s">
        <v>32</v>
      </c>
      <c r="B10" s="62"/>
      <c r="C10" s="62"/>
      <c r="D10" s="327" t="s">
        <v>35</v>
      </c>
      <c r="E10" s="328"/>
      <c r="F10" s="302" t="str">
        <f>IF(SUMMARY!$F7="","",SUMMARY!$F7)</f>
        <v>Predicting Treatment Interruption Among People Living With HIV in Nigeria: Machine Learning Approach</v>
      </c>
      <c r="G10" s="303"/>
      <c r="H10" s="304"/>
      <c r="I10" s="302" t="str">
        <f>IF(SUMMARY!$F8="","",SUMMARY!$F8)</f>
        <v>Validation and Improvement of a Machine Learning Model to Predict Interruptions in Antiretroviral Treatment in South Africa</v>
      </c>
      <c r="J10" s="303"/>
      <c r="K10" s="304"/>
      <c r="L10" s="302" t="str">
        <f>IF(SUMMARY!$F9="","",SUMMARY!$F9)</f>
        <v>Validation and Improvement of a Machine Learning Model to Predict Interruptions in Antiretroviral Treatment in South Africa</v>
      </c>
      <c r="M10" s="303"/>
      <c r="N10" s="304"/>
      <c r="O10" s="302" t="str">
        <f>IF(SUMMARY!$F10="","",SUMMARY!$F10)</f>
        <v>Predictive analytics using machine learning to identify ART clients at health system level at greatest risk of treatment interruption in Mozambique and Nigeria</v>
      </c>
      <c r="P10" s="303"/>
      <c r="Q10" s="304"/>
      <c r="R10" s="302" t="str">
        <f>IF(SUMMARY!$F11="","",SUMMARY!$F11)</f>
        <v>Predictive analytics using machine learning to identify ART clients at health system level at greatest risk of treatment interruption in Mozambique and Nigeria</v>
      </c>
      <c r="S10" s="303"/>
      <c r="T10" s="304"/>
      <c r="U10" s="302" t="str">
        <f>IF(SUMMARY!$F12="","",SUMMARY!$F12)</f>
        <v>Predictive Analytics for Retention in Care in an Urban HIV Clinic</v>
      </c>
      <c r="V10" s="303"/>
      <c r="W10" s="304"/>
      <c r="X10" s="302" t="str">
        <f>IF(SUMMARY!$F13="","",SUMMARY!$F13)</f>
        <v>Predictive Analytics for Retention in Care in an Urban HIV Clinic</v>
      </c>
      <c r="Y10" s="303"/>
      <c r="Z10" s="304"/>
      <c r="AA10" s="302" t="str">
        <f>IF(SUMMARY!$F14="","",SUMMARY!$F14)</f>
        <v>Who will show? Predicting missed visits among patients in routine HIV primary care in the United States</v>
      </c>
      <c r="AB10" s="303"/>
      <c r="AC10" s="304"/>
      <c r="AD10" s="302" t="str">
        <f>IF(SUMMARY!$F15="","",SUMMARY!$F15)</f>
        <v>Applying machine learning and predictive modeling to retention and viral suppression in South African HIV treatment cohorts</v>
      </c>
      <c r="AE10" s="303"/>
      <c r="AF10" s="304"/>
      <c r="AG10" s="302" t="str">
        <f>IF(SUMMARY!$F16="","",SUMMARY!$F16)</f>
        <v>Triaging clients at risk of disengagement from HIV care: Application of a predictive model to clinical trial data in South Africa</v>
      </c>
      <c r="AH10" s="303"/>
      <c r="AI10" s="304"/>
      <c r="AJ10" s="302" t="str">
        <f>IF(SUMMARY!$F17="","",SUMMARY!$F17)</f>
        <v>No-show Prediction Model Performance Among People With HIV:External Validation Study</v>
      </c>
      <c r="AK10" s="303"/>
      <c r="AL10" s="304"/>
      <c r="AM10" s="302" t="str">
        <f>IF(SUMMARY!$F18="","",SUMMARY!$F18)</f>
        <v>Machine learning with routine electronic medical record data to identify people at high risk of disengagement from HIV care in Tanzania</v>
      </c>
      <c r="AN10" s="303"/>
      <c r="AO10" s="304"/>
      <c r="AP10" s="302" t="str">
        <f>IF(SUMMARY!$F19="","",SUMMARY!$F19)</f>
        <v/>
      </c>
      <c r="AQ10" s="303"/>
      <c r="AR10" s="304"/>
      <c r="AS10" s="302" t="str">
        <f>IF(SUMMARY!$F20="","",SUMMARY!$F20)</f>
        <v/>
      </c>
      <c r="AT10" s="303"/>
      <c r="AU10" s="304"/>
      <c r="AV10" s="302" t="str">
        <f>IF(SUMMARY!$F21="","",SUMMARY!$F21)</f>
        <v/>
      </c>
      <c r="AW10" s="303"/>
      <c r="AX10" s="304"/>
      <c r="AY10" s="302" t="str">
        <f>IF(SUMMARY!$F22="","",SUMMARY!$F22)</f>
        <v/>
      </c>
      <c r="AZ10" s="303"/>
      <c r="BA10" s="304"/>
      <c r="BB10" s="302" t="str">
        <f>IF(SUMMARY!$F23="","",SUMMARY!$F23)</f>
        <v/>
      </c>
      <c r="BC10" s="303"/>
      <c r="BD10" s="304"/>
      <c r="BE10" s="302" t="str">
        <f>IF(SUMMARY!$F24="","",SUMMARY!$F24)</f>
        <v/>
      </c>
      <c r="BF10" s="303"/>
      <c r="BG10" s="304"/>
      <c r="BH10" s="302" t="str">
        <f>IF(SUMMARY!$F25="","",SUMMARY!$F25)</f>
        <v/>
      </c>
      <c r="BI10" s="303"/>
      <c r="BJ10" s="304"/>
      <c r="BK10" s="302" t="str">
        <f>IF(SUMMARY!$F26="","",SUMMARY!$F26)</f>
        <v/>
      </c>
      <c r="BL10" s="303"/>
      <c r="BM10" s="304"/>
      <c r="BN10" s="302" t="str">
        <f>IF(SUMMARY!$F27="","",SUMMARY!$F27)</f>
        <v/>
      </c>
      <c r="BO10" s="303"/>
      <c r="BP10" s="304"/>
      <c r="BQ10" s="302" t="str">
        <f>IF(SUMMARY!$F28="","",SUMMARY!$F28)</f>
        <v/>
      </c>
      <c r="BR10" s="303"/>
      <c r="BS10" s="304"/>
      <c r="BT10" s="302" t="str">
        <f>IF(SUMMARY!$F29="","",SUMMARY!$F29)</f>
        <v/>
      </c>
      <c r="BU10" s="303"/>
      <c r="BV10" s="304"/>
      <c r="BW10" s="302" t="str">
        <f>IF(SUMMARY!$F30="","",SUMMARY!$F30)</f>
        <v/>
      </c>
      <c r="BX10" s="303"/>
      <c r="BY10" s="304"/>
      <c r="BZ10" s="302" t="str">
        <f>IF(SUMMARY!$F31="","",SUMMARY!$F31)</f>
        <v/>
      </c>
      <c r="CA10" s="303"/>
      <c r="CB10" s="304"/>
      <c r="CC10" s="302" t="str">
        <f>IF(SUMMARY!$F32="","",SUMMARY!$F32)</f>
        <v/>
      </c>
      <c r="CD10" s="303"/>
      <c r="CE10" s="304"/>
      <c r="CF10" s="302" t="str">
        <f>IF(SUMMARY!$F33="","",SUMMARY!$F33)</f>
        <v/>
      </c>
      <c r="CG10" s="303"/>
      <c r="CH10" s="304"/>
      <c r="CI10" s="302" t="str">
        <f>IF(SUMMARY!$F34="","",SUMMARY!$F34)</f>
        <v/>
      </c>
      <c r="CJ10" s="303"/>
      <c r="CK10" s="304"/>
      <c r="CL10" s="302" t="str">
        <f>IF(SUMMARY!$F35="","",SUMMARY!$F35)</f>
        <v/>
      </c>
      <c r="CM10" s="303"/>
      <c r="CN10" s="303"/>
      <c r="CO10" s="302" t="str">
        <f>IF(SUMMARY!$F36="","",SUMMARY!$F36)</f>
        <v/>
      </c>
      <c r="CP10" s="303"/>
      <c r="CQ10" s="303"/>
    </row>
    <row r="11" spans="1:95" s="14" customFormat="1" ht="15" customHeight="1" x14ac:dyDescent="0.2">
      <c r="A11" s="63" t="s">
        <v>32</v>
      </c>
      <c r="B11" s="63"/>
      <c r="C11" s="63"/>
      <c r="D11" s="327" t="s">
        <v>36</v>
      </c>
      <c r="E11" s="328"/>
      <c r="F11" s="302" t="str">
        <f>IF(SUMMARY!$G7="","",SUMMARY!$G7)</f>
        <v>JMIR AI</v>
      </c>
      <c r="G11" s="303"/>
      <c r="H11" s="304"/>
      <c r="I11" s="302" t="str">
        <f>IF(SUMMARY!$G8="","",SUMMARY!$G8)</f>
        <v>JAIDS</v>
      </c>
      <c r="J11" s="303"/>
      <c r="K11" s="304"/>
      <c r="L11" s="302" t="str">
        <f>IF(SUMMARY!$G9="","",SUMMARY!$G9)</f>
        <v>JAIDS</v>
      </c>
      <c r="M11" s="303"/>
      <c r="N11" s="304"/>
      <c r="O11" s="302" t="str">
        <f>IF(SUMMARY!$G10="","",SUMMARY!$G10)</f>
        <v>JAIDS</v>
      </c>
      <c r="P11" s="303"/>
      <c r="Q11" s="304"/>
      <c r="R11" s="302" t="str">
        <f>IF(SUMMARY!$G11="","",SUMMARY!$G11)</f>
        <v>JAIDS</v>
      </c>
      <c r="S11" s="303"/>
      <c r="T11" s="304"/>
      <c r="U11" s="302" t="str">
        <f>IF(SUMMARY!$G12="","",SUMMARY!$G12)</f>
        <v>Scientific Reports</v>
      </c>
      <c r="V11" s="303"/>
      <c r="W11" s="304"/>
      <c r="X11" s="302" t="str">
        <f>IF(SUMMARY!$G13="","",SUMMARY!$G13)</f>
        <v>Scientific Reports</v>
      </c>
      <c r="Y11" s="303"/>
      <c r="Z11" s="304"/>
      <c r="AA11" s="302" t="str">
        <f>IF(SUMMARY!$G14="","",SUMMARY!$G14)</f>
        <v xml:space="preserve">AIDS and Behaviour </v>
      </c>
      <c r="AB11" s="303"/>
      <c r="AC11" s="304"/>
      <c r="AD11" s="302" t="str">
        <f>IF(SUMMARY!$G15="","",SUMMARY!$G15)</f>
        <v>Scientific Reports</v>
      </c>
      <c r="AE11" s="303"/>
      <c r="AF11" s="304"/>
      <c r="AG11" s="302" t="str">
        <f>IF(SUMMARY!$G16="","",SUMMARY!$G16)</f>
        <v>medRxiv</v>
      </c>
      <c r="AH11" s="303"/>
      <c r="AI11" s="304"/>
      <c r="AJ11" s="302" t="str">
        <f>IF(SUMMARY!$G17="","",SUMMARY!$G17)</f>
        <v>J Meds Internet Res</v>
      </c>
      <c r="AK11" s="303"/>
      <c r="AL11" s="304"/>
      <c r="AM11" s="302" t="str">
        <f>IF(SUMMARY!$G18="","",SUMMARY!$G18)</f>
        <v>Plos Global Public Health</v>
      </c>
      <c r="AN11" s="303"/>
      <c r="AO11" s="304"/>
      <c r="AP11" s="302" t="str">
        <f>IF(SUMMARY!$G19="","",SUMMARY!$G19)</f>
        <v/>
      </c>
      <c r="AQ11" s="303"/>
      <c r="AR11" s="304"/>
      <c r="AS11" s="302" t="str">
        <f>IF(SUMMARY!$G20="","",SUMMARY!$G20)</f>
        <v/>
      </c>
      <c r="AT11" s="303"/>
      <c r="AU11" s="304"/>
      <c r="AV11" s="302" t="str">
        <f>IF(SUMMARY!$G21="","",SUMMARY!$G21)</f>
        <v/>
      </c>
      <c r="AW11" s="303"/>
      <c r="AX11" s="304"/>
      <c r="AY11" s="302" t="str">
        <f>IF(SUMMARY!$G22="","",SUMMARY!$G22)</f>
        <v/>
      </c>
      <c r="AZ11" s="303"/>
      <c r="BA11" s="304"/>
      <c r="BB11" s="302" t="str">
        <f>IF(SUMMARY!$G23="","",SUMMARY!$G23)</f>
        <v/>
      </c>
      <c r="BC11" s="303"/>
      <c r="BD11" s="304"/>
      <c r="BE11" s="302" t="str">
        <f>IF(SUMMARY!$G24="","",SUMMARY!$G24)</f>
        <v/>
      </c>
      <c r="BF11" s="303"/>
      <c r="BG11" s="304"/>
      <c r="BH11" s="302" t="str">
        <f>IF(SUMMARY!$G25="","",SUMMARY!$G25)</f>
        <v/>
      </c>
      <c r="BI11" s="303"/>
      <c r="BJ11" s="304"/>
      <c r="BK11" s="302" t="str">
        <f>IF(SUMMARY!$G26="","",SUMMARY!$G26)</f>
        <v/>
      </c>
      <c r="BL11" s="303"/>
      <c r="BM11" s="304"/>
      <c r="BN11" s="302" t="str">
        <f>IF(SUMMARY!$G27="","",SUMMARY!$G27)</f>
        <v/>
      </c>
      <c r="BO11" s="303"/>
      <c r="BP11" s="304"/>
      <c r="BQ11" s="302" t="str">
        <f>IF(SUMMARY!$G28="","",SUMMARY!$G28)</f>
        <v/>
      </c>
      <c r="BR11" s="303"/>
      <c r="BS11" s="304"/>
      <c r="BT11" s="302" t="str">
        <f>IF(SUMMARY!$G29="","",SUMMARY!$G29)</f>
        <v/>
      </c>
      <c r="BU11" s="303"/>
      <c r="BV11" s="304"/>
      <c r="BW11" s="302" t="str">
        <f>IF(SUMMARY!$G30="","",SUMMARY!$G30)</f>
        <v/>
      </c>
      <c r="BX11" s="303"/>
      <c r="BY11" s="304"/>
      <c r="BZ11" s="302" t="str">
        <f>IF(SUMMARY!$G31="","",SUMMARY!$G31)</f>
        <v/>
      </c>
      <c r="CA11" s="303"/>
      <c r="CB11" s="304"/>
      <c r="CC11" s="302" t="str">
        <f>IF(SUMMARY!$G32="","",SUMMARY!$G32)</f>
        <v/>
      </c>
      <c r="CD11" s="303"/>
      <c r="CE11" s="304"/>
      <c r="CF11" s="302" t="str">
        <f>IF(SUMMARY!$G33="","",SUMMARY!$G33)</f>
        <v/>
      </c>
      <c r="CG11" s="303"/>
      <c r="CH11" s="304"/>
      <c r="CI11" s="302" t="str">
        <f>IF(SUMMARY!$G34="","",SUMMARY!$G34)</f>
        <v/>
      </c>
      <c r="CJ11" s="303"/>
      <c r="CK11" s="304"/>
      <c r="CL11" s="302" t="str">
        <f>IF(SUMMARY!$G35="","",SUMMARY!$G35)</f>
        <v/>
      </c>
      <c r="CM11" s="303"/>
      <c r="CN11" s="303"/>
      <c r="CO11" s="302" t="str">
        <f>IF(SUMMARY!$G36="","",SUMMARY!$G36)</f>
        <v/>
      </c>
      <c r="CP11" s="303"/>
      <c r="CQ11" s="303"/>
    </row>
    <row r="12" spans="1:95" s="14" customFormat="1" ht="15" customHeight="1" x14ac:dyDescent="0.2">
      <c r="A12" s="63" t="s">
        <v>32</v>
      </c>
      <c r="B12" s="63"/>
      <c r="C12" s="63"/>
      <c r="D12" s="331" t="s">
        <v>37</v>
      </c>
      <c r="E12" s="332"/>
      <c r="F12" s="299" t="str">
        <f>IF(SUMMARY!$H7="","",SUMMARY!$H7)</f>
        <v>Extreme Gradient Boosting (XGBoost)</v>
      </c>
      <c r="G12" s="300"/>
      <c r="H12" s="301"/>
      <c r="I12" s="299" t="str">
        <f>IF(SUMMARY!$H8="","",SUMMARY!$H8)</f>
        <v>Adaptive Boosting (AdaBoost)</v>
      </c>
      <c r="J12" s="300"/>
      <c r="K12" s="301"/>
      <c r="L12" s="299" t="str">
        <f>IF(SUMMARY!$H9="","",SUMMARY!$H9)</f>
        <v>Categorical Boosting (CatBoost)</v>
      </c>
      <c r="M12" s="300"/>
      <c r="N12" s="301"/>
      <c r="O12" s="299" t="str">
        <f>IF(SUMMARY!$H10="","",SUMMARY!$H10)</f>
        <v>Random Forest</v>
      </c>
      <c r="P12" s="300"/>
      <c r="Q12" s="301"/>
      <c r="R12" s="299" t="str">
        <f>IF(SUMMARY!$H11="","",SUMMARY!$H11)</f>
        <v>Extreme Gradient Boosting (XGBoost)</v>
      </c>
      <c r="S12" s="300"/>
      <c r="T12" s="301"/>
      <c r="U12" s="299" t="str">
        <f>IF(SUMMARY!$H12="","",SUMMARY!$H12)</f>
        <v>Random Forest</v>
      </c>
      <c r="V12" s="300"/>
      <c r="W12" s="301"/>
      <c r="X12" s="299" t="str">
        <f>IF(SUMMARY!$H13="","",SUMMARY!$H13)</f>
        <v>Decision Trees</v>
      </c>
      <c r="Y12" s="300"/>
      <c r="Z12" s="301"/>
      <c r="AA12" s="299" t="str">
        <f>IF(SUMMARY!$H14="","",SUMMARY!$H14)</f>
        <v>Logistic regression</v>
      </c>
      <c r="AB12" s="300"/>
      <c r="AC12" s="301"/>
      <c r="AD12" s="299" t="str">
        <f>IF(SUMMARY!$H15="","",SUMMARY!$H15)</f>
        <v>Adaptive Boosting (AdaBoost)</v>
      </c>
      <c r="AE12" s="300"/>
      <c r="AF12" s="301"/>
      <c r="AG12" s="299" t="str">
        <f>IF(SUMMARY!$H16="","",SUMMARY!$H16)</f>
        <v>Adaptive Boosting (AdaBoost)</v>
      </c>
      <c r="AH12" s="300"/>
      <c r="AI12" s="301"/>
      <c r="AJ12" s="299" t="str">
        <f>IF(SUMMARY!$H17="","",SUMMARY!$H17)</f>
        <v>Random Forest</v>
      </c>
      <c r="AK12" s="300"/>
      <c r="AL12" s="301"/>
      <c r="AM12" s="299" t="str">
        <f>IF(SUMMARY!$H18="","",SUMMARY!$H18)</f>
        <v>Essemble Decision Trees</v>
      </c>
      <c r="AN12" s="300"/>
      <c r="AO12" s="301"/>
      <c r="AP12" s="299" t="str">
        <f>IF(SUMMARY!$H19="","",SUMMARY!$H19)</f>
        <v/>
      </c>
      <c r="AQ12" s="300"/>
      <c r="AR12" s="301"/>
      <c r="AS12" s="299" t="str">
        <f>IF(SUMMARY!$H20="","",SUMMARY!$H20)</f>
        <v/>
      </c>
      <c r="AT12" s="300"/>
      <c r="AU12" s="301"/>
      <c r="AV12" s="299" t="str">
        <f>IF(SUMMARY!$H21="","",SUMMARY!$H21)</f>
        <v/>
      </c>
      <c r="AW12" s="300"/>
      <c r="AX12" s="301"/>
      <c r="AY12" s="299" t="str">
        <f>IF(SUMMARY!$H22="","",SUMMARY!$H22)</f>
        <v/>
      </c>
      <c r="AZ12" s="300"/>
      <c r="BA12" s="301"/>
      <c r="BB12" s="299" t="str">
        <f>IF(SUMMARY!$H23="","",SUMMARY!$H23)</f>
        <v/>
      </c>
      <c r="BC12" s="300"/>
      <c r="BD12" s="301"/>
      <c r="BE12" s="299" t="str">
        <f>IF(SUMMARY!$H24="","",SUMMARY!$H24)</f>
        <v/>
      </c>
      <c r="BF12" s="300"/>
      <c r="BG12" s="301"/>
      <c r="BH12" s="299" t="str">
        <f>IF(SUMMARY!$H25="","",SUMMARY!$H25)</f>
        <v/>
      </c>
      <c r="BI12" s="300"/>
      <c r="BJ12" s="301"/>
      <c r="BK12" s="299" t="str">
        <f>IF(SUMMARY!$H26="","",SUMMARY!$H26)</f>
        <v/>
      </c>
      <c r="BL12" s="300"/>
      <c r="BM12" s="301"/>
      <c r="BN12" s="299" t="str">
        <f>IF(SUMMARY!$H27="","",SUMMARY!$H27)</f>
        <v/>
      </c>
      <c r="BO12" s="300"/>
      <c r="BP12" s="301"/>
      <c r="BQ12" s="299" t="str">
        <f>IF(SUMMARY!$H28="","",SUMMARY!$H28)</f>
        <v/>
      </c>
      <c r="BR12" s="300"/>
      <c r="BS12" s="301"/>
      <c r="BT12" s="299" t="str">
        <f>IF(SUMMARY!$H29="","",SUMMARY!$H29)</f>
        <v/>
      </c>
      <c r="BU12" s="300"/>
      <c r="BV12" s="301"/>
      <c r="BW12" s="299" t="str">
        <f>IF(SUMMARY!$H30="","",SUMMARY!$H30)</f>
        <v/>
      </c>
      <c r="BX12" s="300"/>
      <c r="BY12" s="301"/>
      <c r="BZ12" s="299" t="str">
        <f>IF(SUMMARY!$H31="","",SUMMARY!$H31)</f>
        <v/>
      </c>
      <c r="CA12" s="300"/>
      <c r="CB12" s="301"/>
      <c r="CC12" s="299" t="str">
        <f>IF(SUMMARY!$H32="","",SUMMARY!$H32)</f>
        <v/>
      </c>
      <c r="CD12" s="300"/>
      <c r="CE12" s="301"/>
      <c r="CF12" s="299" t="str">
        <f>IF(SUMMARY!$H33="","",SUMMARY!$H33)</f>
        <v/>
      </c>
      <c r="CG12" s="300"/>
      <c r="CH12" s="301"/>
      <c r="CI12" s="299" t="str">
        <f>IF(SUMMARY!$H34="","",SUMMARY!$H34)</f>
        <v/>
      </c>
      <c r="CJ12" s="300"/>
      <c r="CK12" s="301"/>
      <c r="CL12" s="299" t="str">
        <f>IF(SUMMARY!$H35="","",SUMMARY!$H35)</f>
        <v/>
      </c>
      <c r="CM12" s="300"/>
      <c r="CN12" s="300"/>
      <c r="CO12" s="299" t="str">
        <f>IF(SUMMARY!$H36="","",SUMMARY!$H36)</f>
        <v/>
      </c>
      <c r="CP12" s="300"/>
      <c r="CQ12" s="300"/>
    </row>
    <row r="13" spans="1:95" s="1" customFormat="1" ht="18.75" customHeight="1" x14ac:dyDescent="0.2">
      <c r="A13" s="335" t="s">
        <v>38</v>
      </c>
      <c r="B13" s="335"/>
      <c r="C13" s="335"/>
      <c r="D13" s="335"/>
      <c r="E13" s="335"/>
      <c r="F13" s="48">
        <f>IF(SUMMARY!$B$7=TRUE,IF(F14="",0,1),"")</f>
        <v>1</v>
      </c>
      <c r="G13" s="50"/>
      <c r="H13" s="50"/>
      <c r="I13" s="50">
        <f>IF(SUMMARY!$B$8=TRUE,IF(I14="",0,1),"")</f>
        <v>1</v>
      </c>
      <c r="J13" s="50"/>
      <c r="K13" s="50"/>
      <c r="L13" s="50">
        <f>IF(SUMMARY!$B$9=TRUE,IF(L14="",0,1),"")</f>
        <v>1</v>
      </c>
      <c r="M13" s="50"/>
      <c r="N13" s="50"/>
      <c r="O13" s="50">
        <f>IF(SUMMARY!$B$10=TRUE,IF(O14="",0,1),"")</f>
        <v>1</v>
      </c>
      <c r="P13" s="50"/>
      <c r="Q13" s="50"/>
      <c r="R13" s="50">
        <f>IF(SUMMARY!$B$11=TRUE,IF(R14="",0,1),"")</f>
        <v>1</v>
      </c>
      <c r="S13" s="50"/>
      <c r="T13" s="50"/>
      <c r="U13" s="50">
        <f>IF(SUMMARY!$B$12=TRUE,IF(U14="",0,1),"")</f>
        <v>1</v>
      </c>
      <c r="V13" s="50"/>
      <c r="W13" s="50"/>
      <c r="X13" s="50">
        <f>IF(SUMMARY!$B$13=TRUE,IF(X14="",0,1),"")</f>
        <v>1</v>
      </c>
      <c r="Y13" s="50"/>
      <c r="Z13" s="50"/>
      <c r="AA13" s="50">
        <f>IF(SUMMARY!$B$14=TRUE,IF(AA14="",0,1),"")</f>
        <v>1</v>
      </c>
      <c r="AB13" s="50"/>
      <c r="AC13" s="50"/>
      <c r="AD13" s="50">
        <f>IF(SUMMARY!$B$15=TRUE,IF(AD14="",0,1),"")</f>
        <v>1</v>
      </c>
      <c r="AE13" s="50"/>
      <c r="AF13" s="50"/>
      <c r="AG13" s="50">
        <f>IF(SUMMARY!$B$16=TRUE,IF(AG14="",0,1),"")</f>
        <v>1</v>
      </c>
      <c r="AH13" s="50"/>
      <c r="AI13" s="50"/>
      <c r="AJ13" s="50">
        <f>IF(SUMMARY!$B$17=TRUE,IF(AJ14="",0,1),"")</f>
        <v>1</v>
      </c>
      <c r="AK13" s="50"/>
      <c r="AL13" s="50"/>
      <c r="AM13" s="50">
        <f>IF(SUMMARY!$B$18=TRUE,IF(AM14="",0,1),"")</f>
        <v>1</v>
      </c>
      <c r="AN13" s="50"/>
      <c r="AO13" s="50"/>
      <c r="AP13" s="50" t="str">
        <f>IF(SUMMARY!$B$19=TRUE,IF(AP14="",0,1),"")</f>
        <v/>
      </c>
      <c r="AQ13" s="50"/>
      <c r="AR13" s="50"/>
      <c r="AS13" s="50" t="str">
        <f>IF(SUMMARY!$B$20=TRUE,IF(AS14="",0,1),"")</f>
        <v/>
      </c>
      <c r="AT13" s="50"/>
      <c r="AU13" s="50"/>
      <c r="AV13" s="50" t="str">
        <f>IF(SUMMARY!$B$21=TRUE,IF(AV14="",0,1),"")</f>
        <v/>
      </c>
      <c r="AW13" s="50"/>
      <c r="AX13" s="50"/>
      <c r="AY13" s="50" t="str">
        <f>IF(SUMMARY!$B$22=TRUE,IF(AY14="",0,1),"")</f>
        <v/>
      </c>
      <c r="AZ13" s="50"/>
      <c r="BA13" s="50"/>
      <c r="BB13" s="50" t="str">
        <f>IF(SUMMARY!$B$23=TRUE,IF(BB14="",0,1),"")</f>
        <v/>
      </c>
      <c r="BC13" s="50"/>
      <c r="BD13" s="50"/>
      <c r="BE13" s="50" t="str">
        <f>IF(SUMMARY!$B$24=TRUE,IF(BE14="",0,1),"")</f>
        <v/>
      </c>
      <c r="BF13" s="50"/>
      <c r="BG13" s="50"/>
      <c r="BH13" s="50" t="str">
        <f>IF(SUMMARY!$B$25=TRUE,IF(BH14="",0,1),"")</f>
        <v/>
      </c>
      <c r="BI13" s="50"/>
      <c r="BJ13" s="50"/>
      <c r="BK13" s="50" t="str">
        <f>IF(SUMMARY!$B$26=TRUE,IF(BK14="",0,1),"")</f>
        <v/>
      </c>
      <c r="BL13" s="50"/>
      <c r="BM13" s="50"/>
      <c r="BN13" s="50" t="str">
        <f>IF(SUMMARY!$B$27=TRUE,IF(BN14="",0,1),"")</f>
        <v/>
      </c>
      <c r="BO13" s="50"/>
      <c r="BP13" s="50"/>
      <c r="BQ13" s="50" t="str">
        <f>IF(SUMMARY!$B$28=TRUE,IF(BQ14="",0,1),"")</f>
        <v/>
      </c>
      <c r="BR13" s="50"/>
      <c r="BS13" s="50"/>
      <c r="BT13" s="50" t="str">
        <f>IF(SUMMARY!$B$29=TRUE,IF(BT14="",0,1),"")</f>
        <v/>
      </c>
      <c r="BU13" s="50"/>
      <c r="BV13" s="50"/>
      <c r="BW13" s="50" t="str">
        <f>IF(SUMMARY!$B$30=TRUE,IF(BW14="",0,1),"")</f>
        <v/>
      </c>
      <c r="BX13" s="50"/>
      <c r="BY13" s="50"/>
      <c r="BZ13" s="50" t="str">
        <f>IF(SUMMARY!$B$31=TRUE,IF(BZ14="",0,1),"")</f>
        <v/>
      </c>
      <c r="CA13" s="50"/>
      <c r="CB13" s="50"/>
      <c r="CC13" s="50" t="str">
        <f>IF(SUMMARY!$B$32=TRUE,IF(CC14="",0,1),"")</f>
        <v/>
      </c>
      <c r="CD13" s="50"/>
      <c r="CE13" s="50"/>
      <c r="CF13" s="50" t="str">
        <f>IF(SUMMARY!$B$33=TRUE,IF(CF14="",0,1),"")</f>
        <v/>
      </c>
      <c r="CG13" s="50"/>
      <c r="CH13" s="50"/>
      <c r="CI13" s="50" t="str">
        <f>IF(SUMMARY!$B$34=TRUE,IF(CI14="",0,1),"")</f>
        <v/>
      </c>
      <c r="CJ13" s="50"/>
      <c r="CK13" s="50"/>
      <c r="CL13" s="50" t="str">
        <f>IF(SUMMARY!$B$35=TRUE,IF(CL14="",0,1),"")</f>
        <v/>
      </c>
      <c r="CM13" s="50"/>
      <c r="CN13" s="50"/>
      <c r="CO13" s="51" t="str">
        <f>IF(SUMMARY!$B$36=TRUE,IF(CO14="",0,1),"")</f>
        <v/>
      </c>
      <c r="CP13" s="50"/>
      <c r="CQ13" s="50"/>
    </row>
    <row r="14" spans="1:95" s="13" customFormat="1" ht="15" customHeight="1" x14ac:dyDescent="0.2">
      <c r="A14" s="206"/>
      <c r="B14" s="64" t="s">
        <v>32</v>
      </c>
      <c r="C14" s="64" t="s">
        <v>32</v>
      </c>
      <c r="D14" s="339" t="s">
        <v>39</v>
      </c>
      <c r="E14" s="340"/>
      <c r="F14" s="290" t="s">
        <v>41</v>
      </c>
      <c r="G14" s="291"/>
      <c r="H14" s="291"/>
      <c r="I14" s="290" t="s">
        <v>40</v>
      </c>
      <c r="J14" s="291"/>
      <c r="K14" s="291"/>
      <c r="L14" s="290" t="s">
        <v>40</v>
      </c>
      <c r="M14" s="291"/>
      <c r="N14" s="291"/>
      <c r="O14" s="290" t="s">
        <v>41</v>
      </c>
      <c r="P14" s="291"/>
      <c r="Q14" s="291"/>
      <c r="R14" s="290" t="s">
        <v>41</v>
      </c>
      <c r="S14" s="291"/>
      <c r="T14" s="291"/>
      <c r="U14" s="290" t="s">
        <v>41</v>
      </c>
      <c r="V14" s="291"/>
      <c r="W14" s="291"/>
      <c r="X14" s="290" t="s">
        <v>41</v>
      </c>
      <c r="Y14" s="291"/>
      <c r="Z14" s="291"/>
      <c r="AA14" s="290" t="s">
        <v>41</v>
      </c>
      <c r="AB14" s="291"/>
      <c r="AC14" s="291"/>
      <c r="AD14" s="290" t="s">
        <v>41</v>
      </c>
      <c r="AE14" s="291"/>
      <c r="AF14" s="291"/>
      <c r="AG14" s="290" t="s">
        <v>41</v>
      </c>
      <c r="AH14" s="291"/>
      <c r="AI14" s="291"/>
      <c r="AJ14" s="290" t="s">
        <v>40</v>
      </c>
      <c r="AK14" s="291"/>
      <c r="AL14" s="291"/>
      <c r="AM14" s="290" t="s">
        <v>41</v>
      </c>
      <c r="AN14" s="291"/>
      <c r="AO14" s="291"/>
      <c r="AP14" s="290"/>
      <c r="AQ14" s="291"/>
      <c r="AR14" s="291"/>
      <c r="AS14" s="290"/>
      <c r="AT14" s="291"/>
      <c r="AU14" s="291"/>
      <c r="AV14" s="290"/>
      <c r="AW14" s="291"/>
      <c r="AX14" s="291"/>
      <c r="AY14" s="290"/>
      <c r="AZ14" s="291"/>
      <c r="BA14" s="291"/>
      <c r="BB14" s="290"/>
      <c r="BC14" s="291"/>
      <c r="BD14" s="291"/>
      <c r="BE14" s="290"/>
      <c r="BF14" s="291"/>
      <c r="BG14" s="291"/>
      <c r="BH14" s="290"/>
      <c r="BI14" s="291"/>
      <c r="BJ14" s="291"/>
      <c r="BK14" s="290"/>
      <c r="BL14" s="291"/>
      <c r="BM14" s="291"/>
      <c r="BN14" s="290"/>
      <c r="BO14" s="291"/>
      <c r="BP14" s="291"/>
      <c r="BQ14" s="290"/>
      <c r="BR14" s="291"/>
      <c r="BS14" s="291"/>
      <c r="BT14" s="290"/>
      <c r="BU14" s="291"/>
      <c r="BV14" s="291"/>
      <c r="BW14" s="290"/>
      <c r="BX14" s="291"/>
      <c r="BY14" s="291"/>
      <c r="BZ14" s="290"/>
      <c r="CA14" s="291"/>
      <c r="CB14" s="291"/>
      <c r="CC14" s="290"/>
      <c r="CD14" s="291"/>
      <c r="CE14" s="291"/>
      <c r="CF14" s="290"/>
      <c r="CG14" s="291"/>
      <c r="CH14" s="291"/>
      <c r="CI14" s="290"/>
      <c r="CJ14" s="291"/>
      <c r="CK14" s="291"/>
      <c r="CL14" s="290"/>
      <c r="CM14" s="291"/>
      <c r="CN14" s="291"/>
      <c r="CO14" s="290"/>
      <c r="CP14" s="291"/>
      <c r="CQ14" s="291"/>
    </row>
    <row r="15" spans="1:95" s="1" customFormat="1" ht="18.75" customHeight="1" x14ac:dyDescent="0.2">
      <c r="A15" s="335" t="s">
        <v>42</v>
      </c>
      <c r="B15" s="335"/>
      <c r="C15" s="335"/>
      <c r="D15" s="335"/>
      <c r="E15" s="335"/>
      <c r="F15" s="48">
        <f>IF(SUMMARY!$B$7=TRUE,IF(AND(COUNTBLANK(F16:F22)=0,COUNTBLANK(F24:F28)&lt;5),1,0),"")</f>
        <v>1</v>
      </c>
      <c r="G15" s="49"/>
      <c r="H15" s="49"/>
      <c r="I15" s="50">
        <f>IF(SUMMARY!$B$8=TRUE,IF(AND(COUNTBLANK(I16:I22)=0,COUNTBLANK(I24:I28)&lt;5),1,0),"")</f>
        <v>1</v>
      </c>
      <c r="J15" s="49"/>
      <c r="K15" s="49"/>
      <c r="L15" s="50">
        <f>IF(SUMMARY!$B$9=TRUE,IF(AND(COUNTBLANK(L16:L22)=0,COUNTBLANK(L24:L28)&lt;5),1,0),"")</f>
        <v>1</v>
      </c>
      <c r="M15" s="49"/>
      <c r="N15" s="49"/>
      <c r="O15" s="50">
        <f>IF(SUMMARY!$B$10=TRUE,IF(AND(COUNTBLANK(O16:O22)=0,COUNTBLANK(O24:O28)&lt;5),1,0),"")</f>
        <v>1</v>
      </c>
      <c r="P15" s="49"/>
      <c r="Q15" s="49"/>
      <c r="R15" s="50">
        <f>IF(SUMMARY!$B$11=TRUE,IF(AND(COUNTBLANK(R16:R22)=0,COUNTBLANK(R24:R28)&lt;5),1,0),"")</f>
        <v>1</v>
      </c>
      <c r="S15" s="49"/>
      <c r="T15" s="49"/>
      <c r="U15" s="50">
        <f>IF(SUMMARY!$B$12=TRUE,IF(AND(COUNTBLANK(U16:U22)=0,COUNTBLANK(U24:U28)&lt;5),1,0),"")</f>
        <v>1</v>
      </c>
      <c r="V15" s="49"/>
      <c r="W15" s="49"/>
      <c r="X15" s="50">
        <f>IF(SUMMARY!$B$13=TRUE,IF(AND(COUNTBLANK(X16:X22)=0,COUNTBLANK(X24:X28)&lt;5),1,0),"")</f>
        <v>1</v>
      </c>
      <c r="Y15" s="49"/>
      <c r="Z15" s="49"/>
      <c r="AA15" s="50">
        <f>IF(SUMMARY!$B$14=TRUE,IF(AND(COUNTBLANK(AA16:AA22)=0,COUNTBLANK(AA24:AA28)&lt;5),1,0),"")</f>
        <v>1</v>
      </c>
      <c r="AB15" s="49"/>
      <c r="AC15" s="49"/>
      <c r="AD15" s="50">
        <f>IF(SUMMARY!$B$15=TRUE,IF(AND(COUNTBLANK(AD16:AD22)=0,COUNTBLANK(AD24:AD28)&lt;5),1,0),"")</f>
        <v>1</v>
      </c>
      <c r="AE15" s="49"/>
      <c r="AF15" s="49"/>
      <c r="AG15" s="50">
        <f>IF(SUMMARY!$B$16=TRUE,IF(AND(COUNTBLANK(AG16:AG22)=0,COUNTBLANK(AG24:AG28)&lt;5),1,0),"")</f>
        <v>1</v>
      </c>
      <c r="AH15" s="49"/>
      <c r="AI15" s="49"/>
      <c r="AJ15" s="50">
        <f>IF(SUMMARY!$B$17=TRUE,IF(AND(COUNTBLANK(AJ16:AJ22)=0,COUNTBLANK(AJ24:AJ28)&lt;5),1,0),"")</f>
        <v>1</v>
      </c>
      <c r="AK15" s="49"/>
      <c r="AL15" s="49"/>
      <c r="AM15" s="50">
        <f>IF(SUMMARY!$B$18=TRUE,IF(AND(COUNTBLANK(AM16:AM22)=0,COUNTBLANK(AM24:AM28)&lt;5),1,0),"")</f>
        <v>1</v>
      </c>
      <c r="AN15" s="49"/>
      <c r="AO15" s="49"/>
      <c r="AP15" s="50" t="str">
        <f>IF(SUMMARY!$B$19=TRUE,IF(AND(COUNTBLANK(AP16:AP22)=0,COUNTBLANK(AP24:AP28)&lt;5),1,0),"")</f>
        <v/>
      </c>
      <c r="AQ15" s="49"/>
      <c r="AR15" s="49"/>
      <c r="AS15" s="50" t="str">
        <f>IF(SUMMARY!$B$20=TRUE,IF(AND(COUNTBLANK(AS16:AS22)=0,COUNTBLANK(AS24:AS28)&lt;5),1,0),"")</f>
        <v/>
      </c>
      <c r="AT15" s="49"/>
      <c r="AU15" s="49"/>
      <c r="AV15" s="50" t="str">
        <f>IF(SUMMARY!$B$21=TRUE,IF(AND(COUNTBLANK(AV16:AV22)=0,COUNTBLANK(AV24:AV28)&lt;5),1,0),"")</f>
        <v/>
      </c>
      <c r="AW15" s="49"/>
      <c r="AX15" s="49"/>
      <c r="AY15" s="50" t="str">
        <f>IF(SUMMARY!$B$22=TRUE,IF(AND(COUNTBLANK(AY16:AY22)=0,COUNTBLANK(AY24:AY28)&lt;5),1,0),"")</f>
        <v/>
      </c>
      <c r="AZ15" s="49"/>
      <c r="BA15" s="49"/>
      <c r="BB15" s="50" t="str">
        <f>IF(SUMMARY!$B$23=TRUE,IF(AND(COUNTBLANK(BB16:BB22)=0,COUNTBLANK(BB24:BB28)&lt;5),1,0),"")</f>
        <v/>
      </c>
      <c r="BC15" s="49"/>
      <c r="BD15" s="49"/>
      <c r="BE15" s="50" t="str">
        <f>IF(SUMMARY!$B$24=TRUE,IF(AND(COUNTBLANK(BE16:BE22)=0,COUNTBLANK(BE24:BE28)&lt;5),1,0),"")</f>
        <v/>
      </c>
      <c r="BF15" s="49"/>
      <c r="BG15" s="49"/>
      <c r="BH15" s="50" t="str">
        <f>IF(SUMMARY!$B$25=TRUE,IF(AND(COUNTBLANK(BH16:BH22)=0,COUNTBLANK(BH24:BH28)&lt;5),1,0),"")</f>
        <v/>
      </c>
      <c r="BI15" s="49"/>
      <c r="BJ15" s="49"/>
      <c r="BK15" s="50" t="str">
        <f>IF(SUMMARY!$B$26=TRUE,IF(AND(COUNTBLANK(BK16:BK22)=0,COUNTBLANK(BK24:BK28)&lt;5),1,0),"")</f>
        <v/>
      </c>
      <c r="BL15" s="49"/>
      <c r="BM15" s="49"/>
      <c r="BN15" s="50" t="str">
        <f>IF(SUMMARY!$B$27=TRUE,IF(AND(COUNTBLANK(BN16:BN22)=0,COUNTBLANK(BN24:BN28)&lt;5),1,0),"")</f>
        <v/>
      </c>
      <c r="BO15" s="49"/>
      <c r="BP15" s="49"/>
      <c r="BQ15" s="50" t="str">
        <f>IF(SUMMARY!$B$28=TRUE,IF(AND(COUNTBLANK(BQ16:BQ22)=0,COUNTBLANK(BQ24:BQ28)&lt;5),1,0),"")</f>
        <v/>
      </c>
      <c r="BR15" s="49"/>
      <c r="BS15" s="49"/>
      <c r="BT15" s="50" t="str">
        <f>IF(SUMMARY!$B$29=TRUE,IF(AND(COUNTBLANK(BT16:BT22)=0,COUNTBLANK(BT24:BT28)&lt;5),1,0),"")</f>
        <v/>
      </c>
      <c r="BU15" s="49"/>
      <c r="BV15" s="49"/>
      <c r="BW15" s="50" t="str">
        <f>IF(SUMMARY!$B$30=TRUE,IF(AND(COUNTBLANK(BW16:BW22)=0,COUNTBLANK(BW24:BW28)&lt;5),1,0),"")</f>
        <v/>
      </c>
      <c r="BX15" s="49"/>
      <c r="BY15" s="49"/>
      <c r="BZ15" s="50" t="str">
        <f>IF(SUMMARY!$B$31=TRUE,IF(AND(COUNTBLANK(BZ16:BZ22)=0,COUNTBLANK(BZ24:BZ28)&lt;5),1,0),"")</f>
        <v/>
      </c>
      <c r="CA15" s="49"/>
      <c r="CB15" s="49"/>
      <c r="CC15" s="50" t="str">
        <f>IF(SUMMARY!$B$32=TRUE,IF(AND(COUNTBLANK(CC16:CC22)=0,COUNTBLANK(CC24:CC28)&lt;5),1,0),"")</f>
        <v/>
      </c>
      <c r="CD15" s="49"/>
      <c r="CE15" s="49"/>
      <c r="CF15" s="50" t="str">
        <f>IF(SUMMARY!$B$33=TRUE,IF(AND(COUNTBLANK(CF16:CF22)=0,COUNTBLANK(CF24:CF28)&lt;5),1,0),"")</f>
        <v/>
      </c>
      <c r="CG15" s="49"/>
      <c r="CH15" s="49"/>
      <c r="CI15" s="50" t="str">
        <f>IF(SUMMARY!$B$34=TRUE,IF(AND(COUNTBLANK(CI16:CI22)=0,COUNTBLANK(CI24:CI28)&lt;5),1,0),"")</f>
        <v/>
      </c>
      <c r="CJ15" s="49"/>
      <c r="CK15" s="49"/>
      <c r="CL15" s="50" t="str">
        <f>IF(SUMMARY!$B$35=TRUE,IF(AND(COUNTBLANK(CL16:CL22)=0,COUNTBLANK(CL24:CL28)&lt;5),1,0),"")</f>
        <v/>
      </c>
      <c r="CM15" s="49"/>
      <c r="CN15" s="49"/>
      <c r="CO15" s="51" t="str">
        <f>IF(SUMMARY!$B$36=TRUE,IF(AND(COUNTBLANK(CO16:CO22)=0,COUNTBLANK(CO24:CO28)&lt;5),1,0),"")</f>
        <v/>
      </c>
      <c r="CP15" s="49"/>
      <c r="CQ15" s="49"/>
    </row>
    <row r="16" spans="1:95" s="13" customFormat="1" ht="15" customHeight="1" x14ac:dyDescent="0.2">
      <c r="A16" s="61" t="s">
        <v>43</v>
      </c>
      <c r="B16" s="61" t="s">
        <v>32</v>
      </c>
      <c r="C16" s="61"/>
      <c r="D16" s="329" t="s">
        <v>44</v>
      </c>
      <c r="E16" s="330"/>
      <c r="F16" s="294" t="s">
        <v>304</v>
      </c>
      <c r="G16" s="295"/>
      <c r="H16" s="295"/>
      <c r="I16" s="294" t="s">
        <v>304</v>
      </c>
      <c r="J16" s="295"/>
      <c r="K16" s="295"/>
      <c r="L16" s="294" t="s">
        <v>304</v>
      </c>
      <c r="M16" s="295"/>
      <c r="N16" s="295"/>
      <c r="O16" s="294" t="s">
        <v>304</v>
      </c>
      <c r="P16" s="295"/>
      <c r="Q16" s="295"/>
      <c r="R16" s="294" t="s">
        <v>304</v>
      </c>
      <c r="S16" s="295"/>
      <c r="T16" s="295"/>
      <c r="U16" s="294" t="s">
        <v>346</v>
      </c>
      <c r="V16" s="295"/>
      <c r="W16" s="295"/>
      <c r="X16" s="294" t="s">
        <v>347</v>
      </c>
      <c r="Y16" s="295"/>
      <c r="Z16" s="295"/>
      <c r="AA16" s="294" t="s">
        <v>348</v>
      </c>
      <c r="AB16" s="295"/>
      <c r="AC16" s="295"/>
      <c r="AD16" s="294" t="s">
        <v>45</v>
      </c>
      <c r="AE16" s="295"/>
      <c r="AF16" s="295"/>
      <c r="AG16" s="294" t="s">
        <v>45</v>
      </c>
      <c r="AH16" s="295"/>
      <c r="AI16" s="295"/>
      <c r="AJ16" s="294" t="s">
        <v>461</v>
      </c>
      <c r="AK16" s="295"/>
      <c r="AL16" s="295"/>
      <c r="AM16" s="294" t="s">
        <v>45</v>
      </c>
      <c r="AN16" s="295"/>
      <c r="AO16" s="295"/>
      <c r="AP16" s="294"/>
      <c r="AQ16" s="295"/>
      <c r="AR16" s="295"/>
      <c r="AS16" s="294"/>
      <c r="AT16" s="295"/>
      <c r="AU16" s="295"/>
      <c r="AV16" s="294"/>
      <c r="AW16" s="295"/>
      <c r="AX16" s="295"/>
      <c r="AY16" s="294"/>
      <c r="AZ16" s="295"/>
      <c r="BA16" s="295"/>
      <c r="BB16" s="294"/>
      <c r="BC16" s="295"/>
      <c r="BD16" s="295"/>
      <c r="BE16" s="294"/>
      <c r="BF16" s="295"/>
      <c r="BG16" s="295"/>
      <c r="BH16" s="294"/>
      <c r="BI16" s="295"/>
      <c r="BJ16" s="295"/>
      <c r="BK16" s="294"/>
      <c r="BL16" s="295"/>
      <c r="BM16" s="295"/>
      <c r="BN16" s="294"/>
      <c r="BO16" s="295"/>
      <c r="BP16" s="295"/>
      <c r="BQ16" s="294"/>
      <c r="BR16" s="295"/>
      <c r="BS16" s="295"/>
      <c r="BT16" s="294"/>
      <c r="BU16" s="295"/>
      <c r="BV16" s="295"/>
      <c r="BW16" s="294"/>
      <c r="BX16" s="295"/>
      <c r="BY16" s="295"/>
      <c r="BZ16" s="294"/>
      <c r="CA16" s="295"/>
      <c r="CB16" s="295"/>
      <c r="CC16" s="294"/>
      <c r="CD16" s="295"/>
      <c r="CE16" s="295"/>
      <c r="CF16" s="294"/>
      <c r="CG16" s="295"/>
      <c r="CH16" s="295"/>
      <c r="CI16" s="294"/>
      <c r="CJ16" s="295"/>
      <c r="CK16" s="295"/>
      <c r="CL16" s="294"/>
      <c r="CM16" s="295"/>
      <c r="CN16" s="295"/>
      <c r="CO16" s="294"/>
      <c r="CP16" s="295"/>
      <c r="CQ16" s="295"/>
    </row>
    <row r="17" spans="1:95" s="13" customFormat="1" ht="15" customHeight="1" x14ac:dyDescent="0.2">
      <c r="A17" s="62" t="s">
        <v>32</v>
      </c>
      <c r="B17" s="62" t="s">
        <v>32</v>
      </c>
      <c r="C17" s="62"/>
      <c r="D17" s="327" t="s">
        <v>47</v>
      </c>
      <c r="E17" s="328"/>
      <c r="F17" s="288" t="s">
        <v>305</v>
      </c>
      <c r="G17" s="289"/>
      <c r="H17" s="289"/>
      <c r="I17" s="288" t="s">
        <v>329</v>
      </c>
      <c r="J17" s="289"/>
      <c r="K17" s="289"/>
      <c r="L17" s="288" t="s">
        <v>349</v>
      </c>
      <c r="M17" s="289"/>
      <c r="N17" s="289"/>
      <c r="O17" s="288" t="s">
        <v>350</v>
      </c>
      <c r="P17" s="289"/>
      <c r="Q17" s="289"/>
      <c r="R17" s="288" t="s">
        <v>350</v>
      </c>
      <c r="S17" s="289"/>
      <c r="T17" s="289"/>
      <c r="U17" s="288" t="s">
        <v>351</v>
      </c>
      <c r="V17" s="289"/>
      <c r="W17" s="289"/>
      <c r="X17" s="288" t="s">
        <v>351</v>
      </c>
      <c r="Y17" s="289"/>
      <c r="Z17" s="289"/>
      <c r="AA17" s="288" t="s">
        <v>352</v>
      </c>
      <c r="AB17" s="289"/>
      <c r="AC17" s="289"/>
      <c r="AD17" s="288" t="s">
        <v>353</v>
      </c>
      <c r="AE17" s="289"/>
      <c r="AF17" s="289"/>
      <c r="AG17" s="288" t="s">
        <v>442</v>
      </c>
      <c r="AH17" s="289"/>
      <c r="AI17" s="289"/>
      <c r="AJ17" s="288" t="s">
        <v>504</v>
      </c>
      <c r="AK17" s="289"/>
      <c r="AL17" s="289"/>
      <c r="AM17" s="288">
        <v>2018</v>
      </c>
      <c r="AN17" s="289"/>
      <c r="AO17" s="289"/>
      <c r="AP17" s="288"/>
      <c r="AQ17" s="289"/>
      <c r="AR17" s="289"/>
      <c r="AS17" s="288"/>
      <c r="AT17" s="289"/>
      <c r="AU17" s="289"/>
      <c r="AV17" s="288"/>
      <c r="AW17" s="289"/>
      <c r="AX17" s="289"/>
      <c r="AY17" s="288"/>
      <c r="AZ17" s="289"/>
      <c r="BA17" s="289"/>
      <c r="BB17" s="288"/>
      <c r="BC17" s="289"/>
      <c r="BD17" s="289"/>
      <c r="BE17" s="288"/>
      <c r="BF17" s="289"/>
      <c r="BG17" s="289"/>
      <c r="BH17" s="288"/>
      <c r="BI17" s="289"/>
      <c r="BJ17" s="289"/>
      <c r="BK17" s="288"/>
      <c r="BL17" s="289"/>
      <c r="BM17" s="289"/>
      <c r="BN17" s="288"/>
      <c r="BO17" s="289"/>
      <c r="BP17" s="289"/>
      <c r="BQ17" s="288"/>
      <c r="BR17" s="289"/>
      <c r="BS17" s="289"/>
      <c r="BT17" s="288"/>
      <c r="BU17" s="289"/>
      <c r="BV17" s="289"/>
      <c r="BW17" s="288"/>
      <c r="BX17" s="289"/>
      <c r="BY17" s="289"/>
      <c r="BZ17" s="288"/>
      <c r="CA17" s="289"/>
      <c r="CB17" s="289"/>
      <c r="CC17" s="288"/>
      <c r="CD17" s="289"/>
      <c r="CE17" s="289"/>
      <c r="CF17" s="288"/>
      <c r="CG17" s="289"/>
      <c r="CH17" s="289"/>
      <c r="CI17" s="288"/>
      <c r="CJ17" s="289"/>
      <c r="CK17" s="289"/>
      <c r="CL17" s="288"/>
      <c r="CM17" s="289"/>
      <c r="CN17" s="289"/>
      <c r="CO17" s="288"/>
      <c r="CP17" s="289"/>
      <c r="CQ17" s="289"/>
    </row>
    <row r="18" spans="1:95" s="13" customFormat="1" ht="15" customHeight="1" x14ac:dyDescent="0.2">
      <c r="A18" s="62" t="s">
        <v>32</v>
      </c>
      <c r="B18" s="62" t="s">
        <v>32</v>
      </c>
      <c r="C18" s="62"/>
      <c r="D18" s="327" t="s">
        <v>48</v>
      </c>
      <c r="E18" s="328"/>
      <c r="F18" s="288" t="s">
        <v>306</v>
      </c>
      <c r="G18" s="289"/>
      <c r="H18" s="289"/>
      <c r="I18" s="288" t="s">
        <v>330</v>
      </c>
      <c r="J18" s="289"/>
      <c r="K18" s="289"/>
      <c r="L18" s="288" t="s">
        <v>330</v>
      </c>
      <c r="M18" s="289"/>
      <c r="N18" s="289"/>
      <c r="O18" s="288" t="s">
        <v>354</v>
      </c>
      <c r="P18" s="289"/>
      <c r="Q18" s="289"/>
      <c r="R18" s="288" t="s">
        <v>354</v>
      </c>
      <c r="S18" s="289"/>
      <c r="T18" s="289"/>
      <c r="U18" s="288" t="s">
        <v>355</v>
      </c>
      <c r="V18" s="289"/>
      <c r="W18" s="289"/>
      <c r="X18" s="288" t="s">
        <v>355</v>
      </c>
      <c r="Y18" s="289"/>
      <c r="Z18" s="289"/>
      <c r="AA18" s="288" t="s">
        <v>356</v>
      </c>
      <c r="AB18" s="289"/>
      <c r="AC18" s="289"/>
      <c r="AD18" s="288" t="s">
        <v>357</v>
      </c>
      <c r="AE18" s="289"/>
      <c r="AF18" s="289"/>
      <c r="AG18" s="288" t="s">
        <v>357</v>
      </c>
      <c r="AH18" s="289"/>
      <c r="AI18" s="289"/>
      <c r="AJ18" s="288" t="s">
        <v>462</v>
      </c>
      <c r="AK18" s="289"/>
      <c r="AL18" s="289"/>
      <c r="AM18" s="288" t="s">
        <v>476</v>
      </c>
      <c r="AN18" s="289"/>
      <c r="AO18" s="289"/>
      <c r="AP18" s="288"/>
      <c r="AQ18" s="289"/>
      <c r="AR18" s="289"/>
      <c r="AS18" s="288"/>
      <c r="AT18" s="289"/>
      <c r="AU18" s="289"/>
      <c r="AV18" s="288"/>
      <c r="AW18" s="289"/>
      <c r="AX18" s="289"/>
      <c r="AY18" s="288"/>
      <c r="AZ18" s="289"/>
      <c r="BA18" s="289"/>
      <c r="BB18" s="288"/>
      <c r="BC18" s="289"/>
      <c r="BD18" s="289"/>
      <c r="BE18" s="288"/>
      <c r="BF18" s="289"/>
      <c r="BG18" s="289"/>
      <c r="BH18" s="288"/>
      <c r="BI18" s="289"/>
      <c r="BJ18" s="289"/>
      <c r="BK18" s="288"/>
      <c r="BL18" s="289"/>
      <c r="BM18" s="289"/>
      <c r="BN18" s="288"/>
      <c r="BO18" s="289"/>
      <c r="BP18" s="289"/>
      <c r="BQ18" s="288"/>
      <c r="BR18" s="289"/>
      <c r="BS18" s="289"/>
      <c r="BT18" s="288"/>
      <c r="BU18" s="289"/>
      <c r="BV18" s="289"/>
      <c r="BW18" s="288"/>
      <c r="BX18" s="289"/>
      <c r="BY18" s="289"/>
      <c r="BZ18" s="288"/>
      <c r="CA18" s="289"/>
      <c r="CB18" s="289"/>
      <c r="CC18" s="288"/>
      <c r="CD18" s="289"/>
      <c r="CE18" s="289"/>
      <c r="CF18" s="288"/>
      <c r="CG18" s="289"/>
      <c r="CH18" s="289"/>
      <c r="CI18" s="288"/>
      <c r="CJ18" s="289"/>
      <c r="CK18" s="289"/>
      <c r="CL18" s="288"/>
      <c r="CM18" s="289"/>
      <c r="CN18" s="289"/>
      <c r="CO18" s="288"/>
      <c r="CP18" s="289"/>
      <c r="CQ18" s="289"/>
    </row>
    <row r="19" spans="1:95" s="13" customFormat="1" ht="15" customHeight="1" x14ac:dyDescent="0.2">
      <c r="A19" s="62" t="s">
        <v>32</v>
      </c>
      <c r="B19" s="62" t="s">
        <v>32</v>
      </c>
      <c r="C19" s="62"/>
      <c r="D19" s="327" t="s">
        <v>49</v>
      </c>
      <c r="E19" s="328"/>
      <c r="F19" s="288" t="s">
        <v>307</v>
      </c>
      <c r="G19" s="289"/>
      <c r="H19" s="289"/>
      <c r="I19" s="288" t="s">
        <v>360</v>
      </c>
      <c r="J19" s="289"/>
      <c r="K19" s="289"/>
      <c r="L19" s="288" t="s">
        <v>360</v>
      </c>
      <c r="M19" s="289"/>
      <c r="N19" s="289"/>
      <c r="O19" s="288" t="s">
        <v>358</v>
      </c>
      <c r="P19" s="289"/>
      <c r="Q19" s="289"/>
      <c r="R19" s="288" t="s">
        <v>307</v>
      </c>
      <c r="S19" s="289"/>
      <c r="T19" s="289"/>
      <c r="U19" s="288" t="s">
        <v>359</v>
      </c>
      <c r="V19" s="289"/>
      <c r="W19" s="289"/>
      <c r="X19" s="288" t="s">
        <v>359</v>
      </c>
      <c r="Y19" s="289"/>
      <c r="Z19" s="289"/>
      <c r="AA19" s="288" t="s">
        <v>359</v>
      </c>
      <c r="AB19" s="289"/>
      <c r="AC19" s="289"/>
      <c r="AD19" s="288" t="s">
        <v>360</v>
      </c>
      <c r="AE19" s="289"/>
      <c r="AF19" s="289"/>
      <c r="AG19" s="288" t="s">
        <v>360</v>
      </c>
      <c r="AH19" s="289"/>
      <c r="AI19" s="289"/>
      <c r="AJ19" s="288" t="s">
        <v>359</v>
      </c>
      <c r="AK19" s="289"/>
      <c r="AL19" s="289"/>
      <c r="AM19" s="288" t="s">
        <v>477</v>
      </c>
      <c r="AN19" s="289"/>
      <c r="AO19" s="289"/>
      <c r="AP19" s="288"/>
      <c r="AQ19" s="289"/>
      <c r="AR19" s="289"/>
      <c r="AS19" s="288"/>
      <c r="AT19" s="289"/>
      <c r="AU19" s="289"/>
      <c r="AV19" s="288"/>
      <c r="AW19" s="289"/>
      <c r="AX19" s="289"/>
      <c r="AY19" s="288"/>
      <c r="AZ19" s="289"/>
      <c r="BA19" s="289"/>
      <c r="BB19" s="288"/>
      <c r="BC19" s="289"/>
      <c r="BD19" s="289"/>
      <c r="BE19" s="288"/>
      <c r="BF19" s="289"/>
      <c r="BG19" s="289"/>
      <c r="BH19" s="288"/>
      <c r="BI19" s="289"/>
      <c r="BJ19" s="289"/>
      <c r="BK19" s="288"/>
      <c r="BL19" s="289"/>
      <c r="BM19" s="289"/>
      <c r="BN19" s="288"/>
      <c r="BO19" s="289"/>
      <c r="BP19" s="289"/>
      <c r="BQ19" s="288"/>
      <c r="BR19" s="289"/>
      <c r="BS19" s="289"/>
      <c r="BT19" s="288"/>
      <c r="BU19" s="289"/>
      <c r="BV19" s="289"/>
      <c r="BW19" s="288"/>
      <c r="BX19" s="289"/>
      <c r="BY19" s="289"/>
      <c r="BZ19" s="288"/>
      <c r="CA19" s="289"/>
      <c r="CB19" s="289"/>
      <c r="CC19" s="288"/>
      <c r="CD19" s="289"/>
      <c r="CE19" s="289"/>
      <c r="CF19" s="288"/>
      <c r="CG19" s="289"/>
      <c r="CH19" s="289"/>
      <c r="CI19" s="288"/>
      <c r="CJ19" s="289"/>
      <c r="CK19" s="289"/>
      <c r="CL19" s="288"/>
      <c r="CM19" s="289"/>
      <c r="CN19" s="289"/>
      <c r="CO19" s="288"/>
      <c r="CP19" s="289"/>
      <c r="CQ19" s="289"/>
    </row>
    <row r="20" spans="1:95" s="13" customFormat="1" ht="15" customHeight="1" x14ac:dyDescent="0.2">
      <c r="A20" s="62" t="s">
        <v>32</v>
      </c>
      <c r="B20" s="62" t="s">
        <v>32</v>
      </c>
      <c r="C20" s="62"/>
      <c r="D20" s="327" t="s">
        <v>50</v>
      </c>
      <c r="E20" s="328"/>
      <c r="F20" s="288">
        <v>2</v>
      </c>
      <c r="G20" s="289"/>
      <c r="H20" s="289"/>
      <c r="I20" s="288">
        <v>4</v>
      </c>
      <c r="J20" s="289"/>
      <c r="K20" s="289"/>
      <c r="L20" s="288">
        <v>2</v>
      </c>
      <c r="M20" s="289"/>
      <c r="N20" s="289"/>
      <c r="O20" s="288" t="s">
        <v>51</v>
      </c>
      <c r="P20" s="289"/>
      <c r="Q20" s="289"/>
      <c r="R20" s="288" t="s">
        <v>51</v>
      </c>
      <c r="S20" s="289"/>
      <c r="T20" s="289"/>
      <c r="U20" s="288">
        <v>1</v>
      </c>
      <c r="V20" s="289"/>
      <c r="W20" s="289"/>
      <c r="X20" s="288">
        <v>1</v>
      </c>
      <c r="Y20" s="289"/>
      <c r="Z20" s="289"/>
      <c r="AA20" s="288">
        <v>6</v>
      </c>
      <c r="AB20" s="289"/>
      <c r="AC20" s="289"/>
      <c r="AD20" s="288">
        <v>2</v>
      </c>
      <c r="AE20" s="289"/>
      <c r="AF20" s="289"/>
      <c r="AG20" s="288">
        <v>2</v>
      </c>
      <c r="AH20" s="289"/>
      <c r="AI20" s="289"/>
      <c r="AJ20" s="288">
        <v>1</v>
      </c>
      <c r="AK20" s="289"/>
      <c r="AL20" s="289"/>
      <c r="AM20" s="288">
        <v>4</v>
      </c>
      <c r="AN20" s="289"/>
      <c r="AO20" s="289"/>
      <c r="AP20" s="288"/>
      <c r="AQ20" s="289"/>
      <c r="AR20" s="289"/>
      <c r="AS20" s="288"/>
      <c r="AT20" s="289"/>
      <c r="AU20" s="289"/>
      <c r="AV20" s="288"/>
      <c r="AW20" s="289"/>
      <c r="AX20" s="289"/>
      <c r="AY20" s="288"/>
      <c r="AZ20" s="289"/>
      <c r="BA20" s="289"/>
      <c r="BB20" s="288"/>
      <c r="BC20" s="289"/>
      <c r="BD20" s="289"/>
      <c r="BE20" s="288"/>
      <c r="BF20" s="289"/>
      <c r="BG20" s="289"/>
      <c r="BH20" s="288"/>
      <c r="BI20" s="289"/>
      <c r="BJ20" s="289"/>
      <c r="BK20" s="288"/>
      <c r="BL20" s="289"/>
      <c r="BM20" s="289"/>
      <c r="BN20" s="288"/>
      <c r="BO20" s="289"/>
      <c r="BP20" s="289"/>
      <c r="BQ20" s="288"/>
      <c r="BR20" s="289"/>
      <c r="BS20" s="289"/>
      <c r="BT20" s="288"/>
      <c r="BU20" s="289"/>
      <c r="BV20" s="289"/>
      <c r="BW20" s="288"/>
      <c r="BX20" s="289"/>
      <c r="BY20" s="289"/>
      <c r="BZ20" s="288"/>
      <c r="CA20" s="289"/>
      <c r="CB20" s="289"/>
      <c r="CC20" s="288"/>
      <c r="CD20" s="289"/>
      <c r="CE20" s="289"/>
      <c r="CF20" s="288"/>
      <c r="CG20" s="289"/>
      <c r="CH20" s="289"/>
      <c r="CI20" s="288"/>
      <c r="CJ20" s="289"/>
      <c r="CK20" s="289"/>
      <c r="CL20" s="288"/>
      <c r="CM20" s="289"/>
      <c r="CN20" s="289"/>
      <c r="CO20" s="288"/>
      <c r="CP20" s="289"/>
      <c r="CQ20" s="289"/>
    </row>
    <row r="21" spans="1:95" s="13" customFormat="1" ht="45" customHeight="1" x14ac:dyDescent="0.2">
      <c r="A21" s="62" t="s">
        <v>32</v>
      </c>
      <c r="B21" s="62" t="s">
        <v>32</v>
      </c>
      <c r="C21" s="62"/>
      <c r="D21" s="327" t="s">
        <v>52</v>
      </c>
      <c r="E21" s="328"/>
      <c r="F21" s="288" t="s">
        <v>308</v>
      </c>
      <c r="G21" s="289"/>
      <c r="H21" s="289"/>
      <c r="I21" s="288" t="s">
        <v>331</v>
      </c>
      <c r="J21" s="289"/>
      <c r="K21" s="289"/>
      <c r="L21" s="288" t="s">
        <v>331</v>
      </c>
      <c r="M21" s="289"/>
      <c r="N21" s="289"/>
      <c r="O21" s="288" t="s">
        <v>361</v>
      </c>
      <c r="P21" s="289"/>
      <c r="Q21" s="289"/>
      <c r="R21" s="288" t="s">
        <v>362</v>
      </c>
      <c r="S21" s="289"/>
      <c r="T21" s="289"/>
      <c r="U21" s="288" t="s">
        <v>363</v>
      </c>
      <c r="V21" s="289"/>
      <c r="W21" s="289"/>
      <c r="X21" s="288" t="s">
        <v>363</v>
      </c>
      <c r="Y21" s="289"/>
      <c r="Z21" s="289"/>
      <c r="AA21" s="288" t="s">
        <v>364</v>
      </c>
      <c r="AB21" s="289"/>
      <c r="AC21" s="289"/>
      <c r="AD21" s="288" t="s">
        <v>365</v>
      </c>
      <c r="AE21" s="289"/>
      <c r="AF21" s="289"/>
      <c r="AG21" s="288" t="s">
        <v>444</v>
      </c>
      <c r="AH21" s="289"/>
      <c r="AI21" s="289"/>
      <c r="AJ21" s="288" t="s">
        <v>51</v>
      </c>
      <c r="AK21" s="289"/>
      <c r="AL21" s="289"/>
      <c r="AM21" s="288" t="s">
        <v>473</v>
      </c>
      <c r="AN21" s="289"/>
      <c r="AO21" s="289"/>
      <c r="AP21" s="288"/>
      <c r="AQ21" s="289"/>
      <c r="AR21" s="289"/>
      <c r="AS21" s="288"/>
      <c r="AT21" s="289"/>
      <c r="AU21" s="289"/>
      <c r="AV21" s="288"/>
      <c r="AW21" s="289"/>
      <c r="AX21" s="289"/>
      <c r="AY21" s="288"/>
      <c r="AZ21" s="289"/>
      <c r="BA21" s="289"/>
      <c r="BB21" s="288"/>
      <c r="BC21" s="289"/>
      <c r="BD21" s="289"/>
      <c r="BE21" s="288"/>
      <c r="BF21" s="289"/>
      <c r="BG21" s="289"/>
      <c r="BH21" s="288"/>
      <c r="BI21" s="289"/>
      <c r="BJ21" s="289"/>
      <c r="BK21" s="288"/>
      <c r="BL21" s="289"/>
      <c r="BM21" s="289"/>
      <c r="BN21" s="288"/>
      <c r="BO21" s="289"/>
      <c r="BP21" s="289"/>
      <c r="BQ21" s="288"/>
      <c r="BR21" s="289"/>
      <c r="BS21" s="289"/>
      <c r="BT21" s="288"/>
      <c r="BU21" s="289"/>
      <c r="BV21" s="289"/>
      <c r="BW21" s="288"/>
      <c r="BX21" s="289"/>
      <c r="BY21" s="289"/>
      <c r="BZ21" s="288"/>
      <c r="CA21" s="289"/>
      <c r="CB21" s="289"/>
      <c r="CC21" s="288"/>
      <c r="CD21" s="289"/>
      <c r="CE21" s="289"/>
      <c r="CF21" s="288"/>
      <c r="CG21" s="289"/>
      <c r="CH21" s="289"/>
      <c r="CI21" s="288"/>
      <c r="CJ21" s="289"/>
      <c r="CK21" s="289"/>
      <c r="CL21" s="288"/>
      <c r="CM21" s="289"/>
      <c r="CN21" s="289"/>
      <c r="CO21" s="288"/>
      <c r="CP21" s="289"/>
      <c r="CQ21" s="289"/>
    </row>
    <row r="22" spans="1:95" s="13" customFormat="1" ht="45" customHeight="1" x14ac:dyDescent="0.2">
      <c r="A22" s="62" t="s">
        <v>32</v>
      </c>
      <c r="B22" s="62" t="s">
        <v>32</v>
      </c>
      <c r="C22" s="62"/>
      <c r="D22" s="337" t="s">
        <v>53</v>
      </c>
      <c r="E22" s="338"/>
      <c r="F22" s="292" t="s">
        <v>309</v>
      </c>
      <c r="G22" s="293"/>
      <c r="H22" s="293"/>
      <c r="I22" s="288" t="s">
        <v>332</v>
      </c>
      <c r="J22" s="289"/>
      <c r="K22" s="289"/>
      <c r="L22" s="288" t="s">
        <v>332</v>
      </c>
      <c r="M22" s="289"/>
      <c r="N22" s="289"/>
      <c r="O22" s="288" t="s">
        <v>366</v>
      </c>
      <c r="P22" s="289"/>
      <c r="Q22" s="289"/>
      <c r="R22" s="288" t="s">
        <v>366</v>
      </c>
      <c r="S22" s="289"/>
      <c r="T22" s="289"/>
      <c r="U22" s="288" t="s">
        <v>367</v>
      </c>
      <c r="V22" s="289"/>
      <c r="W22" s="289"/>
      <c r="X22" s="288" t="s">
        <v>367</v>
      </c>
      <c r="Y22" s="289"/>
      <c r="Z22" s="289"/>
      <c r="AA22" s="288" t="s">
        <v>51</v>
      </c>
      <c r="AB22" s="289"/>
      <c r="AC22" s="289"/>
      <c r="AD22" s="288" t="s">
        <v>368</v>
      </c>
      <c r="AE22" s="289"/>
      <c r="AF22" s="289"/>
      <c r="AG22" s="288" t="s">
        <v>51</v>
      </c>
      <c r="AH22" s="289"/>
      <c r="AI22" s="289"/>
      <c r="AJ22" s="288" t="s">
        <v>51</v>
      </c>
      <c r="AK22" s="289"/>
      <c r="AL22" s="289"/>
      <c r="AM22" s="288" t="s">
        <v>51</v>
      </c>
      <c r="AN22" s="289"/>
      <c r="AO22" s="289"/>
      <c r="AP22" s="288"/>
      <c r="AQ22" s="289"/>
      <c r="AR22" s="289"/>
      <c r="AS22" s="288"/>
      <c r="AT22" s="289"/>
      <c r="AU22" s="289"/>
      <c r="AV22" s="288"/>
      <c r="AW22" s="289"/>
      <c r="AX22" s="289"/>
      <c r="AY22" s="288"/>
      <c r="AZ22" s="289"/>
      <c r="BA22" s="289"/>
      <c r="BB22" s="288"/>
      <c r="BC22" s="289"/>
      <c r="BD22" s="289"/>
      <c r="BE22" s="288"/>
      <c r="BF22" s="289"/>
      <c r="BG22" s="289"/>
      <c r="BH22" s="288"/>
      <c r="BI22" s="289"/>
      <c r="BJ22" s="289"/>
      <c r="BK22" s="288"/>
      <c r="BL22" s="289"/>
      <c r="BM22" s="289"/>
      <c r="BN22" s="288"/>
      <c r="BO22" s="289"/>
      <c r="BP22" s="289"/>
      <c r="BQ22" s="288"/>
      <c r="BR22" s="289"/>
      <c r="BS22" s="289"/>
      <c r="BT22" s="288"/>
      <c r="BU22" s="289"/>
      <c r="BV22" s="289"/>
      <c r="BW22" s="288"/>
      <c r="BX22" s="289"/>
      <c r="BY22" s="289"/>
      <c r="BZ22" s="288"/>
      <c r="CA22" s="289"/>
      <c r="CB22" s="289"/>
      <c r="CC22" s="288"/>
      <c r="CD22" s="289"/>
      <c r="CE22" s="289"/>
      <c r="CF22" s="288"/>
      <c r="CG22" s="289"/>
      <c r="CH22" s="289"/>
      <c r="CI22" s="288"/>
      <c r="CJ22" s="289"/>
      <c r="CK22" s="289"/>
      <c r="CL22" s="288"/>
      <c r="CM22" s="289"/>
      <c r="CN22" s="289"/>
      <c r="CO22" s="288"/>
      <c r="CP22" s="289"/>
      <c r="CQ22" s="289"/>
    </row>
    <row r="23" spans="1:95" s="13" customFormat="1" ht="15" customHeight="1" x14ac:dyDescent="0.2">
      <c r="A23" s="62" t="s">
        <v>32</v>
      </c>
      <c r="B23" s="62" t="s">
        <v>32</v>
      </c>
      <c r="C23" s="62"/>
      <c r="D23" s="65" t="s">
        <v>54</v>
      </c>
      <c r="E23" s="66" t="s">
        <v>55</v>
      </c>
      <c r="F23" s="307" t="s">
        <v>56</v>
      </c>
      <c r="G23" s="308"/>
      <c r="H23" s="57" t="s">
        <v>57</v>
      </c>
      <c r="I23" s="307" t="s">
        <v>56</v>
      </c>
      <c r="J23" s="308"/>
      <c r="K23" s="57" t="s">
        <v>57</v>
      </c>
      <c r="L23" s="307" t="s">
        <v>56</v>
      </c>
      <c r="M23" s="308"/>
      <c r="N23" s="57" t="s">
        <v>57</v>
      </c>
      <c r="O23" s="307" t="s">
        <v>56</v>
      </c>
      <c r="P23" s="308"/>
      <c r="Q23" s="57" t="s">
        <v>57</v>
      </c>
      <c r="R23" s="307" t="s">
        <v>56</v>
      </c>
      <c r="S23" s="308"/>
      <c r="T23" s="57" t="s">
        <v>57</v>
      </c>
      <c r="U23" s="307" t="s">
        <v>56</v>
      </c>
      <c r="V23" s="308"/>
      <c r="W23" s="57" t="s">
        <v>57</v>
      </c>
      <c r="X23" s="307" t="s">
        <v>56</v>
      </c>
      <c r="Y23" s="308"/>
      <c r="Z23" s="57" t="s">
        <v>57</v>
      </c>
      <c r="AA23" s="307" t="s">
        <v>56</v>
      </c>
      <c r="AB23" s="308"/>
      <c r="AC23" s="57" t="s">
        <v>57</v>
      </c>
      <c r="AD23" s="307" t="s">
        <v>56</v>
      </c>
      <c r="AE23" s="308"/>
      <c r="AF23" s="57" t="s">
        <v>57</v>
      </c>
      <c r="AG23" s="307" t="s">
        <v>56</v>
      </c>
      <c r="AH23" s="308"/>
      <c r="AI23" s="57" t="s">
        <v>57</v>
      </c>
      <c r="AJ23" s="307" t="s">
        <v>56</v>
      </c>
      <c r="AK23" s="308"/>
      <c r="AL23" s="57" t="s">
        <v>57</v>
      </c>
      <c r="AM23" s="307" t="s">
        <v>56</v>
      </c>
      <c r="AN23" s="308"/>
      <c r="AO23" s="57" t="s">
        <v>57</v>
      </c>
      <c r="AP23" s="307" t="s">
        <v>56</v>
      </c>
      <c r="AQ23" s="308"/>
      <c r="AR23" s="57" t="s">
        <v>57</v>
      </c>
      <c r="AS23" s="307" t="s">
        <v>56</v>
      </c>
      <c r="AT23" s="308"/>
      <c r="AU23" s="57" t="s">
        <v>57</v>
      </c>
      <c r="AV23" s="307" t="s">
        <v>56</v>
      </c>
      <c r="AW23" s="308"/>
      <c r="AX23" s="57" t="s">
        <v>57</v>
      </c>
      <c r="AY23" s="307" t="s">
        <v>56</v>
      </c>
      <c r="AZ23" s="308"/>
      <c r="BA23" s="57" t="s">
        <v>57</v>
      </c>
      <c r="BB23" s="307" t="s">
        <v>56</v>
      </c>
      <c r="BC23" s="308"/>
      <c r="BD23" s="57" t="s">
        <v>57</v>
      </c>
      <c r="BE23" s="307" t="s">
        <v>56</v>
      </c>
      <c r="BF23" s="308"/>
      <c r="BG23" s="57" t="s">
        <v>57</v>
      </c>
      <c r="BH23" s="307" t="s">
        <v>56</v>
      </c>
      <c r="BI23" s="308"/>
      <c r="BJ23" s="57" t="s">
        <v>57</v>
      </c>
      <c r="BK23" s="307" t="s">
        <v>56</v>
      </c>
      <c r="BL23" s="308"/>
      <c r="BM23" s="57" t="s">
        <v>57</v>
      </c>
      <c r="BN23" s="307" t="s">
        <v>56</v>
      </c>
      <c r="BO23" s="308"/>
      <c r="BP23" s="57" t="s">
        <v>57</v>
      </c>
      <c r="BQ23" s="307" t="s">
        <v>56</v>
      </c>
      <c r="BR23" s="308"/>
      <c r="BS23" s="57" t="s">
        <v>57</v>
      </c>
      <c r="BT23" s="307" t="s">
        <v>56</v>
      </c>
      <c r="BU23" s="308"/>
      <c r="BV23" s="57" t="s">
        <v>57</v>
      </c>
      <c r="BW23" s="307" t="s">
        <v>56</v>
      </c>
      <c r="BX23" s="308"/>
      <c r="BY23" s="57" t="s">
        <v>57</v>
      </c>
      <c r="BZ23" s="307" t="s">
        <v>56</v>
      </c>
      <c r="CA23" s="308"/>
      <c r="CB23" s="57" t="s">
        <v>57</v>
      </c>
      <c r="CC23" s="307" t="s">
        <v>56</v>
      </c>
      <c r="CD23" s="308"/>
      <c r="CE23" s="57" t="s">
        <v>57</v>
      </c>
      <c r="CF23" s="307" t="s">
        <v>56</v>
      </c>
      <c r="CG23" s="308"/>
      <c r="CH23" s="57" t="s">
        <v>57</v>
      </c>
      <c r="CI23" s="307" t="s">
        <v>56</v>
      </c>
      <c r="CJ23" s="308"/>
      <c r="CK23" s="57" t="s">
        <v>57</v>
      </c>
      <c r="CL23" s="307" t="s">
        <v>56</v>
      </c>
      <c r="CM23" s="308"/>
      <c r="CN23" s="57" t="s">
        <v>57</v>
      </c>
      <c r="CO23" s="307" t="s">
        <v>56</v>
      </c>
      <c r="CP23" s="308"/>
      <c r="CQ23" s="57" t="s">
        <v>57</v>
      </c>
    </row>
    <row r="24" spans="1:95" s="13" customFormat="1" ht="15" customHeight="1" x14ac:dyDescent="0.2">
      <c r="A24" s="62" t="s">
        <v>32</v>
      </c>
      <c r="B24" s="62" t="s">
        <v>32</v>
      </c>
      <c r="C24" s="62"/>
      <c r="D24" s="67" t="str">
        <f>IF(E24="","2.8.1 Characteristic 1", CONCATENATE("2.8.1 ", E24))</f>
        <v>2.8.1 Age of participants</v>
      </c>
      <c r="E24" s="79" t="s">
        <v>58</v>
      </c>
      <c r="F24" s="286"/>
      <c r="G24" s="287"/>
      <c r="H24" s="174" t="s">
        <v>46</v>
      </c>
      <c r="I24" s="286" t="s">
        <v>333</v>
      </c>
      <c r="J24" s="287"/>
      <c r="K24" s="174" t="s">
        <v>272</v>
      </c>
      <c r="L24" s="286" t="s">
        <v>333</v>
      </c>
      <c r="M24" s="287"/>
      <c r="N24" s="174" t="s">
        <v>272</v>
      </c>
      <c r="O24" s="286" t="s">
        <v>377</v>
      </c>
      <c r="P24" s="287"/>
      <c r="Q24" s="174" t="s">
        <v>60</v>
      </c>
      <c r="R24" s="286" t="s">
        <v>377</v>
      </c>
      <c r="S24" s="287"/>
      <c r="T24" s="174" t="s">
        <v>60</v>
      </c>
      <c r="U24" s="286" t="s">
        <v>377</v>
      </c>
      <c r="V24" s="287"/>
      <c r="W24" s="174" t="s">
        <v>60</v>
      </c>
      <c r="X24" s="286" t="s">
        <v>377</v>
      </c>
      <c r="Y24" s="287"/>
      <c r="Z24" s="174" t="s">
        <v>60</v>
      </c>
      <c r="AA24" s="286" t="s">
        <v>380</v>
      </c>
      <c r="AB24" s="287"/>
      <c r="AC24" s="174" t="s">
        <v>272</v>
      </c>
      <c r="AD24" s="286" t="s">
        <v>384</v>
      </c>
      <c r="AE24" s="287"/>
      <c r="AF24" s="174" t="s">
        <v>272</v>
      </c>
      <c r="AG24" s="286" t="s">
        <v>448</v>
      </c>
      <c r="AH24" s="287"/>
      <c r="AI24" s="174" t="s">
        <v>272</v>
      </c>
      <c r="AJ24" s="286" t="s">
        <v>46</v>
      </c>
      <c r="AK24" s="287"/>
      <c r="AL24" s="174" t="s">
        <v>46</v>
      </c>
      <c r="AM24" s="286" t="s">
        <v>481</v>
      </c>
      <c r="AN24" s="287"/>
      <c r="AO24" s="174" t="s">
        <v>60</v>
      </c>
      <c r="AP24" s="286"/>
      <c r="AQ24" s="287"/>
      <c r="AR24" s="174"/>
      <c r="AS24" s="286"/>
      <c r="AT24" s="287"/>
      <c r="AU24" s="174"/>
      <c r="AV24" s="286"/>
      <c r="AW24" s="287"/>
      <c r="AX24" s="174"/>
      <c r="AY24" s="286"/>
      <c r="AZ24" s="287"/>
      <c r="BA24" s="174"/>
      <c r="BB24" s="286"/>
      <c r="BC24" s="287"/>
      <c r="BD24" s="174"/>
      <c r="BE24" s="286"/>
      <c r="BF24" s="287"/>
      <c r="BG24" s="174"/>
      <c r="BH24" s="286"/>
      <c r="BI24" s="287"/>
      <c r="BJ24" s="174"/>
      <c r="BK24" s="286"/>
      <c r="BL24" s="287"/>
      <c r="BM24" s="174"/>
      <c r="BN24" s="286"/>
      <c r="BO24" s="287"/>
      <c r="BP24" s="174"/>
      <c r="BQ24" s="286"/>
      <c r="BR24" s="287"/>
      <c r="BS24" s="174"/>
      <c r="BT24" s="286"/>
      <c r="BU24" s="287"/>
      <c r="BV24" s="174"/>
      <c r="BW24" s="286"/>
      <c r="BX24" s="287"/>
      <c r="BY24" s="174"/>
      <c r="BZ24" s="286"/>
      <c r="CA24" s="287"/>
      <c r="CB24" s="174"/>
      <c r="CC24" s="286"/>
      <c r="CD24" s="287"/>
      <c r="CE24" s="174"/>
      <c r="CF24" s="286"/>
      <c r="CG24" s="287"/>
      <c r="CH24" s="174"/>
      <c r="CI24" s="286"/>
      <c r="CJ24" s="287"/>
      <c r="CK24" s="174"/>
      <c r="CL24" s="286"/>
      <c r="CM24" s="287"/>
      <c r="CN24" s="174"/>
      <c r="CO24" s="286"/>
      <c r="CP24" s="287"/>
      <c r="CQ24" s="174"/>
    </row>
    <row r="25" spans="1:95" s="13" customFormat="1" ht="15" customHeight="1" x14ac:dyDescent="0.2">
      <c r="A25" s="62" t="s">
        <v>32</v>
      </c>
      <c r="B25" s="62" t="s">
        <v>32</v>
      </c>
      <c r="C25" s="62"/>
      <c r="D25" s="67" t="str">
        <f>IF(E25="","2.8.2 Characteristic 2", CONCATENATE("2.8.2 ", E25))</f>
        <v>2.8.2 Female</v>
      </c>
      <c r="E25" s="79" t="s">
        <v>310</v>
      </c>
      <c r="F25" s="282" t="s">
        <v>313</v>
      </c>
      <c r="G25" s="283"/>
      <c r="H25" s="175" t="s">
        <v>61</v>
      </c>
      <c r="I25" s="282" t="s">
        <v>334</v>
      </c>
      <c r="J25" s="283"/>
      <c r="K25" s="175" t="s">
        <v>61</v>
      </c>
      <c r="L25" s="282" t="s">
        <v>334</v>
      </c>
      <c r="M25" s="283"/>
      <c r="N25" s="175" t="s">
        <v>61</v>
      </c>
      <c r="O25" s="282"/>
      <c r="P25" s="283"/>
      <c r="Q25" s="175"/>
      <c r="R25" s="282"/>
      <c r="S25" s="283"/>
      <c r="T25" s="175"/>
      <c r="U25" s="282" t="s">
        <v>378</v>
      </c>
      <c r="V25" s="283"/>
      <c r="W25" s="175" t="s">
        <v>61</v>
      </c>
      <c r="X25" s="282" t="s">
        <v>378</v>
      </c>
      <c r="Y25" s="283"/>
      <c r="Z25" s="175" t="s">
        <v>61</v>
      </c>
      <c r="AA25" s="282" t="s">
        <v>381</v>
      </c>
      <c r="AB25" s="283"/>
      <c r="AC25" s="175" t="s">
        <v>61</v>
      </c>
      <c r="AD25" s="282" t="s">
        <v>385</v>
      </c>
      <c r="AE25" s="283"/>
      <c r="AF25" s="175" t="s">
        <v>61</v>
      </c>
      <c r="AG25" s="282" t="s">
        <v>449</v>
      </c>
      <c r="AH25" s="283"/>
      <c r="AI25" s="175" t="s">
        <v>61</v>
      </c>
      <c r="AJ25" s="282"/>
      <c r="AK25" s="283"/>
      <c r="AL25" s="175"/>
      <c r="AM25" s="282" t="s">
        <v>480</v>
      </c>
      <c r="AN25" s="283"/>
      <c r="AO25" s="175" t="s">
        <v>61</v>
      </c>
      <c r="AP25" s="282"/>
      <c r="AQ25" s="283"/>
      <c r="AR25" s="175"/>
      <c r="AS25" s="282"/>
      <c r="AT25" s="283"/>
      <c r="AU25" s="175"/>
      <c r="AV25" s="282"/>
      <c r="AW25" s="283"/>
      <c r="AX25" s="175"/>
      <c r="AY25" s="282"/>
      <c r="AZ25" s="283"/>
      <c r="BA25" s="175"/>
      <c r="BB25" s="282"/>
      <c r="BC25" s="283"/>
      <c r="BD25" s="175"/>
      <c r="BE25" s="282"/>
      <c r="BF25" s="283"/>
      <c r="BG25" s="175"/>
      <c r="BH25" s="282"/>
      <c r="BI25" s="283"/>
      <c r="BJ25" s="175"/>
      <c r="BK25" s="282"/>
      <c r="BL25" s="283"/>
      <c r="BM25" s="175"/>
      <c r="BN25" s="282"/>
      <c r="BO25" s="283"/>
      <c r="BP25" s="175"/>
      <c r="BQ25" s="282"/>
      <c r="BR25" s="283"/>
      <c r="BS25" s="175"/>
      <c r="BT25" s="282"/>
      <c r="BU25" s="283"/>
      <c r="BV25" s="175"/>
      <c r="BW25" s="282"/>
      <c r="BX25" s="283"/>
      <c r="BY25" s="175"/>
      <c r="BZ25" s="282"/>
      <c r="CA25" s="283"/>
      <c r="CB25" s="175"/>
      <c r="CC25" s="282"/>
      <c r="CD25" s="283"/>
      <c r="CE25" s="175"/>
      <c r="CF25" s="282"/>
      <c r="CG25" s="283"/>
      <c r="CH25" s="175"/>
      <c r="CI25" s="282"/>
      <c r="CJ25" s="283"/>
      <c r="CK25" s="175"/>
      <c r="CL25" s="282"/>
      <c r="CM25" s="283"/>
      <c r="CN25" s="175"/>
      <c r="CO25" s="282"/>
      <c r="CP25" s="283"/>
      <c r="CQ25" s="175"/>
    </row>
    <row r="26" spans="1:95" s="13" customFormat="1" ht="15" customHeight="1" x14ac:dyDescent="0.2">
      <c r="A26" s="62" t="s">
        <v>32</v>
      </c>
      <c r="B26" s="62" t="s">
        <v>32</v>
      </c>
      <c r="C26" s="62"/>
      <c r="D26" s="67" t="str">
        <f>IF(E26="","2.8.3 Characteristic 3", CONCATENATE("2.8.3 ", E26))</f>
        <v>2.8.3 Male</v>
      </c>
      <c r="E26" s="79" t="s">
        <v>311</v>
      </c>
      <c r="F26" s="282" t="s">
        <v>314</v>
      </c>
      <c r="G26" s="283"/>
      <c r="H26" s="175" t="s">
        <v>61</v>
      </c>
      <c r="I26" s="282" t="s">
        <v>335</v>
      </c>
      <c r="J26" s="283"/>
      <c r="K26" s="175" t="s">
        <v>61</v>
      </c>
      <c r="L26" s="282" t="s">
        <v>335</v>
      </c>
      <c r="M26" s="283"/>
      <c r="N26" s="175" t="s">
        <v>61</v>
      </c>
      <c r="O26" s="282"/>
      <c r="P26" s="283"/>
      <c r="Q26" s="175"/>
      <c r="R26" s="282"/>
      <c r="S26" s="283"/>
      <c r="T26" s="175"/>
      <c r="U26" s="282" t="s">
        <v>379</v>
      </c>
      <c r="V26" s="283"/>
      <c r="W26" s="175" t="s">
        <v>61</v>
      </c>
      <c r="X26" s="282" t="s">
        <v>379</v>
      </c>
      <c r="Y26" s="283"/>
      <c r="Z26" s="175" t="s">
        <v>61</v>
      </c>
      <c r="AA26" s="282" t="s">
        <v>382</v>
      </c>
      <c r="AB26" s="283"/>
      <c r="AC26" s="175" t="s">
        <v>61</v>
      </c>
      <c r="AD26" s="282" t="s">
        <v>386</v>
      </c>
      <c r="AE26" s="283"/>
      <c r="AF26" s="175" t="s">
        <v>61</v>
      </c>
      <c r="AG26" s="282" t="s">
        <v>450</v>
      </c>
      <c r="AH26" s="283"/>
      <c r="AI26" s="175" t="s">
        <v>61</v>
      </c>
      <c r="AJ26" s="282"/>
      <c r="AK26" s="283"/>
      <c r="AL26" s="175"/>
      <c r="AM26" s="282" t="s">
        <v>479</v>
      </c>
      <c r="AN26" s="283"/>
      <c r="AO26" s="175" t="s">
        <v>61</v>
      </c>
      <c r="AP26" s="282"/>
      <c r="AQ26" s="283"/>
      <c r="AR26" s="175"/>
      <c r="AS26" s="282"/>
      <c r="AT26" s="283"/>
      <c r="AU26" s="175"/>
      <c r="AV26" s="282"/>
      <c r="AW26" s="283"/>
      <c r="AX26" s="175"/>
      <c r="AY26" s="282"/>
      <c r="AZ26" s="283"/>
      <c r="BA26" s="175"/>
      <c r="BB26" s="282"/>
      <c r="BC26" s="283"/>
      <c r="BD26" s="175"/>
      <c r="BE26" s="282"/>
      <c r="BF26" s="283"/>
      <c r="BG26" s="175"/>
      <c r="BH26" s="282"/>
      <c r="BI26" s="283"/>
      <c r="BJ26" s="175"/>
      <c r="BK26" s="282"/>
      <c r="BL26" s="283"/>
      <c r="BM26" s="175"/>
      <c r="BN26" s="282"/>
      <c r="BO26" s="283"/>
      <c r="BP26" s="175"/>
      <c r="BQ26" s="282"/>
      <c r="BR26" s="283"/>
      <c r="BS26" s="175"/>
      <c r="BT26" s="282"/>
      <c r="BU26" s="283"/>
      <c r="BV26" s="175"/>
      <c r="BW26" s="282"/>
      <c r="BX26" s="283"/>
      <c r="BY26" s="175"/>
      <c r="BZ26" s="282"/>
      <c r="CA26" s="283"/>
      <c r="CB26" s="175"/>
      <c r="CC26" s="282"/>
      <c r="CD26" s="283"/>
      <c r="CE26" s="175"/>
      <c r="CF26" s="282"/>
      <c r="CG26" s="283"/>
      <c r="CH26" s="175"/>
      <c r="CI26" s="282"/>
      <c r="CJ26" s="283"/>
      <c r="CK26" s="175"/>
      <c r="CL26" s="282"/>
      <c r="CM26" s="283"/>
      <c r="CN26" s="175"/>
      <c r="CO26" s="282"/>
      <c r="CP26" s="283"/>
      <c r="CQ26" s="175"/>
    </row>
    <row r="27" spans="1:95" s="13" customFormat="1" ht="15" customHeight="1" x14ac:dyDescent="0.2">
      <c r="A27" s="62" t="s">
        <v>32</v>
      </c>
      <c r="B27" s="62" t="s">
        <v>32</v>
      </c>
      <c r="C27" s="62"/>
      <c r="D27" s="67" t="str">
        <f>IF(E27="","2.8.4 Characteristic 4", CONCATENATE("2.8.4 ", E27))</f>
        <v>2.8.4 IIT</v>
      </c>
      <c r="E27" s="79" t="s">
        <v>312</v>
      </c>
      <c r="F27" s="282" t="s">
        <v>315</v>
      </c>
      <c r="G27" s="283"/>
      <c r="H27" s="175" t="s">
        <v>61</v>
      </c>
      <c r="I27" s="282" t="s">
        <v>336</v>
      </c>
      <c r="J27" s="283"/>
      <c r="K27" s="175" t="s">
        <v>61</v>
      </c>
      <c r="L27" s="282"/>
      <c r="M27" s="283"/>
      <c r="N27" s="175"/>
      <c r="O27" s="282"/>
      <c r="P27" s="283"/>
      <c r="Q27" s="175"/>
      <c r="R27" s="282"/>
      <c r="S27" s="283"/>
      <c r="T27" s="175"/>
      <c r="U27" s="282"/>
      <c r="V27" s="283"/>
      <c r="W27" s="175"/>
      <c r="X27" s="282"/>
      <c r="Y27" s="283"/>
      <c r="Z27" s="175"/>
      <c r="AA27" s="282" t="s">
        <v>383</v>
      </c>
      <c r="AB27" s="283"/>
      <c r="AC27" s="175" t="s">
        <v>61</v>
      </c>
      <c r="AD27" s="282"/>
      <c r="AE27" s="283"/>
      <c r="AF27" s="175"/>
      <c r="AG27" s="282"/>
      <c r="AH27" s="283"/>
      <c r="AI27" s="175"/>
      <c r="AJ27" s="282"/>
      <c r="AK27" s="283"/>
      <c r="AL27" s="175"/>
      <c r="AM27" s="282"/>
      <c r="AN27" s="283"/>
      <c r="AO27" s="175"/>
      <c r="AP27" s="282"/>
      <c r="AQ27" s="283"/>
      <c r="AR27" s="175"/>
      <c r="AS27" s="282"/>
      <c r="AT27" s="283"/>
      <c r="AU27" s="175"/>
      <c r="AV27" s="282"/>
      <c r="AW27" s="283"/>
      <c r="AX27" s="175"/>
      <c r="AY27" s="282"/>
      <c r="AZ27" s="283"/>
      <c r="BA27" s="175"/>
      <c r="BB27" s="282"/>
      <c r="BC27" s="283"/>
      <c r="BD27" s="175"/>
      <c r="BE27" s="282"/>
      <c r="BF27" s="283"/>
      <c r="BG27" s="175"/>
      <c r="BH27" s="282"/>
      <c r="BI27" s="283"/>
      <c r="BJ27" s="175"/>
      <c r="BK27" s="282"/>
      <c r="BL27" s="283"/>
      <c r="BM27" s="175"/>
      <c r="BN27" s="282"/>
      <c r="BO27" s="283"/>
      <c r="BP27" s="175"/>
      <c r="BQ27" s="282"/>
      <c r="BR27" s="283"/>
      <c r="BS27" s="175"/>
      <c r="BT27" s="282"/>
      <c r="BU27" s="283"/>
      <c r="BV27" s="175"/>
      <c r="BW27" s="282"/>
      <c r="BX27" s="283"/>
      <c r="BY27" s="175"/>
      <c r="BZ27" s="282"/>
      <c r="CA27" s="283"/>
      <c r="CB27" s="175"/>
      <c r="CC27" s="282"/>
      <c r="CD27" s="283"/>
      <c r="CE27" s="175"/>
      <c r="CF27" s="282"/>
      <c r="CG27" s="283"/>
      <c r="CH27" s="175"/>
      <c r="CI27" s="282"/>
      <c r="CJ27" s="283"/>
      <c r="CK27" s="175"/>
      <c r="CL27" s="282"/>
      <c r="CM27" s="283"/>
      <c r="CN27" s="175"/>
      <c r="CO27" s="282"/>
      <c r="CP27" s="283"/>
      <c r="CQ27" s="175"/>
    </row>
    <row r="28" spans="1:95" s="13" customFormat="1" ht="15" customHeight="1" x14ac:dyDescent="0.2">
      <c r="A28" s="62" t="s">
        <v>32</v>
      </c>
      <c r="B28" s="62" t="s">
        <v>32</v>
      </c>
      <c r="C28" s="58"/>
      <c r="D28" s="68" t="str">
        <f>IF(E28="","2.8.5 Characteristic 5", CONCATENATE("2.8.5 ", E28))</f>
        <v>2.8.5 Characteristic 5</v>
      </c>
      <c r="E28" s="80"/>
      <c r="F28" s="284"/>
      <c r="G28" s="285"/>
      <c r="H28" s="176"/>
      <c r="I28" s="284"/>
      <c r="J28" s="285"/>
      <c r="K28" s="176"/>
      <c r="L28" s="284"/>
      <c r="M28" s="285"/>
      <c r="N28" s="176"/>
      <c r="O28" s="284"/>
      <c r="P28" s="285"/>
      <c r="Q28" s="176"/>
      <c r="R28" s="284"/>
      <c r="S28" s="285"/>
      <c r="T28" s="176"/>
      <c r="U28" s="284"/>
      <c r="V28" s="285"/>
      <c r="W28" s="176"/>
      <c r="X28" s="284"/>
      <c r="Y28" s="285"/>
      <c r="Z28" s="176"/>
      <c r="AA28" s="284"/>
      <c r="AB28" s="285"/>
      <c r="AC28" s="176"/>
      <c r="AD28" s="284"/>
      <c r="AE28" s="285"/>
      <c r="AF28" s="176"/>
      <c r="AG28" s="284"/>
      <c r="AH28" s="285"/>
      <c r="AI28" s="176"/>
      <c r="AJ28" s="284"/>
      <c r="AK28" s="285"/>
      <c r="AL28" s="176"/>
      <c r="AM28" s="284"/>
      <c r="AN28" s="285"/>
      <c r="AO28" s="176"/>
      <c r="AP28" s="284"/>
      <c r="AQ28" s="285"/>
      <c r="AR28" s="176"/>
      <c r="AS28" s="284"/>
      <c r="AT28" s="285"/>
      <c r="AU28" s="176"/>
      <c r="AV28" s="284"/>
      <c r="AW28" s="285"/>
      <c r="AX28" s="176"/>
      <c r="AY28" s="284"/>
      <c r="AZ28" s="285"/>
      <c r="BA28" s="176"/>
      <c r="BB28" s="284"/>
      <c r="BC28" s="285"/>
      <c r="BD28" s="176"/>
      <c r="BE28" s="284"/>
      <c r="BF28" s="285"/>
      <c r="BG28" s="176"/>
      <c r="BH28" s="284"/>
      <c r="BI28" s="285"/>
      <c r="BJ28" s="176"/>
      <c r="BK28" s="284"/>
      <c r="BL28" s="285"/>
      <c r="BM28" s="176"/>
      <c r="BN28" s="284"/>
      <c r="BO28" s="285"/>
      <c r="BP28" s="176"/>
      <c r="BQ28" s="284"/>
      <c r="BR28" s="285"/>
      <c r="BS28" s="176"/>
      <c r="BT28" s="284"/>
      <c r="BU28" s="285"/>
      <c r="BV28" s="176"/>
      <c r="BW28" s="284"/>
      <c r="BX28" s="285"/>
      <c r="BY28" s="176"/>
      <c r="BZ28" s="284"/>
      <c r="CA28" s="285"/>
      <c r="CB28" s="176"/>
      <c r="CC28" s="284"/>
      <c r="CD28" s="285"/>
      <c r="CE28" s="176"/>
      <c r="CF28" s="284"/>
      <c r="CG28" s="285"/>
      <c r="CH28" s="176"/>
      <c r="CI28" s="284"/>
      <c r="CJ28" s="285"/>
      <c r="CK28" s="176"/>
      <c r="CL28" s="284"/>
      <c r="CM28" s="285"/>
      <c r="CN28" s="176"/>
      <c r="CO28" s="284"/>
      <c r="CP28" s="285"/>
      <c r="CQ28" s="176"/>
    </row>
    <row r="29" spans="1:95" s="1" customFormat="1" ht="18.75" customHeight="1" x14ac:dyDescent="0.2">
      <c r="A29" s="335" t="s">
        <v>63</v>
      </c>
      <c r="B29" s="335"/>
      <c r="C29" s="335"/>
      <c r="D29" s="335"/>
      <c r="E29" s="335"/>
      <c r="F29" s="48">
        <f>IF(SUMMARY!$B$7=TRUE,IF(COUNTBLANK(F30:F36)&gt;0,0,1),"")</f>
        <v>1</v>
      </c>
      <c r="G29" s="50"/>
      <c r="H29" s="50"/>
      <c r="I29" s="50">
        <f>IF(SUMMARY!$B$8=TRUE,IF(COUNTBLANK(I30:I36)&gt;0,0,1),"")</f>
        <v>1</v>
      </c>
      <c r="J29" s="50"/>
      <c r="K29" s="50"/>
      <c r="L29" s="50">
        <f>IF(SUMMARY!$B$9=TRUE,IF(COUNTBLANK(L30:L36)&gt;0,0,1),"")</f>
        <v>1</v>
      </c>
      <c r="M29" s="50"/>
      <c r="N29" s="50"/>
      <c r="O29" s="50">
        <f>IF(SUMMARY!$B$10=TRUE,IF(COUNTBLANK(O30:O36)&gt;0,0,1),"")</f>
        <v>1</v>
      </c>
      <c r="P29" s="50"/>
      <c r="Q29" s="50"/>
      <c r="R29" s="50">
        <f>IF(SUMMARY!$B$11=TRUE,IF(COUNTBLANK(R30:R36)&gt;0,0,1),"")</f>
        <v>1</v>
      </c>
      <c r="S29" s="50"/>
      <c r="T29" s="50"/>
      <c r="U29" s="50">
        <f>IF(SUMMARY!$B$12=TRUE,IF(COUNTBLANK(U30:U36)&gt;0,0,1),"")</f>
        <v>1</v>
      </c>
      <c r="V29" s="50"/>
      <c r="W29" s="50"/>
      <c r="X29" s="50">
        <f>IF(SUMMARY!$B$13=TRUE,IF(COUNTBLANK(X30:X36)&gt;0,0,1),"")</f>
        <v>1</v>
      </c>
      <c r="Y29" s="50"/>
      <c r="Z29" s="50"/>
      <c r="AA29" s="50">
        <f>IF(SUMMARY!$B$14=TRUE,IF(COUNTBLANK(AA30:AA36)&gt;0,0,1),"")</f>
        <v>1</v>
      </c>
      <c r="AB29" s="50"/>
      <c r="AC29" s="50"/>
      <c r="AD29" s="50">
        <f>IF(SUMMARY!$B$15=TRUE,IF(COUNTBLANK(AD30:AD36)&gt;0,0,1),"")</f>
        <v>1</v>
      </c>
      <c r="AE29" s="50"/>
      <c r="AF29" s="50"/>
      <c r="AG29" s="50">
        <f>IF(SUMMARY!$B$16=TRUE,IF(COUNTBLANK(AG30:AG36)&gt;0,0,1),"")</f>
        <v>1</v>
      </c>
      <c r="AH29" s="50"/>
      <c r="AI29" s="50"/>
      <c r="AJ29" s="50">
        <f>IF(SUMMARY!$B$17=TRUE,IF(COUNTBLANK(AJ30:AJ36)&gt;0,0,1),"")</f>
        <v>1</v>
      </c>
      <c r="AK29" s="50"/>
      <c r="AL29" s="50"/>
      <c r="AM29" s="50">
        <f>IF(SUMMARY!$B$18=TRUE,IF(COUNTBLANK(AM30:AM36)&gt;0,0,1),"")</f>
        <v>1</v>
      </c>
      <c r="AN29" s="50"/>
      <c r="AO29" s="50"/>
      <c r="AP29" s="50" t="str">
        <f>IF(SUMMARY!$B$19=TRUE,IF(COUNTBLANK(AP30:AP36)&gt;0,0,1),"")</f>
        <v/>
      </c>
      <c r="AQ29" s="50"/>
      <c r="AR29" s="50"/>
      <c r="AS29" s="50" t="str">
        <f>IF(SUMMARY!$B$20=TRUE,IF(COUNTBLANK(AS30:AS36)&gt;0,0,1),"")</f>
        <v/>
      </c>
      <c r="AT29" s="50"/>
      <c r="AU29" s="50"/>
      <c r="AV29" s="50" t="str">
        <f>IF(SUMMARY!$B$21=TRUE,IF(COUNTBLANK(AV30:AV36)&gt;0,0,1),"")</f>
        <v/>
      </c>
      <c r="AW29" s="50"/>
      <c r="AX29" s="50"/>
      <c r="AY29" s="50" t="str">
        <f>IF(SUMMARY!$B$22=TRUE,IF(COUNTBLANK(AY30:AY36)&gt;0,0,1),"")</f>
        <v/>
      </c>
      <c r="AZ29" s="50"/>
      <c r="BA29" s="50"/>
      <c r="BB29" s="50" t="str">
        <f>IF(SUMMARY!$B$23=TRUE,IF(COUNTBLANK(BB30:BB36)&gt;0,0,1),"")</f>
        <v/>
      </c>
      <c r="BC29" s="50"/>
      <c r="BD29" s="50"/>
      <c r="BE29" s="50" t="str">
        <f>IF(SUMMARY!$B$24=TRUE,IF(COUNTBLANK(BE30:BE36)&gt;0,0,1),"")</f>
        <v/>
      </c>
      <c r="BF29" s="50"/>
      <c r="BG29" s="50"/>
      <c r="BH29" s="50" t="str">
        <f>IF(SUMMARY!$B$25=TRUE,IF(COUNTBLANK(BH30:BH36)&gt;0,0,1),"")</f>
        <v/>
      </c>
      <c r="BI29" s="50"/>
      <c r="BJ29" s="50"/>
      <c r="BK29" s="50" t="str">
        <f>IF(SUMMARY!$B$26=TRUE,IF(COUNTBLANK(BK30:BK36)&gt;0,0,1),"")</f>
        <v/>
      </c>
      <c r="BL29" s="50"/>
      <c r="BM29" s="50"/>
      <c r="BN29" s="50" t="str">
        <f>IF(SUMMARY!$B$27=TRUE,IF(COUNTBLANK(BN30:BN36)&gt;0,0,1),"")</f>
        <v/>
      </c>
      <c r="BO29" s="50"/>
      <c r="BP29" s="50"/>
      <c r="BQ29" s="50" t="str">
        <f>IF(SUMMARY!$B$28=TRUE,IF(COUNTBLANK(BQ30:BQ36)&gt;0,0,1),"")</f>
        <v/>
      </c>
      <c r="BR29" s="50"/>
      <c r="BS29" s="50"/>
      <c r="BT29" s="50" t="str">
        <f>IF(SUMMARY!$B$29=TRUE,IF(COUNTBLANK(BT30:BT36)&gt;0,0,1),"")</f>
        <v/>
      </c>
      <c r="BU29" s="50"/>
      <c r="BV29" s="50"/>
      <c r="BW29" s="50" t="str">
        <f>IF(SUMMARY!$B$30=TRUE,IF(COUNTBLANK(BW30:BW36)&gt;0,0,1),"")</f>
        <v/>
      </c>
      <c r="BX29" s="50"/>
      <c r="BY29" s="50"/>
      <c r="BZ29" s="50" t="str">
        <f>IF(SUMMARY!$B$31=TRUE,IF(COUNTBLANK(BZ30:BZ36)&gt;0,0,1),"")</f>
        <v/>
      </c>
      <c r="CA29" s="50"/>
      <c r="CB29" s="50"/>
      <c r="CC29" s="50" t="str">
        <f>IF(SUMMARY!$B$32=TRUE,IF(COUNTBLANK(CC30:CC36)&gt;0,0,1),"")</f>
        <v/>
      </c>
      <c r="CD29" s="50"/>
      <c r="CE29" s="50"/>
      <c r="CF29" s="50" t="str">
        <f>IF(SUMMARY!$B$33=TRUE,IF(COUNTBLANK(CF30:CF36)&gt;0,0,1),"")</f>
        <v/>
      </c>
      <c r="CG29" s="50"/>
      <c r="CH29" s="50"/>
      <c r="CI29" s="50" t="str">
        <f>IF(SUMMARY!$B$34=TRUE,IF(COUNTBLANK(CI30:CI36)&gt;0,0,1),"")</f>
        <v/>
      </c>
      <c r="CJ29" s="50"/>
      <c r="CK29" s="50"/>
      <c r="CL29" s="50" t="str">
        <f>IF(SUMMARY!$B$35=TRUE,IF(COUNTBLANK(CL30:CL36)&gt;0,0,1),"")</f>
        <v/>
      </c>
      <c r="CM29" s="50"/>
      <c r="CN29" s="50"/>
      <c r="CO29" s="51" t="str">
        <f>IF(SUMMARY!$B$36=TRUE,IF(COUNTBLANK(CO30:CO36)&gt;0,0,1),"")</f>
        <v/>
      </c>
      <c r="CP29" s="50"/>
      <c r="CQ29" s="50"/>
    </row>
    <row r="30" spans="1:95" s="13" customFormat="1" ht="15" customHeight="1" x14ac:dyDescent="0.2">
      <c r="A30" s="69"/>
      <c r="B30" s="69" t="s">
        <v>32</v>
      </c>
      <c r="C30" s="69" t="s">
        <v>32</v>
      </c>
      <c r="D30" s="329" t="s">
        <v>64</v>
      </c>
      <c r="E30" s="330"/>
      <c r="F30" s="294" t="s">
        <v>316</v>
      </c>
      <c r="G30" s="295"/>
      <c r="H30" s="295"/>
      <c r="I30" s="294" t="s">
        <v>337</v>
      </c>
      <c r="J30" s="295"/>
      <c r="K30" s="295"/>
      <c r="L30" s="294" t="s">
        <v>337</v>
      </c>
      <c r="M30" s="295"/>
      <c r="N30" s="295"/>
      <c r="O30" s="294" t="s">
        <v>369</v>
      </c>
      <c r="P30" s="295"/>
      <c r="Q30" s="295"/>
      <c r="R30" s="294" t="s">
        <v>369</v>
      </c>
      <c r="S30" s="295"/>
      <c r="T30" s="295"/>
      <c r="U30" s="294" t="s">
        <v>456</v>
      </c>
      <c r="V30" s="295"/>
      <c r="W30" s="295"/>
      <c r="X30" s="294" t="s">
        <v>456</v>
      </c>
      <c r="Y30" s="295"/>
      <c r="Z30" s="295"/>
      <c r="AA30" s="294" t="s">
        <v>370</v>
      </c>
      <c r="AB30" s="295"/>
      <c r="AC30" s="295"/>
      <c r="AD30" s="294" t="s">
        <v>371</v>
      </c>
      <c r="AE30" s="295"/>
      <c r="AF30" s="295"/>
      <c r="AG30" s="294" t="s">
        <v>445</v>
      </c>
      <c r="AH30" s="295"/>
      <c r="AI30" s="295"/>
      <c r="AJ30" s="294" t="s">
        <v>463</v>
      </c>
      <c r="AK30" s="295"/>
      <c r="AL30" s="295"/>
      <c r="AM30" s="294" t="s">
        <v>474</v>
      </c>
      <c r="AN30" s="295"/>
      <c r="AO30" s="295"/>
      <c r="AP30" s="294"/>
      <c r="AQ30" s="295"/>
      <c r="AR30" s="295"/>
      <c r="AS30" s="294"/>
      <c r="AT30" s="295"/>
      <c r="AU30" s="295"/>
      <c r="AV30" s="294"/>
      <c r="AW30" s="295"/>
      <c r="AX30" s="295"/>
      <c r="AY30" s="294"/>
      <c r="AZ30" s="295"/>
      <c r="BA30" s="295"/>
      <c r="BB30" s="294"/>
      <c r="BC30" s="295"/>
      <c r="BD30" s="295"/>
      <c r="BE30" s="294"/>
      <c r="BF30" s="295"/>
      <c r="BG30" s="295"/>
      <c r="BH30" s="294"/>
      <c r="BI30" s="295"/>
      <c r="BJ30" s="295"/>
      <c r="BK30" s="294"/>
      <c r="BL30" s="295"/>
      <c r="BM30" s="295"/>
      <c r="BN30" s="294"/>
      <c r="BO30" s="295"/>
      <c r="BP30" s="295"/>
      <c r="BQ30" s="294"/>
      <c r="BR30" s="295"/>
      <c r="BS30" s="295"/>
      <c r="BT30" s="294"/>
      <c r="BU30" s="295"/>
      <c r="BV30" s="295"/>
      <c r="BW30" s="294"/>
      <c r="BX30" s="295"/>
      <c r="BY30" s="295"/>
      <c r="BZ30" s="294"/>
      <c r="CA30" s="295"/>
      <c r="CB30" s="295"/>
      <c r="CC30" s="294"/>
      <c r="CD30" s="295"/>
      <c r="CE30" s="295"/>
      <c r="CF30" s="294"/>
      <c r="CG30" s="295"/>
      <c r="CH30" s="295"/>
      <c r="CI30" s="294"/>
      <c r="CJ30" s="295"/>
      <c r="CK30" s="323"/>
      <c r="CL30" s="294"/>
      <c r="CM30" s="295"/>
      <c r="CN30" s="295"/>
      <c r="CO30" s="294"/>
      <c r="CP30" s="295"/>
      <c r="CQ30" s="295"/>
    </row>
    <row r="31" spans="1:95" s="13" customFormat="1" ht="30" customHeight="1" x14ac:dyDescent="0.2">
      <c r="A31" s="69"/>
      <c r="B31" s="69" t="s">
        <v>32</v>
      </c>
      <c r="C31" s="69" t="s">
        <v>32</v>
      </c>
      <c r="D31" s="327" t="s">
        <v>65</v>
      </c>
      <c r="E31" s="328"/>
      <c r="F31" s="288" t="s">
        <v>317</v>
      </c>
      <c r="G31" s="289"/>
      <c r="H31" s="289"/>
      <c r="I31" s="288" t="s">
        <v>338</v>
      </c>
      <c r="J31" s="289"/>
      <c r="K31" s="289"/>
      <c r="L31" s="288" t="s">
        <v>372</v>
      </c>
      <c r="M31" s="289"/>
      <c r="N31" s="289"/>
      <c r="O31" s="288" t="s">
        <v>373</v>
      </c>
      <c r="P31" s="289"/>
      <c r="Q31" s="289"/>
      <c r="R31" s="288" t="s">
        <v>373</v>
      </c>
      <c r="S31" s="289"/>
      <c r="T31" s="289"/>
      <c r="U31" s="288" t="s">
        <v>374</v>
      </c>
      <c r="V31" s="289"/>
      <c r="W31" s="289"/>
      <c r="X31" s="288" t="s">
        <v>374</v>
      </c>
      <c r="Y31" s="289"/>
      <c r="Z31" s="289"/>
      <c r="AA31" s="288" t="s">
        <v>375</v>
      </c>
      <c r="AB31" s="289"/>
      <c r="AC31" s="289"/>
      <c r="AD31" s="288" t="s">
        <v>376</v>
      </c>
      <c r="AE31" s="289"/>
      <c r="AF31" s="289"/>
      <c r="AG31" s="288" t="s">
        <v>443</v>
      </c>
      <c r="AH31" s="289"/>
      <c r="AI31" s="289"/>
      <c r="AJ31" s="288" t="s">
        <v>464</v>
      </c>
      <c r="AK31" s="289"/>
      <c r="AL31" s="289"/>
      <c r="AM31" s="288" t="s">
        <v>475</v>
      </c>
      <c r="AN31" s="289"/>
      <c r="AO31" s="289"/>
      <c r="AP31" s="288"/>
      <c r="AQ31" s="289"/>
      <c r="AR31" s="289"/>
      <c r="AS31" s="288"/>
      <c r="AT31" s="289"/>
      <c r="AU31" s="289"/>
      <c r="AV31" s="288"/>
      <c r="AW31" s="289"/>
      <c r="AX31" s="289"/>
      <c r="AY31" s="288"/>
      <c r="AZ31" s="289"/>
      <c r="BA31" s="289"/>
      <c r="BB31" s="288"/>
      <c r="BC31" s="289"/>
      <c r="BD31" s="289"/>
      <c r="BE31" s="288"/>
      <c r="BF31" s="289"/>
      <c r="BG31" s="289"/>
      <c r="BH31" s="288"/>
      <c r="BI31" s="289"/>
      <c r="BJ31" s="289"/>
      <c r="BK31" s="288"/>
      <c r="BL31" s="289"/>
      <c r="BM31" s="289"/>
      <c r="BN31" s="288"/>
      <c r="BO31" s="289"/>
      <c r="BP31" s="289"/>
      <c r="BQ31" s="288"/>
      <c r="BR31" s="289"/>
      <c r="BS31" s="289"/>
      <c r="BT31" s="288"/>
      <c r="BU31" s="289"/>
      <c r="BV31" s="289"/>
      <c r="BW31" s="288"/>
      <c r="BX31" s="289"/>
      <c r="BY31" s="289"/>
      <c r="BZ31" s="288"/>
      <c r="CA31" s="289"/>
      <c r="CB31" s="289"/>
      <c r="CC31" s="288"/>
      <c r="CD31" s="289"/>
      <c r="CE31" s="289"/>
      <c r="CF31" s="288"/>
      <c r="CG31" s="289"/>
      <c r="CH31" s="289"/>
      <c r="CI31" s="288"/>
      <c r="CJ31" s="289"/>
      <c r="CK31" s="289"/>
      <c r="CL31" s="288"/>
      <c r="CM31" s="289"/>
      <c r="CN31" s="289"/>
      <c r="CO31" s="288"/>
      <c r="CP31" s="289"/>
      <c r="CQ31" s="289"/>
    </row>
    <row r="32" spans="1:95" s="13" customFormat="1" ht="15" customHeight="1" x14ac:dyDescent="0.2">
      <c r="A32" s="62"/>
      <c r="B32" s="62"/>
      <c r="C32" s="62" t="s">
        <v>32</v>
      </c>
      <c r="D32" s="327" t="s">
        <v>66</v>
      </c>
      <c r="E32" s="328"/>
      <c r="F32" s="288" t="s">
        <v>67</v>
      </c>
      <c r="G32" s="289"/>
      <c r="H32" s="289"/>
      <c r="I32" s="288" t="s">
        <v>67</v>
      </c>
      <c r="J32" s="289"/>
      <c r="K32" s="289"/>
      <c r="L32" s="288" t="s">
        <v>67</v>
      </c>
      <c r="M32" s="289"/>
      <c r="N32" s="289"/>
      <c r="O32" s="288" t="s">
        <v>67</v>
      </c>
      <c r="P32" s="289"/>
      <c r="Q32" s="289"/>
      <c r="R32" s="288" t="s">
        <v>67</v>
      </c>
      <c r="S32" s="289"/>
      <c r="T32" s="289"/>
      <c r="U32" s="288" t="s">
        <v>67</v>
      </c>
      <c r="V32" s="289"/>
      <c r="W32" s="289"/>
      <c r="X32" s="288" t="s">
        <v>67</v>
      </c>
      <c r="Y32" s="289"/>
      <c r="Z32" s="289"/>
      <c r="AA32" s="288" t="s">
        <v>67</v>
      </c>
      <c r="AB32" s="289"/>
      <c r="AC32" s="289"/>
      <c r="AD32" s="288" t="s">
        <v>67</v>
      </c>
      <c r="AE32" s="289"/>
      <c r="AF32" s="289"/>
      <c r="AG32" s="288" t="s">
        <v>67</v>
      </c>
      <c r="AH32" s="289"/>
      <c r="AI32" s="289"/>
      <c r="AJ32" s="288" t="s">
        <v>67</v>
      </c>
      <c r="AK32" s="289"/>
      <c r="AL32" s="289"/>
      <c r="AM32" s="288" t="s">
        <v>67</v>
      </c>
      <c r="AN32" s="289"/>
      <c r="AO32" s="289"/>
      <c r="AP32" s="288"/>
      <c r="AQ32" s="289"/>
      <c r="AR32" s="289"/>
      <c r="AS32" s="288"/>
      <c r="AT32" s="289"/>
      <c r="AU32" s="289"/>
      <c r="AV32" s="288"/>
      <c r="AW32" s="289"/>
      <c r="AX32" s="289"/>
      <c r="AY32" s="288"/>
      <c r="AZ32" s="289"/>
      <c r="BA32" s="289"/>
      <c r="BB32" s="288"/>
      <c r="BC32" s="289"/>
      <c r="BD32" s="289"/>
      <c r="BE32" s="288"/>
      <c r="BF32" s="289"/>
      <c r="BG32" s="289"/>
      <c r="BH32" s="288"/>
      <c r="BI32" s="289"/>
      <c r="BJ32" s="289"/>
      <c r="BK32" s="288"/>
      <c r="BL32" s="289"/>
      <c r="BM32" s="289"/>
      <c r="BN32" s="288"/>
      <c r="BO32" s="289"/>
      <c r="BP32" s="289"/>
      <c r="BQ32" s="288"/>
      <c r="BR32" s="289"/>
      <c r="BS32" s="289"/>
      <c r="BT32" s="288"/>
      <c r="BU32" s="289"/>
      <c r="BV32" s="289"/>
      <c r="BW32" s="288"/>
      <c r="BX32" s="289"/>
      <c r="BY32" s="289"/>
      <c r="BZ32" s="288"/>
      <c r="CA32" s="289"/>
      <c r="CB32" s="289"/>
      <c r="CC32" s="288"/>
      <c r="CD32" s="289"/>
      <c r="CE32" s="289"/>
      <c r="CF32" s="288"/>
      <c r="CG32" s="289"/>
      <c r="CH32" s="289"/>
      <c r="CI32" s="288"/>
      <c r="CJ32" s="289"/>
      <c r="CK32" s="289"/>
      <c r="CL32" s="288"/>
      <c r="CM32" s="289"/>
      <c r="CN32" s="289"/>
      <c r="CO32" s="288"/>
      <c r="CP32" s="289"/>
      <c r="CQ32" s="289"/>
    </row>
    <row r="33" spans="1:95" s="13" customFormat="1" ht="15" customHeight="1" x14ac:dyDescent="0.2">
      <c r="A33" s="63" t="s">
        <v>32</v>
      </c>
      <c r="B33" s="63" t="s">
        <v>32</v>
      </c>
      <c r="C33" s="63"/>
      <c r="D33" s="327" t="s">
        <v>68</v>
      </c>
      <c r="E33" s="328"/>
      <c r="F33" s="288" t="s">
        <v>69</v>
      </c>
      <c r="G33" s="289"/>
      <c r="H33" s="289"/>
      <c r="I33" s="288" t="s">
        <v>69</v>
      </c>
      <c r="J33" s="289"/>
      <c r="K33" s="289"/>
      <c r="L33" s="288" t="s">
        <v>69</v>
      </c>
      <c r="M33" s="289"/>
      <c r="N33" s="289"/>
      <c r="O33" s="288" t="s">
        <v>69</v>
      </c>
      <c r="P33" s="289"/>
      <c r="Q33" s="289"/>
      <c r="R33" s="288" t="s">
        <v>69</v>
      </c>
      <c r="S33" s="289"/>
      <c r="T33" s="289"/>
      <c r="U33" s="288" t="s">
        <v>69</v>
      </c>
      <c r="V33" s="289"/>
      <c r="W33" s="289"/>
      <c r="X33" s="288" t="s">
        <v>69</v>
      </c>
      <c r="Y33" s="289"/>
      <c r="Z33" s="289"/>
      <c r="AA33" s="288" t="s">
        <v>69</v>
      </c>
      <c r="AB33" s="289"/>
      <c r="AC33" s="289"/>
      <c r="AD33" s="288" t="s">
        <v>69</v>
      </c>
      <c r="AE33" s="289"/>
      <c r="AF33" s="289"/>
      <c r="AG33" s="288" t="s">
        <v>69</v>
      </c>
      <c r="AH33" s="289"/>
      <c r="AI33" s="289"/>
      <c r="AJ33" s="288" t="s">
        <v>69</v>
      </c>
      <c r="AK33" s="289"/>
      <c r="AL33" s="289"/>
      <c r="AM33" s="288" t="s">
        <v>69</v>
      </c>
      <c r="AN33" s="289"/>
      <c r="AO33" s="289"/>
      <c r="AP33" s="288"/>
      <c r="AQ33" s="289"/>
      <c r="AR33" s="289"/>
      <c r="AS33" s="288"/>
      <c r="AT33" s="289"/>
      <c r="AU33" s="289"/>
      <c r="AV33" s="288"/>
      <c r="AW33" s="289"/>
      <c r="AX33" s="289"/>
      <c r="AY33" s="288"/>
      <c r="AZ33" s="289"/>
      <c r="BA33" s="289"/>
      <c r="BB33" s="288"/>
      <c r="BC33" s="289"/>
      <c r="BD33" s="289"/>
      <c r="BE33" s="288"/>
      <c r="BF33" s="289"/>
      <c r="BG33" s="289"/>
      <c r="BH33" s="288"/>
      <c r="BI33" s="289"/>
      <c r="BJ33" s="289"/>
      <c r="BK33" s="288"/>
      <c r="BL33" s="289"/>
      <c r="BM33" s="289"/>
      <c r="BN33" s="288"/>
      <c r="BO33" s="289"/>
      <c r="BP33" s="289"/>
      <c r="BQ33" s="288"/>
      <c r="BR33" s="289"/>
      <c r="BS33" s="289"/>
      <c r="BT33" s="288"/>
      <c r="BU33" s="289"/>
      <c r="BV33" s="289"/>
      <c r="BW33" s="288"/>
      <c r="BX33" s="289"/>
      <c r="BY33" s="289"/>
      <c r="BZ33" s="288"/>
      <c r="CA33" s="289"/>
      <c r="CB33" s="289"/>
      <c r="CC33" s="288"/>
      <c r="CD33" s="289"/>
      <c r="CE33" s="289"/>
      <c r="CF33" s="288"/>
      <c r="CG33" s="289"/>
      <c r="CH33" s="289"/>
      <c r="CI33" s="288"/>
      <c r="CJ33" s="289"/>
      <c r="CK33" s="289"/>
      <c r="CL33" s="288"/>
      <c r="CM33" s="289"/>
      <c r="CN33" s="289"/>
      <c r="CO33" s="288"/>
      <c r="CP33" s="289"/>
      <c r="CQ33" s="289"/>
    </row>
    <row r="34" spans="1:95" s="13" customFormat="1" ht="15" customHeight="1" x14ac:dyDescent="0.2">
      <c r="A34" s="63"/>
      <c r="B34" s="63"/>
      <c r="C34" s="63" t="s">
        <v>32</v>
      </c>
      <c r="D34" s="333" t="s">
        <v>70</v>
      </c>
      <c r="E34" s="334"/>
      <c r="F34" s="288" t="s">
        <v>67</v>
      </c>
      <c r="G34" s="289"/>
      <c r="H34" s="289"/>
      <c r="I34" s="288" t="s">
        <v>67</v>
      </c>
      <c r="J34" s="289"/>
      <c r="K34" s="289"/>
      <c r="L34" s="288" t="s">
        <v>67</v>
      </c>
      <c r="M34" s="289"/>
      <c r="N34" s="289"/>
      <c r="O34" s="288" t="s">
        <v>67</v>
      </c>
      <c r="P34" s="289"/>
      <c r="Q34" s="289"/>
      <c r="R34" s="288" t="s">
        <v>72</v>
      </c>
      <c r="S34" s="289"/>
      <c r="T34" s="289"/>
      <c r="U34" s="288" t="s">
        <v>67</v>
      </c>
      <c r="V34" s="289"/>
      <c r="W34" s="289"/>
      <c r="X34" s="288" t="s">
        <v>67</v>
      </c>
      <c r="Y34" s="289"/>
      <c r="Z34" s="289"/>
      <c r="AA34" s="288" t="s">
        <v>67</v>
      </c>
      <c r="AB34" s="289"/>
      <c r="AC34" s="289"/>
      <c r="AD34" s="288" t="s">
        <v>67</v>
      </c>
      <c r="AE34" s="289"/>
      <c r="AF34" s="289"/>
      <c r="AG34" s="288" t="s">
        <v>67</v>
      </c>
      <c r="AH34" s="289"/>
      <c r="AI34" s="289"/>
      <c r="AJ34" s="288" t="s">
        <v>67</v>
      </c>
      <c r="AK34" s="289"/>
      <c r="AL34" s="289"/>
      <c r="AM34" s="288" t="s">
        <v>72</v>
      </c>
      <c r="AN34" s="289"/>
      <c r="AO34" s="289"/>
      <c r="AP34" s="288"/>
      <c r="AQ34" s="289"/>
      <c r="AR34" s="289"/>
      <c r="AS34" s="288"/>
      <c r="AT34" s="289"/>
      <c r="AU34" s="289"/>
      <c r="AV34" s="288"/>
      <c r="AW34" s="289"/>
      <c r="AX34" s="289"/>
      <c r="AY34" s="288"/>
      <c r="AZ34" s="289"/>
      <c r="BA34" s="289"/>
      <c r="BB34" s="288"/>
      <c r="BC34" s="289"/>
      <c r="BD34" s="289"/>
      <c r="BE34" s="288"/>
      <c r="BF34" s="289"/>
      <c r="BG34" s="289"/>
      <c r="BH34" s="288"/>
      <c r="BI34" s="289"/>
      <c r="BJ34" s="289"/>
      <c r="BK34" s="288"/>
      <c r="BL34" s="289"/>
      <c r="BM34" s="289"/>
      <c r="BN34" s="288"/>
      <c r="BO34" s="289"/>
      <c r="BP34" s="289"/>
      <c r="BQ34" s="288"/>
      <c r="BR34" s="289"/>
      <c r="BS34" s="289"/>
      <c r="BT34" s="288"/>
      <c r="BU34" s="289"/>
      <c r="BV34" s="289"/>
      <c r="BW34" s="288"/>
      <c r="BX34" s="289"/>
      <c r="BY34" s="289"/>
      <c r="BZ34" s="288"/>
      <c r="CA34" s="289"/>
      <c r="CB34" s="289"/>
      <c r="CC34" s="288"/>
      <c r="CD34" s="289"/>
      <c r="CE34" s="289"/>
      <c r="CF34" s="288"/>
      <c r="CG34" s="289"/>
      <c r="CH34" s="289"/>
      <c r="CI34" s="288"/>
      <c r="CJ34" s="289"/>
      <c r="CK34" s="289"/>
      <c r="CL34" s="288"/>
      <c r="CM34" s="289"/>
      <c r="CN34" s="289"/>
      <c r="CO34" s="288"/>
      <c r="CP34" s="289"/>
      <c r="CQ34" s="289"/>
    </row>
    <row r="35" spans="1:95" s="13" customFormat="1" ht="15" customHeight="1" x14ac:dyDescent="0.2">
      <c r="A35" s="63"/>
      <c r="B35" s="63"/>
      <c r="C35" s="63" t="s">
        <v>32</v>
      </c>
      <c r="D35" s="333" t="s">
        <v>71</v>
      </c>
      <c r="E35" s="334"/>
      <c r="F35" s="288" t="s">
        <v>72</v>
      </c>
      <c r="G35" s="289"/>
      <c r="H35" s="289"/>
      <c r="I35" s="288" t="s">
        <v>72</v>
      </c>
      <c r="J35" s="289"/>
      <c r="K35" s="289"/>
      <c r="L35" s="288" t="s">
        <v>72</v>
      </c>
      <c r="M35" s="289"/>
      <c r="N35" s="289"/>
      <c r="O35" s="288" t="s">
        <v>72</v>
      </c>
      <c r="P35" s="289"/>
      <c r="Q35" s="289"/>
      <c r="R35" s="288" t="s">
        <v>72</v>
      </c>
      <c r="S35" s="289"/>
      <c r="T35" s="289"/>
      <c r="U35" s="288" t="s">
        <v>72</v>
      </c>
      <c r="V35" s="289"/>
      <c r="W35" s="289"/>
      <c r="X35" s="288" t="s">
        <v>72</v>
      </c>
      <c r="Y35" s="289"/>
      <c r="Z35" s="289"/>
      <c r="AA35" s="288" t="s">
        <v>72</v>
      </c>
      <c r="AB35" s="289"/>
      <c r="AC35" s="289"/>
      <c r="AD35" s="288" t="s">
        <v>72</v>
      </c>
      <c r="AE35" s="289"/>
      <c r="AF35" s="289"/>
      <c r="AG35" s="288" t="s">
        <v>72</v>
      </c>
      <c r="AH35" s="289"/>
      <c r="AI35" s="289"/>
      <c r="AJ35" s="288" t="s">
        <v>72</v>
      </c>
      <c r="AK35" s="289"/>
      <c r="AL35" s="289"/>
      <c r="AM35" s="288" t="s">
        <v>72</v>
      </c>
      <c r="AN35" s="289"/>
      <c r="AO35" s="289"/>
      <c r="AP35" s="288"/>
      <c r="AQ35" s="289"/>
      <c r="AR35" s="289"/>
      <c r="AS35" s="288"/>
      <c r="AT35" s="289"/>
      <c r="AU35" s="289"/>
      <c r="AV35" s="288"/>
      <c r="AW35" s="289"/>
      <c r="AX35" s="289"/>
      <c r="AY35" s="288"/>
      <c r="AZ35" s="289"/>
      <c r="BA35" s="289"/>
      <c r="BB35" s="288"/>
      <c r="BC35" s="289"/>
      <c r="BD35" s="289"/>
      <c r="BE35" s="288"/>
      <c r="BF35" s="289"/>
      <c r="BG35" s="289"/>
      <c r="BH35" s="288"/>
      <c r="BI35" s="289"/>
      <c r="BJ35" s="289"/>
      <c r="BK35" s="288"/>
      <c r="BL35" s="289"/>
      <c r="BM35" s="289"/>
      <c r="BN35" s="288"/>
      <c r="BO35" s="289"/>
      <c r="BP35" s="289"/>
      <c r="BQ35" s="288"/>
      <c r="BR35" s="289"/>
      <c r="BS35" s="289"/>
      <c r="BT35" s="288"/>
      <c r="BU35" s="289"/>
      <c r="BV35" s="289"/>
      <c r="BW35" s="288"/>
      <c r="BX35" s="289"/>
      <c r="BY35" s="289"/>
      <c r="BZ35" s="288"/>
      <c r="CA35" s="289"/>
      <c r="CB35" s="289"/>
      <c r="CC35" s="288"/>
      <c r="CD35" s="289"/>
      <c r="CE35" s="289"/>
      <c r="CF35" s="288"/>
      <c r="CG35" s="289"/>
      <c r="CH35" s="289"/>
      <c r="CI35" s="288"/>
      <c r="CJ35" s="289"/>
      <c r="CK35" s="289"/>
      <c r="CL35" s="288"/>
      <c r="CM35" s="289"/>
      <c r="CN35" s="289"/>
      <c r="CO35" s="288"/>
      <c r="CP35" s="289"/>
      <c r="CQ35" s="289"/>
    </row>
    <row r="36" spans="1:95" s="13" customFormat="1" ht="15" customHeight="1" x14ac:dyDescent="0.2">
      <c r="A36" s="58"/>
      <c r="B36" s="58" t="s">
        <v>32</v>
      </c>
      <c r="C36" s="58"/>
      <c r="D36" s="331" t="s">
        <v>73</v>
      </c>
      <c r="E36" s="332"/>
      <c r="F36" s="290" t="s">
        <v>318</v>
      </c>
      <c r="G36" s="291"/>
      <c r="H36" s="291"/>
      <c r="I36" s="290" t="s">
        <v>339</v>
      </c>
      <c r="J36" s="291"/>
      <c r="K36" s="291"/>
      <c r="L36" s="290" t="s">
        <v>339</v>
      </c>
      <c r="M36" s="291"/>
      <c r="N36" s="291"/>
      <c r="O36" s="290" t="s">
        <v>387</v>
      </c>
      <c r="P36" s="291"/>
      <c r="Q36" s="291"/>
      <c r="R36" s="290" t="s">
        <v>387</v>
      </c>
      <c r="S36" s="291"/>
      <c r="T36" s="291"/>
      <c r="U36" s="290" t="s">
        <v>388</v>
      </c>
      <c r="V36" s="291"/>
      <c r="W36" s="291"/>
      <c r="X36" s="290" t="s">
        <v>388</v>
      </c>
      <c r="Y36" s="291"/>
      <c r="Z36" s="291"/>
      <c r="AA36" s="290" t="s">
        <v>389</v>
      </c>
      <c r="AB36" s="291"/>
      <c r="AC36" s="291"/>
      <c r="AD36" s="290" t="s">
        <v>390</v>
      </c>
      <c r="AE36" s="291"/>
      <c r="AF36" s="291"/>
      <c r="AG36" s="290" t="s">
        <v>453</v>
      </c>
      <c r="AH36" s="291"/>
      <c r="AI36" s="291"/>
      <c r="AJ36" s="290" t="s">
        <v>51</v>
      </c>
      <c r="AK36" s="291"/>
      <c r="AL36" s="291"/>
      <c r="AM36" s="290" t="s">
        <v>453</v>
      </c>
      <c r="AN36" s="291"/>
      <c r="AO36" s="291"/>
      <c r="AP36" s="290"/>
      <c r="AQ36" s="291"/>
      <c r="AR36" s="291"/>
      <c r="AS36" s="290"/>
      <c r="AT36" s="291"/>
      <c r="AU36" s="291"/>
      <c r="AV36" s="290"/>
      <c r="AW36" s="291"/>
      <c r="AX36" s="291"/>
      <c r="AY36" s="290"/>
      <c r="AZ36" s="291"/>
      <c r="BA36" s="291"/>
      <c r="BB36" s="290"/>
      <c r="BC36" s="291"/>
      <c r="BD36" s="291"/>
      <c r="BE36" s="290"/>
      <c r="BF36" s="291"/>
      <c r="BG36" s="291"/>
      <c r="BH36" s="290"/>
      <c r="BI36" s="291"/>
      <c r="BJ36" s="291"/>
      <c r="BK36" s="290"/>
      <c r="BL36" s="291"/>
      <c r="BM36" s="291"/>
      <c r="BN36" s="290"/>
      <c r="BO36" s="291"/>
      <c r="BP36" s="291"/>
      <c r="BQ36" s="290"/>
      <c r="BR36" s="291"/>
      <c r="BS36" s="291"/>
      <c r="BT36" s="290"/>
      <c r="BU36" s="291"/>
      <c r="BV36" s="291"/>
      <c r="BW36" s="290"/>
      <c r="BX36" s="291"/>
      <c r="BY36" s="291"/>
      <c r="BZ36" s="290"/>
      <c r="CA36" s="291"/>
      <c r="CB36" s="291"/>
      <c r="CC36" s="290"/>
      <c r="CD36" s="291"/>
      <c r="CE36" s="291"/>
      <c r="CF36" s="290"/>
      <c r="CG36" s="291"/>
      <c r="CH36" s="291"/>
      <c r="CI36" s="290"/>
      <c r="CJ36" s="291"/>
      <c r="CK36" s="291"/>
      <c r="CL36" s="290"/>
      <c r="CM36" s="291"/>
      <c r="CN36" s="291"/>
      <c r="CO36" s="290"/>
      <c r="CP36" s="291"/>
      <c r="CQ36" s="291"/>
    </row>
    <row r="37" spans="1:95" s="1" customFormat="1" ht="18.75" customHeight="1" x14ac:dyDescent="0.2">
      <c r="A37" s="335" t="s">
        <v>74</v>
      </c>
      <c r="B37" s="335"/>
      <c r="C37" s="335"/>
      <c r="D37" s="335"/>
      <c r="E37" s="335"/>
      <c r="F37" s="48">
        <f>IF(SUMMARY!$B$7=TRUE,IF(COUNTBLANK(F38:F43)&gt;0,0,1),"")</f>
        <v>1</v>
      </c>
      <c r="G37" s="49"/>
      <c r="H37" s="49"/>
      <c r="I37" s="50">
        <f>IF(SUMMARY!$B$8=TRUE,IF(COUNTBLANK(I38:I43)&gt;0,0,1),"")</f>
        <v>1</v>
      </c>
      <c r="J37" s="49"/>
      <c r="K37" s="49"/>
      <c r="L37" s="50">
        <f>IF(SUMMARY!$B$9=TRUE,IF(COUNTBLANK(L38:L43)&gt;0,0,1),"")</f>
        <v>1</v>
      </c>
      <c r="M37" s="49"/>
      <c r="N37" s="49"/>
      <c r="O37" s="50">
        <f>IF(SUMMARY!$B$10=TRUE,IF(COUNTBLANK(O38:O43)&gt;0,0,1),"")</f>
        <v>1</v>
      </c>
      <c r="P37" s="49"/>
      <c r="Q37" s="49"/>
      <c r="R37" s="50">
        <f>IF(SUMMARY!$B$11=TRUE,IF(COUNTBLANK(R38:R43)&gt;0,0,1),"")</f>
        <v>1</v>
      </c>
      <c r="S37" s="49"/>
      <c r="T37" s="49"/>
      <c r="U37" s="50">
        <f>IF(SUMMARY!$B$12=TRUE,IF(COUNTBLANK(U38:U43)&gt;0,0,1),"")</f>
        <v>1</v>
      </c>
      <c r="V37" s="49"/>
      <c r="W37" s="49"/>
      <c r="X37" s="50">
        <f>IF(SUMMARY!$B$13=TRUE,IF(COUNTBLANK(X38:X43)&gt;0,0,1),"")</f>
        <v>1</v>
      </c>
      <c r="Y37" s="49"/>
      <c r="Z37" s="49"/>
      <c r="AA37" s="50">
        <f>IF(SUMMARY!$B$14=TRUE,IF(COUNTBLANK(AA38:AA43)&gt;0,0,1),"")</f>
        <v>1</v>
      </c>
      <c r="AB37" s="49"/>
      <c r="AC37" s="49"/>
      <c r="AD37" s="50">
        <f>IF(SUMMARY!$B$15=TRUE,IF(COUNTBLANK(AD38:AD43)&gt;0,0,1),"")</f>
        <v>1</v>
      </c>
      <c r="AE37" s="49"/>
      <c r="AF37" s="49"/>
      <c r="AG37" s="50">
        <f>IF(SUMMARY!$B$16=TRUE,IF(COUNTBLANK(AG38:AG43)&gt;0,0,1),"")</f>
        <v>1</v>
      </c>
      <c r="AH37" s="49"/>
      <c r="AI37" s="49"/>
      <c r="AJ37" s="50">
        <f>IF(SUMMARY!$B$17=TRUE,IF(COUNTBLANK(AJ38:AJ43)&gt;0,0,1),"")</f>
        <v>1</v>
      </c>
      <c r="AK37" s="49"/>
      <c r="AL37" s="49"/>
      <c r="AM37" s="50">
        <f>IF(SUMMARY!$B$18=TRUE,IF(COUNTBLANK(AM38:AM43)&gt;0,0,1),"")</f>
        <v>1</v>
      </c>
      <c r="AN37" s="49"/>
      <c r="AO37" s="49"/>
      <c r="AP37" s="50" t="str">
        <f>IF(SUMMARY!$B$19=TRUE,IF(COUNTBLANK(AP38:AP43)&gt;0,0,1),"")</f>
        <v/>
      </c>
      <c r="AQ37" s="49"/>
      <c r="AR37" s="49"/>
      <c r="AS37" s="50" t="str">
        <f>IF(SUMMARY!$B$20=TRUE,IF(COUNTBLANK(AS38:AS43)&gt;0,0,1),"")</f>
        <v/>
      </c>
      <c r="AT37" s="49"/>
      <c r="AU37" s="49"/>
      <c r="AV37" s="50" t="str">
        <f>IF(SUMMARY!$B$21=TRUE,IF(COUNTBLANK(AV38:AV43)&gt;0,0,1),"")</f>
        <v/>
      </c>
      <c r="AW37" s="49"/>
      <c r="AX37" s="49"/>
      <c r="AY37" s="50" t="str">
        <f>IF(SUMMARY!$B$22=TRUE,IF(COUNTBLANK(AY38:AY43)&gt;0,0,1),"")</f>
        <v/>
      </c>
      <c r="AZ37" s="49"/>
      <c r="BA37" s="49"/>
      <c r="BB37" s="50" t="str">
        <f>IF(SUMMARY!$B$23=TRUE,IF(COUNTBLANK(BB38:BB43)&gt;0,0,1),"")</f>
        <v/>
      </c>
      <c r="BC37" s="49"/>
      <c r="BD37" s="49"/>
      <c r="BE37" s="50" t="str">
        <f>IF(SUMMARY!$B$24=TRUE,IF(COUNTBLANK(BE38:BE43)&gt;0,0,1),"")</f>
        <v/>
      </c>
      <c r="BF37" s="49"/>
      <c r="BG37" s="49"/>
      <c r="BH37" s="50" t="str">
        <f>IF(SUMMARY!$B$25=TRUE,IF(COUNTBLANK(BH38:BH43)&gt;0,0,1),"")</f>
        <v/>
      </c>
      <c r="BI37" s="49"/>
      <c r="BJ37" s="49"/>
      <c r="BK37" s="50" t="str">
        <f>IF(SUMMARY!$B$26=TRUE,IF(COUNTBLANK(BK38:BK43)&gt;0,0,1),"")</f>
        <v/>
      </c>
      <c r="BL37" s="49"/>
      <c r="BM37" s="49"/>
      <c r="BN37" s="50" t="str">
        <f>IF(SUMMARY!$B$27=TRUE,IF(COUNTBLANK(BN38:BN43)&gt;0,0,1),"")</f>
        <v/>
      </c>
      <c r="BO37" s="49"/>
      <c r="BP37" s="49"/>
      <c r="BQ37" s="50" t="str">
        <f>IF(SUMMARY!$B$28=TRUE,IF(COUNTBLANK(BQ38:BQ43)&gt;0,0,1),"")</f>
        <v/>
      </c>
      <c r="BR37" s="49"/>
      <c r="BS37" s="49"/>
      <c r="BT37" s="50" t="str">
        <f>IF(SUMMARY!$B$29=TRUE,IF(COUNTBLANK(BT38:BT43)&gt;0,0,1),"")</f>
        <v/>
      </c>
      <c r="BU37" s="49"/>
      <c r="BV37" s="49"/>
      <c r="BW37" s="50" t="str">
        <f>IF(SUMMARY!$B$30=TRUE,IF(COUNTBLANK(BW38:BW43)&gt;0,0,1),"")</f>
        <v/>
      </c>
      <c r="BX37" s="49"/>
      <c r="BY37" s="49"/>
      <c r="BZ37" s="50" t="str">
        <f>IF(SUMMARY!$B$31=TRUE,IF(COUNTBLANK(BZ38:BZ43)&gt;0,0,1),"")</f>
        <v/>
      </c>
      <c r="CA37" s="49"/>
      <c r="CB37" s="49"/>
      <c r="CC37" s="50" t="str">
        <f>IF(SUMMARY!$B$32=TRUE,IF(COUNTBLANK(CC38:CC43)&gt;0,0,1),"")</f>
        <v/>
      </c>
      <c r="CD37" s="49"/>
      <c r="CE37" s="49"/>
      <c r="CF37" s="50" t="str">
        <f>IF(SUMMARY!$B$33=TRUE,IF(COUNTBLANK(CF38:CF43)&gt;0,0,1),"")</f>
        <v/>
      </c>
      <c r="CG37" s="49"/>
      <c r="CH37" s="49"/>
      <c r="CI37" s="50" t="str">
        <f>IF(SUMMARY!$B$34=TRUE,IF(COUNTBLANK(CI38:CI43)&gt;0,0,1),"")</f>
        <v/>
      </c>
      <c r="CJ37" s="49"/>
      <c r="CK37" s="49"/>
      <c r="CL37" s="50" t="str">
        <f>IF(SUMMARY!$B$35=TRUE,IF(COUNTBLANK(CL38:CL43)&gt;0,0,1),"")</f>
        <v/>
      </c>
      <c r="CM37" s="49"/>
      <c r="CN37" s="49"/>
      <c r="CO37" s="51" t="str">
        <f>IF(SUMMARY!$B$36=TRUE,IF(COUNTBLANK(CO38:CO43)&gt;0,0,1),"")</f>
        <v/>
      </c>
      <c r="CP37" s="49"/>
      <c r="CQ37" s="49"/>
    </row>
    <row r="38" spans="1:95" s="13" customFormat="1" ht="15" customHeight="1" x14ac:dyDescent="0.2">
      <c r="A38" s="69" t="s">
        <v>32</v>
      </c>
      <c r="B38" s="69"/>
      <c r="C38" s="69"/>
      <c r="D38" s="329" t="s">
        <v>75</v>
      </c>
      <c r="E38" s="330"/>
      <c r="F38" s="294">
        <v>13</v>
      </c>
      <c r="G38" s="295"/>
      <c r="H38" s="295"/>
      <c r="I38" s="294">
        <v>13</v>
      </c>
      <c r="J38" s="295"/>
      <c r="K38" s="295"/>
      <c r="L38" s="294">
        <v>13</v>
      </c>
      <c r="M38" s="295"/>
      <c r="N38" s="295"/>
      <c r="O38" s="294">
        <v>70</v>
      </c>
      <c r="P38" s="295"/>
      <c r="Q38" s="295"/>
      <c r="R38" s="294">
        <v>70</v>
      </c>
      <c r="S38" s="295"/>
      <c r="T38" s="295"/>
      <c r="U38" s="294">
        <v>1000</v>
      </c>
      <c r="V38" s="295"/>
      <c r="W38" s="295"/>
      <c r="X38" s="294">
        <v>800</v>
      </c>
      <c r="Y38" s="295"/>
      <c r="Z38" s="295"/>
      <c r="AA38" s="313">
        <v>14</v>
      </c>
      <c r="AB38" s="295"/>
      <c r="AC38" s="295"/>
      <c r="AD38" s="294">
        <v>75</v>
      </c>
      <c r="AE38" s="295"/>
      <c r="AF38" s="295"/>
      <c r="AG38" s="294">
        <v>11</v>
      </c>
      <c r="AH38" s="295"/>
      <c r="AI38" s="295"/>
      <c r="AJ38" s="294">
        <v>11</v>
      </c>
      <c r="AK38" s="295"/>
      <c r="AL38" s="295"/>
      <c r="AM38" s="294">
        <v>22</v>
      </c>
      <c r="AN38" s="295"/>
      <c r="AO38" s="295"/>
      <c r="AP38" s="294"/>
      <c r="AQ38" s="295"/>
      <c r="AR38" s="295"/>
      <c r="AS38" s="294"/>
      <c r="AT38" s="295"/>
      <c r="AU38" s="295"/>
      <c r="AV38" s="294"/>
      <c r="AW38" s="295"/>
      <c r="AX38" s="295"/>
      <c r="AY38" s="294"/>
      <c r="AZ38" s="295"/>
      <c r="BA38" s="295"/>
      <c r="BB38" s="294"/>
      <c r="BC38" s="295"/>
      <c r="BD38" s="295"/>
      <c r="BE38" s="294"/>
      <c r="BF38" s="295"/>
      <c r="BG38" s="295"/>
      <c r="BH38" s="294"/>
      <c r="BI38" s="295"/>
      <c r="BJ38" s="295"/>
      <c r="BK38" s="294"/>
      <c r="BL38" s="295"/>
      <c r="BM38" s="295"/>
      <c r="BN38" s="294"/>
      <c r="BO38" s="295"/>
      <c r="BP38" s="295"/>
      <c r="BQ38" s="294"/>
      <c r="BR38" s="295"/>
      <c r="BS38" s="295"/>
      <c r="BT38" s="294"/>
      <c r="BU38" s="295"/>
      <c r="BV38" s="295"/>
      <c r="BW38" s="294"/>
      <c r="BX38" s="295"/>
      <c r="BY38" s="295"/>
      <c r="BZ38" s="294"/>
      <c r="CA38" s="295"/>
      <c r="CB38" s="295"/>
      <c r="CC38" s="294"/>
      <c r="CD38" s="295"/>
      <c r="CE38" s="295"/>
      <c r="CF38" s="294"/>
      <c r="CG38" s="295"/>
      <c r="CH38" s="295"/>
      <c r="CI38" s="294"/>
      <c r="CJ38" s="295"/>
      <c r="CK38" s="295"/>
      <c r="CL38" s="294"/>
      <c r="CM38" s="295"/>
      <c r="CN38" s="295"/>
      <c r="CO38" s="294"/>
      <c r="CP38" s="295"/>
      <c r="CQ38" s="295"/>
    </row>
    <row r="39" spans="1:95" s="13" customFormat="1" ht="15" customHeight="1" x14ac:dyDescent="0.2">
      <c r="A39" s="62" t="s">
        <v>32</v>
      </c>
      <c r="B39" s="62"/>
      <c r="C39" s="62"/>
      <c r="D39" s="327" t="s">
        <v>76</v>
      </c>
      <c r="E39" s="328"/>
      <c r="F39" s="288" t="s">
        <v>319</v>
      </c>
      <c r="G39" s="289"/>
      <c r="H39" s="289"/>
      <c r="I39" s="288" t="s">
        <v>340</v>
      </c>
      <c r="J39" s="289"/>
      <c r="K39" s="289"/>
      <c r="L39" s="288" t="s">
        <v>340</v>
      </c>
      <c r="M39" s="289"/>
      <c r="N39" s="289"/>
      <c r="O39" s="288" t="s">
        <v>391</v>
      </c>
      <c r="P39" s="289"/>
      <c r="Q39" s="289"/>
      <c r="R39" s="288" t="s">
        <v>391</v>
      </c>
      <c r="S39" s="289"/>
      <c r="T39" s="289"/>
      <c r="U39" s="288" t="s">
        <v>392</v>
      </c>
      <c r="V39" s="289"/>
      <c r="W39" s="289"/>
      <c r="X39" s="288" t="s">
        <v>392</v>
      </c>
      <c r="Y39" s="289"/>
      <c r="Z39" s="289"/>
      <c r="AA39" s="288" t="s">
        <v>393</v>
      </c>
      <c r="AB39" s="289"/>
      <c r="AC39" s="289"/>
      <c r="AD39" s="288" t="s">
        <v>394</v>
      </c>
      <c r="AE39" s="289"/>
      <c r="AF39" s="289"/>
      <c r="AG39" s="288" t="s">
        <v>446</v>
      </c>
      <c r="AH39" s="289"/>
      <c r="AI39" s="289"/>
      <c r="AJ39" s="288" t="s">
        <v>465</v>
      </c>
      <c r="AK39" s="289"/>
      <c r="AL39" s="289"/>
      <c r="AM39" s="288" t="s">
        <v>478</v>
      </c>
      <c r="AN39" s="289"/>
      <c r="AO39" s="289"/>
      <c r="AP39" s="288"/>
      <c r="AQ39" s="289"/>
      <c r="AR39" s="289"/>
      <c r="AS39" s="288"/>
      <c r="AT39" s="289"/>
      <c r="AU39" s="289"/>
      <c r="AV39" s="288"/>
      <c r="AW39" s="289"/>
      <c r="AX39" s="289"/>
      <c r="AY39" s="288"/>
      <c r="AZ39" s="289"/>
      <c r="BA39" s="289"/>
      <c r="BB39" s="288"/>
      <c r="BC39" s="289"/>
      <c r="BD39" s="289"/>
      <c r="BE39" s="288"/>
      <c r="BF39" s="289"/>
      <c r="BG39" s="289"/>
      <c r="BH39" s="288"/>
      <c r="BI39" s="289"/>
      <c r="BJ39" s="289"/>
      <c r="BK39" s="288"/>
      <c r="BL39" s="289"/>
      <c r="BM39" s="289"/>
      <c r="BN39" s="288"/>
      <c r="BO39" s="289"/>
      <c r="BP39" s="289"/>
      <c r="BQ39" s="288"/>
      <c r="BR39" s="289"/>
      <c r="BS39" s="289"/>
      <c r="BT39" s="288"/>
      <c r="BU39" s="289"/>
      <c r="BV39" s="289"/>
      <c r="BW39" s="288"/>
      <c r="BX39" s="289"/>
      <c r="BY39" s="289"/>
      <c r="BZ39" s="288"/>
      <c r="CA39" s="289"/>
      <c r="CB39" s="289"/>
      <c r="CC39" s="288"/>
      <c r="CD39" s="289"/>
      <c r="CE39" s="289"/>
      <c r="CF39" s="288"/>
      <c r="CG39" s="289"/>
      <c r="CH39" s="289"/>
      <c r="CI39" s="288"/>
      <c r="CJ39" s="289"/>
      <c r="CK39" s="289"/>
      <c r="CL39" s="288"/>
      <c r="CM39" s="289"/>
      <c r="CN39" s="289"/>
      <c r="CO39" s="288"/>
      <c r="CP39" s="289"/>
      <c r="CQ39" s="289"/>
    </row>
    <row r="40" spans="1:95" s="13" customFormat="1" ht="15" customHeight="1" x14ac:dyDescent="0.2">
      <c r="A40" s="62"/>
      <c r="B40" s="62" t="s">
        <v>32</v>
      </c>
      <c r="C40" s="62"/>
      <c r="D40" s="327" t="s">
        <v>77</v>
      </c>
      <c r="E40" s="328"/>
      <c r="F40" s="288" t="s">
        <v>320</v>
      </c>
      <c r="G40" s="289"/>
      <c r="H40" s="289"/>
      <c r="I40" s="288" t="s">
        <v>341</v>
      </c>
      <c r="J40" s="289"/>
      <c r="K40" s="289"/>
      <c r="L40" s="288" t="s">
        <v>341</v>
      </c>
      <c r="M40" s="289"/>
      <c r="N40" s="289"/>
      <c r="O40" s="288" t="s">
        <v>395</v>
      </c>
      <c r="P40" s="289"/>
      <c r="Q40" s="289"/>
      <c r="R40" s="288" t="s">
        <v>395</v>
      </c>
      <c r="S40" s="289"/>
      <c r="T40" s="289"/>
      <c r="U40" s="288" t="s">
        <v>396</v>
      </c>
      <c r="V40" s="289"/>
      <c r="W40" s="289"/>
      <c r="X40" s="288" t="s">
        <v>396</v>
      </c>
      <c r="Y40" s="289"/>
      <c r="Z40" s="289"/>
      <c r="AA40" s="288" t="s">
        <v>397</v>
      </c>
      <c r="AB40" s="289"/>
      <c r="AC40" s="289"/>
      <c r="AD40" s="288" t="s">
        <v>398</v>
      </c>
      <c r="AE40" s="289"/>
      <c r="AF40" s="289"/>
      <c r="AG40" s="288" t="s">
        <v>398</v>
      </c>
      <c r="AH40" s="289"/>
      <c r="AI40" s="289"/>
      <c r="AJ40" s="288" t="s">
        <v>398</v>
      </c>
      <c r="AK40" s="289"/>
      <c r="AL40" s="289"/>
      <c r="AM40" s="288" t="s">
        <v>398</v>
      </c>
      <c r="AN40" s="289"/>
      <c r="AO40" s="289"/>
      <c r="AP40" s="288"/>
      <c r="AQ40" s="289"/>
      <c r="AR40" s="289"/>
      <c r="AS40" s="288"/>
      <c r="AT40" s="289"/>
      <c r="AU40" s="289"/>
      <c r="AV40" s="288"/>
      <c r="AW40" s="289"/>
      <c r="AX40" s="289"/>
      <c r="AY40" s="288"/>
      <c r="AZ40" s="289"/>
      <c r="BA40" s="289"/>
      <c r="BB40" s="288"/>
      <c r="BC40" s="289"/>
      <c r="BD40" s="289"/>
      <c r="BE40" s="288"/>
      <c r="BF40" s="289"/>
      <c r="BG40" s="289"/>
      <c r="BH40" s="288"/>
      <c r="BI40" s="289"/>
      <c r="BJ40" s="289"/>
      <c r="BK40" s="288"/>
      <c r="BL40" s="289"/>
      <c r="BM40" s="289"/>
      <c r="BN40" s="288"/>
      <c r="BO40" s="289"/>
      <c r="BP40" s="289"/>
      <c r="BQ40" s="288"/>
      <c r="BR40" s="289"/>
      <c r="BS40" s="289"/>
      <c r="BT40" s="288"/>
      <c r="BU40" s="289"/>
      <c r="BV40" s="289"/>
      <c r="BW40" s="288"/>
      <c r="BX40" s="289"/>
      <c r="BY40" s="289"/>
      <c r="BZ40" s="288"/>
      <c r="CA40" s="289"/>
      <c r="CB40" s="289"/>
      <c r="CC40" s="288"/>
      <c r="CD40" s="289"/>
      <c r="CE40" s="289"/>
      <c r="CF40" s="288"/>
      <c r="CG40" s="289"/>
      <c r="CH40" s="289"/>
      <c r="CI40" s="288"/>
      <c r="CJ40" s="289"/>
      <c r="CK40" s="289"/>
      <c r="CL40" s="288"/>
      <c r="CM40" s="289"/>
      <c r="CN40" s="289"/>
      <c r="CO40" s="288"/>
      <c r="CP40" s="289"/>
      <c r="CQ40" s="289"/>
    </row>
    <row r="41" spans="1:95" s="13" customFormat="1" ht="15" customHeight="1" x14ac:dyDescent="0.2">
      <c r="A41" s="62"/>
      <c r="B41" s="62"/>
      <c r="C41" s="62" t="s">
        <v>32</v>
      </c>
      <c r="D41" s="327" t="s">
        <v>78</v>
      </c>
      <c r="E41" s="328"/>
      <c r="F41" s="288" t="s">
        <v>67</v>
      </c>
      <c r="G41" s="289"/>
      <c r="H41" s="289"/>
      <c r="I41" s="288" t="s">
        <v>67</v>
      </c>
      <c r="J41" s="289"/>
      <c r="K41" s="289"/>
      <c r="L41" s="288" t="s">
        <v>67</v>
      </c>
      <c r="M41" s="289"/>
      <c r="N41" s="289"/>
      <c r="O41" s="288" t="s">
        <v>67</v>
      </c>
      <c r="P41" s="289"/>
      <c r="Q41" s="289"/>
      <c r="R41" s="288" t="s">
        <v>67</v>
      </c>
      <c r="S41" s="289"/>
      <c r="T41" s="289"/>
      <c r="U41" s="288" t="s">
        <v>67</v>
      </c>
      <c r="V41" s="289"/>
      <c r="W41" s="289"/>
      <c r="X41" s="288" t="s">
        <v>67</v>
      </c>
      <c r="Y41" s="289"/>
      <c r="Z41" s="289"/>
      <c r="AA41" s="288" t="s">
        <v>67</v>
      </c>
      <c r="AB41" s="289"/>
      <c r="AC41" s="289"/>
      <c r="AD41" s="288" t="s">
        <v>67</v>
      </c>
      <c r="AE41" s="289"/>
      <c r="AF41" s="289"/>
      <c r="AG41" s="288" t="s">
        <v>67</v>
      </c>
      <c r="AH41" s="289"/>
      <c r="AI41" s="289"/>
      <c r="AJ41" s="288" t="s">
        <v>67</v>
      </c>
      <c r="AK41" s="289"/>
      <c r="AL41" s="289"/>
      <c r="AM41" s="288" t="s">
        <v>67</v>
      </c>
      <c r="AN41" s="289"/>
      <c r="AO41" s="289"/>
      <c r="AP41" s="288"/>
      <c r="AQ41" s="289"/>
      <c r="AR41" s="289"/>
      <c r="AS41" s="288"/>
      <c r="AT41" s="289"/>
      <c r="AU41" s="289"/>
      <c r="AV41" s="288"/>
      <c r="AW41" s="289"/>
      <c r="AX41" s="289"/>
      <c r="AY41" s="288"/>
      <c r="AZ41" s="289"/>
      <c r="BA41" s="289"/>
      <c r="BB41" s="288"/>
      <c r="BC41" s="289"/>
      <c r="BD41" s="289"/>
      <c r="BE41" s="288"/>
      <c r="BF41" s="289"/>
      <c r="BG41" s="289"/>
      <c r="BH41" s="288"/>
      <c r="BI41" s="289"/>
      <c r="BJ41" s="289"/>
      <c r="BK41" s="288"/>
      <c r="BL41" s="289"/>
      <c r="BM41" s="289"/>
      <c r="BN41" s="288"/>
      <c r="BO41" s="289"/>
      <c r="BP41" s="289"/>
      <c r="BQ41" s="288"/>
      <c r="BR41" s="289"/>
      <c r="BS41" s="289"/>
      <c r="BT41" s="288"/>
      <c r="BU41" s="289"/>
      <c r="BV41" s="289"/>
      <c r="BW41" s="288"/>
      <c r="BX41" s="289"/>
      <c r="BY41" s="289"/>
      <c r="BZ41" s="288"/>
      <c r="CA41" s="289"/>
      <c r="CB41" s="289"/>
      <c r="CC41" s="288"/>
      <c r="CD41" s="289"/>
      <c r="CE41" s="289"/>
      <c r="CF41" s="288"/>
      <c r="CG41" s="289"/>
      <c r="CH41" s="289"/>
      <c r="CI41" s="288"/>
      <c r="CJ41" s="289"/>
      <c r="CK41" s="289"/>
      <c r="CL41" s="288"/>
      <c r="CM41" s="289"/>
      <c r="CN41" s="289"/>
      <c r="CO41" s="288"/>
      <c r="CP41" s="289"/>
      <c r="CQ41" s="289"/>
    </row>
    <row r="42" spans="1:95" s="13" customFormat="1" ht="15" customHeight="1" x14ac:dyDescent="0.2">
      <c r="A42" s="62"/>
      <c r="B42" s="62"/>
      <c r="C42" s="62" t="s">
        <v>32</v>
      </c>
      <c r="D42" s="327" t="s">
        <v>79</v>
      </c>
      <c r="E42" s="328"/>
      <c r="F42" s="288" t="s">
        <v>67</v>
      </c>
      <c r="G42" s="289"/>
      <c r="H42" s="289"/>
      <c r="I42" s="288" t="s">
        <v>67</v>
      </c>
      <c r="J42" s="289"/>
      <c r="K42" s="289"/>
      <c r="L42" s="288" t="s">
        <v>67</v>
      </c>
      <c r="M42" s="289"/>
      <c r="N42" s="289"/>
      <c r="O42" s="288" t="s">
        <v>67</v>
      </c>
      <c r="P42" s="289"/>
      <c r="Q42" s="289"/>
      <c r="R42" s="288" t="s">
        <v>67</v>
      </c>
      <c r="S42" s="289"/>
      <c r="T42" s="289"/>
      <c r="U42" s="288" t="s">
        <v>67</v>
      </c>
      <c r="V42" s="289"/>
      <c r="W42" s="289"/>
      <c r="X42" s="288" t="s">
        <v>67</v>
      </c>
      <c r="Y42" s="289"/>
      <c r="Z42" s="289"/>
      <c r="AA42" s="288" t="s">
        <v>67</v>
      </c>
      <c r="AB42" s="289"/>
      <c r="AC42" s="289"/>
      <c r="AD42" s="288" t="s">
        <v>67</v>
      </c>
      <c r="AE42" s="289"/>
      <c r="AF42" s="289"/>
      <c r="AG42" s="288" t="s">
        <v>67</v>
      </c>
      <c r="AH42" s="289"/>
      <c r="AI42" s="289"/>
      <c r="AJ42" s="288" t="s">
        <v>67</v>
      </c>
      <c r="AK42" s="289"/>
      <c r="AL42" s="289"/>
      <c r="AM42" s="288" t="s">
        <v>67</v>
      </c>
      <c r="AN42" s="289"/>
      <c r="AO42" s="289"/>
      <c r="AP42" s="288"/>
      <c r="AQ42" s="289"/>
      <c r="AR42" s="289"/>
      <c r="AS42" s="288"/>
      <c r="AT42" s="289"/>
      <c r="AU42" s="289"/>
      <c r="AV42" s="288"/>
      <c r="AW42" s="289"/>
      <c r="AX42" s="289"/>
      <c r="AY42" s="288"/>
      <c r="AZ42" s="289"/>
      <c r="BA42" s="289"/>
      <c r="BB42" s="288"/>
      <c r="BC42" s="289"/>
      <c r="BD42" s="289"/>
      <c r="BE42" s="288"/>
      <c r="BF42" s="289"/>
      <c r="BG42" s="289"/>
      <c r="BH42" s="288"/>
      <c r="BI42" s="289"/>
      <c r="BJ42" s="289"/>
      <c r="BK42" s="288"/>
      <c r="BL42" s="289"/>
      <c r="BM42" s="289"/>
      <c r="BN42" s="288"/>
      <c r="BO42" s="289"/>
      <c r="BP42" s="289"/>
      <c r="BQ42" s="288"/>
      <c r="BR42" s="289"/>
      <c r="BS42" s="289"/>
      <c r="BT42" s="288"/>
      <c r="BU42" s="289"/>
      <c r="BV42" s="289"/>
      <c r="BW42" s="288"/>
      <c r="BX42" s="289"/>
      <c r="BY42" s="289"/>
      <c r="BZ42" s="288"/>
      <c r="CA42" s="289"/>
      <c r="CB42" s="289"/>
      <c r="CC42" s="288"/>
      <c r="CD42" s="289"/>
      <c r="CE42" s="289"/>
      <c r="CF42" s="288"/>
      <c r="CG42" s="289"/>
      <c r="CH42" s="289"/>
      <c r="CI42" s="288"/>
      <c r="CJ42" s="289"/>
      <c r="CK42" s="289"/>
      <c r="CL42" s="288"/>
      <c r="CM42" s="289"/>
      <c r="CN42" s="289"/>
      <c r="CO42" s="288"/>
      <c r="CP42" s="289"/>
      <c r="CQ42" s="289"/>
    </row>
    <row r="43" spans="1:95" s="13" customFormat="1" ht="15" customHeight="1" x14ac:dyDescent="0.2">
      <c r="A43" s="58"/>
      <c r="B43" s="58"/>
      <c r="C43" s="58" t="s">
        <v>32</v>
      </c>
      <c r="D43" s="331" t="s">
        <v>80</v>
      </c>
      <c r="E43" s="332"/>
      <c r="F43" s="290" t="s">
        <v>67</v>
      </c>
      <c r="G43" s="291"/>
      <c r="H43" s="291"/>
      <c r="I43" s="290" t="s">
        <v>46</v>
      </c>
      <c r="J43" s="291"/>
      <c r="K43" s="291"/>
      <c r="L43" s="290" t="s">
        <v>46</v>
      </c>
      <c r="M43" s="291"/>
      <c r="N43" s="291"/>
      <c r="O43" s="290" t="s">
        <v>46</v>
      </c>
      <c r="P43" s="291"/>
      <c r="Q43" s="291"/>
      <c r="R43" s="290" t="s">
        <v>46</v>
      </c>
      <c r="S43" s="291"/>
      <c r="T43" s="291"/>
      <c r="U43" s="290" t="s">
        <v>399</v>
      </c>
      <c r="V43" s="291"/>
      <c r="W43" s="291"/>
      <c r="X43" s="290" t="s">
        <v>399</v>
      </c>
      <c r="Y43" s="291"/>
      <c r="Z43" s="291"/>
      <c r="AA43" s="290" t="s">
        <v>400</v>
      </c>
      <c r="AB43" s="291"/>
      <c r="AC43" s="291"/>
      <c r="AD43" s="290" t="s">
        <v>46</v>
      </c>
      <c r="AE43" s="291"/>
      <c r="AF43" s="291"/>
      <c r="AG43" s="290" t="s">
        <v>67</v>
      </c>
      <c r="AH43" s="291"/>
      <c r="AI43" s="291"/>
      <c r="AJ43" s="290" t="s">
        <v>466</v>
      </c>
      <c r="AK43" s="291"/>
      <c r="AL43" s="291"/>
      <c r="AM43" s="290" t="s">
        <v>46</v>
      </c>
      <c r="AN43" s="291"/>
      <c r="AO43" s="291"/>
      <c r="AP43" s="290"/>
      <c r="AQ43" s="291"/>
      <c r="AR43" s="291"/>
      <c r="AS43" s="290"/>
      <c r="AT43" s="291"/>
      <c r="AU43" s="291"/>
      <c r="AV43" s="290"/>
      <c r="AW43" s="291"/>
      <c r="AX43" s="291"/>
      <c r="AY43" s="290"/>
      <c r="AZ43" s="291"/>
      <c r="BA43" s="291"/>
      <c r="BB43" s="290"/>
      <c r="BC43" s="291"/>
      <c r="BD43" s="291"/>
      <c r="BE43" s="290"/>
      <c r="BF43" s="291"/>
      <c r="BG43" s="291"/>
      <c r="BH43" s="290"/>
      <c r="BI43" s="291"/>
      <c r="BJ43" s="291"/>
      <c r="BK43" s="290"/>
      <c r="BL43" s="291"/>
      <c r="BM43" s="291"/>
      <c r="BN43" s="290"/>
      <c r="BO43" s="291"/>
      <c r="BP43" s="291"/>
      <c r="BQ43" s="290"/>
      <c r="BR43" s="291"/>
      <c r="BS43" s="291"/>
      <c r="BT43" s="290"/>
      <c r="BU43" s="291"/>
      <c r="BV43" s="291"/>
      <c r="BW43" s="290"/>
      <c r="BX43" s="291"/>
      <c r="BY43" s="291"/>
      <c r="BZ43" s="290"/>
      <c r="CA43" s="291"/>
      <c r="CB43" s="291"/>
      <c r="CC43" s="290"/>
      <c r="CD43" s="291"/>
      <c r="CE43" s="291"/>
      <c r="CF43" s="290"/>
      <c r="CG43" s="291"/>
      <c r="CH43" s="291"/>
      <c r="CI43" s="290"/>
      <c r="CJ43" s="291"/>
      <c r="CK43" s="291"/>
      <c r="CL43" s="290"/>
      <c r="CM43" s="291"/>
      <c r="CN43" s="291"/>
      <c r="CO43" s="290"/>
      <c r="CP43" s="291"/>
      <c r="CQ43" s="291"/>
    </row>
    <row r="44" spans="1:95" s="1" customFormat="1" ht="18.75" customHeight="1" x14ac:dyDescent="0.2">
      <c r="A44" s="335" t="s">
        <v>81</v>
      </c>
      <c r="B44" s="335"/>
      <c r="C44" s="335"/>
      <c r="D44" s="335"/>
      <c r="E44" s="335"/>
      <c r="F44" s="48">
        <f>IF(SUMMARY!$B$7=TRUE,IF(COUNTBLANK(F45:F46)&gt;0,0,1),"")</f>
        <v>1</v>
      </c>
      <c r="G44" s="49"/>
      <c r="H44" s="49"/>
      <c r="I44" s="50">
        <f>IF(SUMMARY!$B$8=TRUE,IF(COUNTBLANK(I45:I46)&gt;0,0,1),"")</f>
        <v>1</v>
      </c>
      <c r="J44" s="49"/>
      <c r="K44" s="49"/>
      <c r="L44" s="50">
        <f>IF(SUMMARY!$B$9=TRUE,IF(COUNTBLANK(L45:L46)&gt;0,0,1),"")</f>
        <v>1</v>
      </c>
      <c r="M44" s="49"/>
      <c r="N44" s="49"/>
      <c r="O44" s="50">
        <f>IF(SUMMARY!$B$10=TRUE,IF(COUNTBLANK(O45:O46)&gt;0,0,1),"")</f>
        <v>1</v>
      </c>
      <c r="P44" s="49"/>
      <c r="Q44" s="49"/>
      <c r="R44" s="50">
        <f>IF(SUMMARY!$B$11=TRUE,IF(COUNTBLANK(R45:R46)&gt;0,0,1),"")</f>
        <v>1</v>
      </c>
      <c r="S44" s="49"/>
      <c r="T44" s="49"/>
      <c r="U44" s="50">
        <f>IF(SUMMARY!$B$12=TRUE,IF(COUNTBLANK(U45:U46)&gt;0,0,1),"")</f>
        <v>1</v>
      </c>
      <c r="V44" s="49"/>
      <c r="W44" s="49"/>
      <c r="X44" s="50">
        <f>IF(SUMMARY!$B$13=TRUE,IF(COUNTBLANK(X45:X46)&gt;0,0,1),"")</f>
        <v>1</v>
      </c>
      <c r="Y44" s="49"/>
      <c r="Z44" s="49"/>
      <c r="AA44" s="50">
        <f>IF(SUMMARY!$B$14=TRUE,IF(COUNTBLANK(AA45:AA46)&gt;0,0,1),"")</f>
        <v>1</v>
      </c>
      <c r="AB44" s="49"/>
      <c r="AC44" s="49"/>
      <c r="AD44" s="50">
        <f>IF(SUMMARY!$B$15=TRUE,IF(COUNTBLANK(AD45:AD46)&gt;0,0,1),"")</f>
        <v>1</v>
      </c>
      <c r="AE44" s="49"/>
      <c r="AF44" s="49"/>
      <c r="AG44" s="50">
        <f>IF(SUMMARY!$B$16=TRUE,IF(COUNTBLANK(AG45:AG46)&gt;0,0,1),"")</f>
        <v>1</v>
      </c>
      <c r="AH44" s="49"/>
      <c r="AI44" s="49"/>
      <c r="AJ44" s="50">
        <f>IF(SUMMARY!$B$17=TRUE,IF(COUNTBLANK(AJ45:AJ46)&gt;0,0,1),"")</f>
        <v>1</v>
      </c>
      <c r="AK44" s="49"/>
      <c r="AL44" s="49"/>
      <c r="AM44" s="50">
        <f>IF(SUMMARY!$B$18=TRUE,IF(COUNTBLANK(AM45:AM46)&gt;0,0,1),"")</f>
        <v>1</v>
      </c>
      <c r="AN44" s="49"/>
      <c r="AO44" s="49"/>
      <c r="AP44" s="50" t="str">
        <f>IF(SUMMARY!$B$19=TRUE,IF(COUNTBLANK(AP45:AP46)&gt;0,0,1),"")</f>
        <v/>
      </c>
      <c r="AQ44" s="49"/>
      <c r="AR44" s="49"/>
      <c r="AS44" s="50" t="str">
        <f>IF(SUMMARY!$B$20=TRUE,IF(COUNTBLANK(AS45:AS46)&gt;0,0,1),"")</f>
        <v/>
      </c>
      <c r="AT44" s="49"/>
      <c r="AU44" s="49"/>
      <c r="AV44" s="50" t="str">
        <f>IF(SUMMARY!$B$21=TRUE,IF(COUNTBLANK(AV45:AV46)&gt;0,0,1),"")</f>
        <v/>
      </c>
      <c r="AW44" s="49"/>
      <c r="AX44" s="49"/>
      <c r="AY44" s="50" t="str">
        <f>IF(SUMMARY!$B$22=TRUE,IF(COUNTBLANK(AY45:AY46)&gt;0,0,1),"")</f>
        <v/>
      </c>
      <c r="AZ44" s="49"/>
      <c r="BA44" s="49"/>
      <c r="BB44" s="50" t="str">
        <f>IF(SUMMARY!$B$23=TRUE,IF(COUNTBLANK(BB45:BB46)&gt;0,0,1),"")</f>
        <v/>
      </c>
      <c r="BC44" s="49"/>
      <c r="BD44" s="49"/>
      <c r="BE44" s="50" t="str">
        <f>IF(SUMMARY!$B$24=TRUE,IF(COUNTBLANK(BE45:BE46)&gt;0,0,1),"")</f>
        <v/>
      </c>
      <c r="BF44" s="49"/>
      <c r="BG44" s="49"/>
      <c r="BH44" s="50" t="str">
        <f>IF(SUMMARY!$B$25=TRUE,IF(COUNTBLANK(BH45:BH46)&gt;0,0,1),"")</f>
        <v/>
      </c>
      <c r="BI44" s="49"/>
      <c r="BJ44" s="49"/>
      <c r="BK44" s="50" t="str">
        <f>IF(SUMMARY!$B$26=TRUE,IF(COUNTBLANK(BK45:BK46)&gt;0,0,1),"")</f>
        <v/>
      </c>
      <c r="BL44" s="49"/>
      <c r="BM44" s="49"/>
      <c r="BN44" s="50" t="str">
        <f>IF(SUMMARY!$B$27=TRUE,IF(COUNTBLANK(BN45:BN46)&gt;0,0,1),"")</f>
        <v/>
      </c>
      <c r="BO44" s="49"/>
      <c r="BP44" s="49"/>
      <c r="BQ44" s="50" t="str">
        <f>IF(SUMMARY!$B$28=TRUE,IF(COUNTBLANK(BQ45:BQ46)&gt;0,0,1),"")</f>
        <v/>
      </c>
      <c r="BR44" s="49"/>
      <c r="BS44" s="49"/>
      <c r="BT44" s="50" t="str">
        <f>IF(SUMMARY!$B$29=TRUE,IF(COUNTBLANK(BT45:BT46)&gt;0,0,1),"")</f>
        <v/>
      </c>
      <c r="BU44" s="49"/>
      <c r="BV44" s="49"/>
      <c r="BW44" s="50" t="str">
        <f>IF(SUMMARY!$B$30=TRUE,IF(COUNTBLANK(BW45:BW46)&gt;0,0,1),"")</f>
        <v/>
      </c>
      <c r="BX44" s="49"/>
      <c r="BY44" s="49"/>
      <c r="BZ44" s="50" t="str">
        <f>IF(SUMMARY!$B$31=TRUE,IF(COUNTBLANK(BZ45:BZ46)&gt;0,0,1),"")</f>
        <v/>
      </c>
      <c r="CA44" s="49"/>
      <c r="CB44" s="49"/>
      <c r="CC44" s="50" t="str">
        <f>IF(SUMMARY!$B$32=TRUE,IF(COUNTBLANK(CC45:CC46)&gt;0,0,1),"")</f>
        <v/>
      </c>
      <c r="CD44" s="49"/>
      <c r="CE44" s="49"/>
      <c r="CF44" s="50" t="str">
        <f>IF(SUMMARY!$B$33=TRUE,IF(COUNTBLANK(CF45:CF46)&gt;0,0,1),"")</f>
        <v/>
      </c>
      <c r="CG44" s="49"/>
      <c r="CH44" s="49"/>
      <c r="CI44" s="50" t="str">
        <f>IF(SUMMARY!$B$34=TRUE,IF(COUNTBLANK(CI45:CI46)&gt;0,0,1),"")</f>
        <v/>
      </c>
      <c r="CJ44" s="49"/>
      <c r="CK44" s="49"/>
      <c r="CL44" s="50" t="str">
        <f>IF(SUMMARY!$B$35=TRUE,IF(COUNTBLANK(CL45:CL46)&gt;0,0,1),"")</f>
        <v/>
      </c>
      <c r="CM44" s="49"/>
      <c r="CN44" s="49"/>
      <c r="CO44" s="51" t="str">
        <f>IF(SUMMARY!$B$36=TRUE,IF(COUNTBLANK(CO45:CO46)&gt;0,0,1),"")</f>
        <v/>
      </c>
      <c r="CP44" s="49"/>
      <c r="CQ44" s="49"/>
    </row>
    <row r="45" spans="1:95" s="13" customFormat="1" ht="15" customHeight="1" x14ac:dyDescent="0.2">
      <c r="A45" s="69" t="s">
        <v>32</v>
      </c>
      <c r="B45" s="69"/>
      <c r="C45" s="69"/>
      <c r="D45" s="329" t="s">
        <v>82</v>
      </c>
      <c r="E45" s="330"/>
      <c r="F45" s="313">
        <v>136747</v>
      </c>
      <c r="G45" s="314"/>
      <c r="H45" s="314"/>
      <c r="I45" s="313">
        <v>264877</v>
      </c>
      <c r="J45" s="314"/>
      <c r="K45" s="314"/>
      <c r="L45" s="313">
        <v>136082</v>
      </c>
      <c r="M45" s="314"/>
      <c r="N45" s="314"/>
      <c r="O45" s="313">
        <v>360000</v>
      </c>
      <c r="P45" s="314"/>
      <c r="Q45" s="314"/>
      <c r="R45" s="313">
        <v>450000</v>
      </c>
      <c r="S45" s="314"/>
      <c r="T45" s="314"/>
      <c r="U45" s="313">
        <v>11445</v>
      </c>
      <c r="V45" s="314"/>
      <c r="W45" s="314"/>
      <c r="X45" s="313">
        <v>11445</v>
      </c>
      <c r="Y45" s="314"/>
      <c r="Z45" s="314"/>
      <c r="AA45" s="313">
        <v>105628</v>
      </c>
      <c r="AB45" s="314"/>
      <c r="AC45" s="314"/>
      <c r="AD45" s="313">
        <v>1399145</v>
      </c>
      <c r="AE45" s="314"/>
      <c r="AF45" s="314"/>
      <c r="AG45" s="313">
        <v>3264671</v>
      </c>
      <c r="AH45" s="314"/>
      <c r="AI45" s="314"/>
      <c r="AJ45" s="313">
        <v>331</v>
      </c>
      <c r="AK45" s="314"/>
      <c r="AL45" s="314"/>
      <c r="AM45" s="313">
        <v>178</v>
      </c>
      <c r="AN45" s="314"/>
      <c r="AO45" s="314"/>
      <c r="AP45" s="313"/>
      <c r="AQ45" s="314"/>
      <c r="AR45" s="314"/>
      <c r="AS45" s="313"/>
      <c r="AT45" s="314"/>
      <c r="AU45" s="314"/>
      <c r="AV45" s="313"/>
      <c r="AW45" s="314"/>
      <c r="AX45" s="314"/>
      <c r="AY45" s="313"/>
      <c r="AZ45" s="314"/>
      <c r="BA45" s="314"/>
      <c r="BB45" s="313"/>
      <c r="BC45" s="314"/>
      <c r="BD45" s="314"/>
      <c r="BE45" s="313"/>
      <c r="BF45" s="314"/>
      <c r="BG45" s="314"/>
      <c r="BH45" s="313"/>
      <c r="BI45" s="314"/>
      <c r="BJ45" s="314"/>
      <c r="BK45" s="313"/>
      <c r="BL45" s="314"/>
      <c r="BM45" s="314"/>
      <c r="BN45" s="313"/>
      <c r="BO45" s="314"/>
      <c r="BP45" s="314"/>
      <c r="BQ45" s="313"/>
      <c r="BR45" s="314"/>
      <c r="BS45" s="314"/>
      <c r="BT45" s="313"/>
      <c r="BU45" s="314"/>
      <c r="BV45" s="314"/>
      <c r="BW45" s="313"/>
      <c r="BX45" s="314"/>
      <c r="BY45" s="314"/>
      <c r="BZ45" s="313"/>
      <c r="CA45" s="314"/>
      <c r="CB45" s="314"/>
      <c r="CC45" s="313"/>
      <c r="CD45" s="314"/>
      <c r="CE45" s="314"/>
      <c r="CF45" s="313"/>
      <c r="CG45" s="314"/>
      <c r="CH45" s="314"/>
      <c r="CI45" s="313"/>
      <c r="CJ45" s="314"/>
      <c r="CK45" s="314"/>
      <c r="CL45" s="313"/>
      <c r="CM45" s="314"/>
      <c r="CN45" s="314"/>
      <c r="CO45" s="313"/>
      <c r="CP45" s="314"/>
      <c r="CQ45" s="314"/>
    </row>
    <row r="46" spans="1:95" s="13" customFormat="1" ht="15" customHeight="1" x14ac:dyDescent="0.2">
      <c r="A46" s="62" t="s">
        <v>32</v>
      </c>
      <c r="B46" s="62"/>
      <c r="C46" s="62"/>
      <c r="D46" s="327" t="s">
        <v>83</v>
      </c>
      <c r="E46" s="328"/>
      <c r="F46" s="311">
        <v>56581</v>
      </c>
      <c r="G46" s="312"/>
      <c r="H46" s="312"/>
      <c r="I46" s="311">
        <v>35985</v>
      </c>
      <c r="J46" s="312"/>
      <c r="K46" s="312"/>
      <c r="L46" s="311">
        <v>35985</v>
      </c>
      <c r="M46" s="312"/>
      <c r="N46" s="312"/>
      <c r="O46" s="311" t="s">
        <v>46</v>
      </c>
      <c r="P46" s="312"/>
      <c r="Q46" s="312"/>
      <c r="R46" s="311" t="s">
        <v>46</v>
      </c>
      <c r="S46" s="312"/>
      <c r="T46" s="312"/>
      <c r="U46" s="311">
        <v>1373</v>
      </c>
      <c r="V46" s="312"/>
      <c r="W46" s="312"/>
      <c r="X46" s="311">
        <v>1373</v>
      </c>
      <c r="Y46" s="312"/>
      <c r="Z46" s="312"/>
      <c r="AA46" s="311">
        <v>17957</v>
      </c>
      <c r="AB46" s="312"/>
      <c r="AC46" s="312"/>
      <c r="AD46" s="311">
        <v>146881</v>
      </c>
      <c r="AE46" s="312"/>
      <c r="AF46" s="312"/>
      <c r="AG46" s="311">
        <v>146881</v>
      </c>
      <c r="AH46" s="312"/>
      <c r="AI46" s="312"/>
      <c r="AJ46" s="311">
        <v>0</v>
      </c>
      <c r="AK46" s="312"/>
      <c r="AL46" s="312"/>
      <c r="AM46" s="311">
        <v>72</v>
      </c>
      <c r="AN46" s="312"/>
      <c r="AO46" s="312"/>
      <c r="AP46" s="311"/>
      <c r="AQ46" s="312"/>
      <c r="AR46" s="312"/>
      <c r="AS46" s="311"/>
      <c r="AT46" s="312"/>
      <c r="AU46" s="312"/>
      <c r="AV46" s="311"/>
      <c r="AW46" s="312"/>
      <c r="AX46" s="312"/>
      <c r="AY46" s="311"/>
      <c r="AZ46" s="312"/>
      <c r="BA46" s="312"/>
      <c r="BB46" s="311"/>
      <c r="BC46" s="312"/>
      <c r="BD46" s="312"/>
      <c r="BE46" s="311"/>
      <c r="BF46" s="312"/>
      <c r="BG46" s="312"/>
      <c r="BH46" s="311"/>
      <c r="BI46" s="312"/>
      <c r="BJ46" s="312"/>
      <c r="BK46" s="311"/>
      <c r="BL46" s="312"/>
      <c r="BM46" s="312"/>
      <c r="BN46" s="311"/>
      <c r="BO46" s="312"/>
      <c r="BP46" s="312"/>
      <c r="BQ46" s="311"/>
      <c r="BR46" s="312"/>
      <c r="BS46" s="312"/>
      <c r="BT46" s="311"/>
      <c r="BU46" s="312"/>
      <c r="BV46" s="312"/>
      <c r="BW46" s="311"/>
      <c r="BX46" s="312"/>
      <c r="BY46" s="312"/>
      <c r="BZ46" s="311"/>
      <c r="CA46" s="312"/>
      <c r="CB46" s="312"/>
      <c r="CC46" s="311"/>
      <c r="CD46" s="312"/>
      <c r="CE46" s="312"/>
      <c r="CF46" s="311"/>
      <c r="CG46" s="312"/>
      <c r="CH46" s="312"/>
      <c r="CI46" s="311"/>
      <c r="CJ46" s="312"/>
      <c r="CK46" s="312"/>
      <c r="CL46" s="311"/>
      <c r="CM46" s="312"/>
      <c r="CN46" s="312"/>
      <c r="CO46" s="311"/>
      <c r="CP46" s="312"/>
      <c r="CQ46" s="312"/>
    </row>
    <row r="47" spans="1:95" s="13" customFormat="1" ht="15" hidden="1" customHeight="1" x14ac:dyDescent="0.2">
      <c r="A47" s="63"/>
      <c r="B47" s="63"/>
      <c r="C47" s="63"/>
      <c r="D47" s="166"/>
      <c r="E47" s="70"/>
      <c r="F47" s="288">
        <f>MAX(F45-F46,0)</f>
        <v>80166</v>
      </c>
      <c r="G47" s="289"/>
      <c r="H47" s="289"/>
      <c r="I47" s="288">
        <f>MAX(I45-I46,0)</f>
        <v>228892</v>
      </c>
      <c r="J47" s="289"/>
      <c r="K47" s="289"/>
      <c r="L47" s="288">
        <f>MAX(L45-L46,0)</f>
        <v>100097</v>
      </c>
      <c r="M47" s="289"/>
      <c r="N47" s="289"/>
      <c r="O47" s="288" t="e">
        <f>MAX(O45-O46,0)</f>
        <v>#VALUE!</v>
      </c>
      <c r="P47" s="289"/>
      <c r="Q47" s="289"/>
      <c r="R47" s="288" t="e">
        <f>MAX(R45-R46,0)</f>
        <v>#VALUE!</v>
      </c>
      <c r="S47" s="289"/>
      <c r="T47" s="289"/>
      <c r="U47" s="288">
        <f>MAX(U45-U46,0)</f>
        <v>10072</v>
      </c>
      <c r="V47" s="289"/>
      <c r="W47" s="289"/>
      <c r="X47" s="288">
        <f>MAX(X45-X46,0)</f>
        <v>10072</v>
      </c>
      <c r="Y47" s="289"/>
      <c r="Z47" s="289"/>
      <c r="AA47" s="288">
        <f>MAX(AA45-AA46,0)</f>
        <v>87671</v>
      </c>
      <c r="AB47" s="289"/>
      <c r="AC47" s="289"/>
      <c r="AD47" s="288">
        <f>MAX(AD45-AD46,0)</f>
        <v>1252264</v>
      </c>
      <c r="AE47" s="289"/>
      <c r="AF47" s="289"/>
      <c r="AG47" s="288">
        <f>MAX(AG45-AG46,0)</f>
        <v>3117790</v>
      </c>
      <c r="AH47" s="289"/>
      <c r="AI47" s="289"/>
      <c r="AJ47" s="288">
        <f>MAX(AJ45-AJ46,0)</f>
        <v>331</v>
      </c>
      <c r="AK47" s="289"/>
      <c r="AL47" s="289"/>
      <c r="AM47" s="288">
        <f>MAX(AM45-AM46,0)</f>
        <v>106</v>
      </c>
      <c r="AN47" s="289"/>
      <c r="AO47" s="289"/>
      <c r="AP47" s="288">
        <f>MAX(AP45-AP46,0)</f>
        <v>0</v>
      </c>
      <c r="AQ47" s="289"/>
      <c r="AR47" s="289"/>
      <c r="AS47" s="288">
        <f>MAX(AS45-AS46,0)</f>
        <v>0</v>
      </c>
      <c r="AT47" s="289"/>
      <c r="AU47" s="289"/>
      <c r="AV47" s="288">
        <f>MAX(AV45-AV46,0)</f>
        <v>0</v>
      </c>
      <c r="AW47" s="289"/>
      <c r="AX47" s="289"/>
      <c r="AY47" s="288">
        <f>MAX(AY45-AY46,0)</f>
        <v>0</v>
      </c>
      <c r="AZ47" s="289"/>
      <c r="BA47" s="289"/>
      <c r="BB47" s="288">
        <f>MAX(BB45-BB46,0)</f>
        <v>0</v>
      </c>
      <c r="BC47" s="289"/>
      <c r="BD47" s="289"/>
      <c r="BE47" s="288">
        <f>MAX(BE45-BE46,0)</f>
        <v>0</v>
      </c>
      <c r="BF47" s="289"/>
      <c r="BG47" s="289"/>
      <c r="BH47" s="288">
        <f>MAX(BH45-BH46,0)</f>
        <v>0</v>
      </c>
      <c r="BI47" s="289"/>
      <c r="BJ47" s="289"/>
      <c r="BK47" s="288">
        <f>MAX(BK45-BK46,0)</f>
        <v>0</v>
      </c>
      <c r="BL47" s="289"/>
      <c r="BM47" s="289"/>
      <c r="BN47" s="288">
        <f>MAX(BN45-BN46,0)</f>
        <v>0</v>
      </c>
      <c r="BO47" s="289"/>
      <c r="BP47" s="289"/>
      <c r="BQ47" s="288">
        <f>MAX(BQ45-BQ46,0)</f>
        <v>0</v>
      </c>
      <c r="BR47" s="289"/>
      <c r="BS47" s="289"/>
      <c r="BT47" s="288">
        <f>MAX(BT45-BT46,0)</f>
        <v>0</v>
      </c>
      <c r="BU47" s="289"/>
      <c r="BV47" s="289"/>
      <c r="BW47" s="288">
        <f>MAX(BW45-BW46,0)</f>
        <v>0</v>
      </c>
      <c r="BX47" s="289"/>
      <c r="BY47" s="289"/>
      <c r="BZ47" s="288">
        <f>MAX(BZ45-BZ46,0)</f>
        <v>0</v>
      </c>
      <c r="CA47" s="289"/>
      <c r="CB47" s="289"/>
      <c r="CC47" s="288">
        <f>MAX(CC45-CC46,0)</f>
        <v>0</v>
      </c>
      <c r="CD47" s="289"/>
      <c r="CE47" s="289"/>
      <c r="CF47" s="288">
        <f>MAX(CF45-CF46,0)</f>
        <v>0</v>
      </c>
      <c r="CG47" s="289"/>
      <c r="CH47" s="289"/>
      <c r="CI47" s="288">
        <f>MAX(CI45-CI46,0)</f>
        <v>0</v>
      </c>
      <c r="CJ47" s="289"/>
      <c r="CK47" s="289"/>
      <c r="CL47" s="288">
        <f>MAX(CL45-CL46,0)</f>
        <v>0</v>
      </c>
      <c r="CM47" s="289"/>
      <c r="CN47" s="289"/>
      <c r="CO47" s="288">
        <f>MAX(CO45-CO46,0)</f>
        <v>0</v>
      </c>
      <c r="CP47" s="289"/>
      <c r="CQ47" s="289"/>
    </row>
    <row r="48" spans="1:95" s="13" customFormat="1" ht="15" customHeight="1" x14ac:dyDescent="0.2">
      <c r="A48" s="58"/>
      <c r="B48" s="58"/>
      <c r="C48" s="58" t="s">
        <v>32</v>
      </c>
      <c r="D48" s="331" t="s">
        <v>84</v>
      </c>
      <c r="E48" s="332"/>
      <c r="F48" s="309">
        <f>IF(OR(F$38="",F$46=""),"",IF(F$53="Survival",IF(ISERROR(F$46/F$38),"Unknown",F$46/F$38),IF(ISERROR(MIN(F$46,F$47)/F$38),"Unknown",MIN(F$46,F$47)/F$38)))</f>
        <v>4352.3846153846152</v>
      </c>
      <c r="G48" s="310"/>
      <c r="H48" s="310"/>
      <c r="I48" s="309">
        <f>IF(OR(I$38="",I$46=""),"",IF(I$53="Survival",IF(ISERROR(I$46/I$38),"Unknown",I$46/I$38),IF(ISERROR(MIN(I$46,I$47)/I$38),"Unknown",MIN(I$46,I$47)/I$38)))</f>
        <v>2768.0769230769229</v>
      </c>
      <c r="J48" s="310"/>
      <c r="K48" s="310"/>
      <c r="L48" s="309">
        <f>IF(OR(L$38="",L$46=""),"",IF(L$53="Survival",IF(ISERROR(L$46/L$38),"Unknown",L$46/L$38),IF(ISERROR(MIN(L$46,L$47)/L$38),"Unknown",MIN(L$46,L$47)/L$38)))</f>
        <v>2768.0769230769229</v>
      </c>
      <c r="M48" s="310"/>
      <c r="N48" s="310"/>
      <c r="O48" s="309" t="str">
        <f>IF(OR(O$38="",O$46=""),"",IF(O$53="Survival",IF(ISERROR(O$46/O$38),"Unknown",O$46/O$38),IF(ISERROR(MIN(O$46,O$47)/O$38),"Unknown",MIN(O$46,O$47)/O$38)))</f>
        <v>Unknown</v>
      </c>
      <c r="P48" s="310"/>
      <c r="Q48" s="310"/>
      <c r="R48" s="309" t="str">
        <f>IF(OR(R$38="",R$46=""),"",IF(R$53="Survival",IF(ISERROR(R$46/R$38),"Unknown",R$46/R$38),IF(ISERROR(MIN(R$46,R$47)/R$38),"Unknown",MIN(R$46,R$47)/R$38)))</f>
        <v>Unknown</v>
      </c>
      <c r="S48" s="310"/>
      <c r="T48" s="310"/>
      <c r="U48" s="309">
        <f>IF(OR(U$38="",U$46=""),"",IF(U$53="Survival",IF(ISERROR(U$46/U$38),"Unknown",U$46/U$38),IF(ISERROR(MIN(U$46,U$47)/U$38),"Unknown",MIN(U$46,U$47)/U$38)))</f>
        <v>1.373</v>
      </c>
      <c r="V48" s="310"/>
      <c r="W48" s="310"/>
      <c r="X48" s="309">
        <f>IF(OR(X$38="",X$46=""),"",IF(X$53="Survival",IF(ISERROR(X$46/X$38),"Unknown",X$46/X$38),IF(ISERROR(MIN(X$46,X$47)/X$38),"Unknown",MIN(X$46,X$47)/X$38)))</f>
        <v>1.7162500000000001</v>
      </c>
      <c r="Y48" s="310"/>
      <c r="Z48" s="310"/>
      <c r="AA48" s="309">
        <f>IF(OR(AA$38="",AA$46=""),"",IF(AA$53="Survival",IF(ISERROR(AA$46/AA$38),"Unknown",AA$46/AA$38),IF(ISERROR(MIN(AA$46,AA$47)/AA$38),"Unknown",MIN(AA$46,AA$47)/AA$38)))</f>
        <v>1282.6428571428571</v>
      </c>
      <c r="AB48" s="310"/>
      <c r="AC48" s="310"/>
      <c r="AD48" s="309">
        <f>IF(OR(AD$38="",AD$46=""),"",IF(AD$53="Survival",IF(ISERROR(AD$46/AD$38),"Unknown",AD$46/AD$38),IF(ISERROR(MIN(AD$46,AD$47)/AD$38),"Unknown",MIN(AD$46,AD$47)/AD$38)))</f>
        <v>1958.4133333333334</v>
      </c>
      <c r="AE48" s="310"/>
      <c r="AF48" s="310"/>
      <c r="AG48" s="309">
        <f>IF(OR(AG$38="",AG$46=""),"",IF(AG$53="Survival",IF(ISERROR(AG$46/AG$38),"Unknown",AG$46/AG$38),IF(ISERROR(MIN(AG$46,AG$47)/AG$38),"Unknown",MIN(AG$46,AG$47)/AG$38)))</f>
        <v>13352.818181818182</v>
      </c>
      <c r="AH48" s="310"/>
      <c r="AI48" s="310"/>
      <c r="AJ48" s="309">
        <f>IF(OR(AJ$38="",AJ$46=""),"",IF(AJ$53="Survival",IF(ISERROR(AJ$46/AJ$38),"Unknown",AJ$46/AJ$38),IF(ISERROR(MIN(AJ$46,AJ$47)/AJ$38),"Unknown",MIN(AJ$46,AJ$47)/AJ$38)))</f>
        <v>0</v>
      </c>
      <c r="AK48" s="310"/>
      <c r="AL48" s="310"/>
      <c r="AM48" s="309">
        <f>IF(OR(AM$38="",AM$46=""),"",IF(AM$53="Survival",IF(ISERROR(AM$46/AM$38),"Unknown",AM$46/AM$38),IF(ISERROR(MIN(AM$46,AM$47)/AM$38),"Unknown",MIN(AM$46,AM$47)/AM$38)))</f>
        <v>3.2727272727272729</v>
      </c>
      <c r="AN48" s="310"/>
      <c r="AO48" s="310"/>
      <c r="AP48" s="309" t="str">
        <f>IF(OR(AP$38="",AP$46=""),"",IF(AP$53="Survival",IF(ISERROR(AP$46/AP$38),"Unknown",AP$46/AP$38),IF(ISERROR(MIN(AP$46,AP$47)/AP$38),"Unknown",MIN(AP$46,AP$47)/AP$38)))</f>
        <v/>
      </c>
      <c r="AQ48" s="310"/>
      <c r="AR48" s="310"/>
      <c r="AS48" s="309" t="str">
        <f>IF(OR(AS$38="",AS$46=""),"",IF(AS$53="Survival",IF(ISERROR(AS$46/AS$38),"Unknown",AS$46/AS$38),IF(ISERROR(MIN(AS$46,AS$47)/AS$38),"Unknown",MIN(AS$46,AS$47)/AS$38)))</f>
        <v/>
      </c>
      <c r="AT48" s="310"/>
      <c r="AU48" s="310"/>
      <c r="AV48" s="309" t="str">
        <f>IF(OR(AV$38="",AV$46=""),"",IF(AV$53="Survival",IF(ISERROR(AV$46/AV$38),"Unknown",AV$46/AV$38),IF(ISERROR(MIN(AV$46,AV$47)/AV$38),"Unknown",MIN(AV$46,AV$47)/AV$38)))</f>
        <v/>
      </c>
      <c r="AW48" s="310"/>
      <c r="AX48" s="310"/>
      <c r="AY48" s="309" t="str">
        <f>IF(OR(AY$38="",AY$46=""),"",IF(AY$53="Survival",IF(ISERROR(AY$46/AY$38),"Unknown",AY$46/AY$38),IF(ISERROR(MIN(AY$46,AY$47)/AY$38),"Unknown",MIN(AY$46,AY$47)/AY$38)))</f>
        <v/>
      </c>
      <c r="AZ48" s="310"/>
      <c r="BA48" s="310"/>
      <c r="BB48" s="309" t="str">
        <f>IF(OR(BB$38="",BB$46=""),"",IF(BB$53="Survival",IF(ISERROR(BB$46/BB$38),"Unknown",BB$46/BB$38),IF(ISERROR(MIN(BB$46,BB$47)/BB$38),"Unknown",MIN(BB$46,BB$47)/BB$38)))</f>
        <v/>
      </c>
      <c r="BC48" s="310"/>
      <c r="BD48" s="310"/>
      <c r="BE48" s="309" t="str">
        <f>IF(OR(BE$38="",BE$46=""),"",IF(BE$53="Survival",IF(ISERROR(BE$46/BE$38),"Unknown",BE$46/BE$38),IF(ISERROR(MIN(BE$46,BE$47)/BE$38),"Unknown",MIN(BE$46,BE$47)/BE$38)))</f>
        <v/>
      </c>
      <c r="BF48" s="310"/>
      <c r="BG48" s="310"/>
      <c r="BH48" s="309" t="str">
        <f>IF(OR(BH$38="",BH$46=""),"",IF(BH$53="Survival",IF(ISERROR(BH$46/BH$38),"Unknown",BH$46/BH$38),IF(ISERROR(MIN(BH$46,BH$47)/BH$38),"Unknown",MIN(BH$46,BH$47)/BH$38)))</f>
        <v/>
      </c>
      <c r="BI48" s="310"/>
      <c r="BJ48" s="310"/>
      <c r="BK48" s="309" t="str">
        <f>IF(OR(BK$38="",BK$46=""),"",IF(BK$53="Survival",IF(ISERROR(BK$46/BK$38),"Unknown",BK$46/BK$38),IF(ISERROR(MIN(BK$46,BK$47)/BK$38),"Unknown",MIN(BK$46,BK$47)/BK$38)))</f>
        <v/>
      </c>
      <c r="BL48" s="310"/>
      <c r="BM48" s="310"/>
      <c r="BN48" s="309" t="str">
        <f>IF(OR(BN$38="",BN$46=""),"",IF(BN$53="Survival",IF(ISERROR(BN$46/BN$38),"Unknown",BN$46/BN$38),IF(ISERROR(MIN(BN$46,BN$47)/BN$38),"Unknown",MIN(BN$46,BN$47)/BN$38)))</f>
        <v/>
      </c>
      <c r="BO48" s="310"/>
      <c r="BP48" s="310"/>
      <c r="BQ48" s="309" t="str">
        <f>IF(OR(BQ$38="",BQ$46=""),"",IF(BQ$53="Survival",IF(ISERROR(BQ$46/BQ$38),"Unknown",BQ$46/BQ$38),IF(ISERROR(MIN(BQ$46,BQ$47)/BQ$38),"Unknown",MIN(BQ$46,BQ$47)/BQ$38)))</f>
        <v/>
      </c>
      <c r="BR48" s="310"/>
      <c r="BS48" s="310"/>
      <c r="BT48" s="309" t="str">
        <f>IF(OR(BT$38="",BT$46=""),"",IF(BT$53="Survival",IF(ISERROR(BT$46/BT$38),"Unknown",BT$46/BT$38),IF(ISERROR(MIN(BT$46,BT$47)/BT$38),"Unknown",MIN(BT$46,BT$47)/BT$38)))</f>
        <v/>
      </c>
      <c r="BU48" s="310"/>
      <c r="BV48" s="310"/>
      <c r="BW48" s="309" t="str">
        <f>IF(OR(BW$38="",BW$46=""),"",IF(BW$53="Survival",IF(ISERROR(BW$46/BW$38),"Unknown",BW$46/BW$38),IF(ISERROR(MIN(BW$46,BW$47)/BW$38),"Unknown",MIN(BW$46,BW$47)/BW$38)))</f>
        <v/>
      </c>
      <c r="BX48" s="310"/>
      <c r="BY48" s="310"/>
      <c r="BZ48" s="309" t="str">
        <f>IF(OR(BZ$38="",BZ$46=""),"",IF(BZ$53="Survival",IF(ISERROR(BZ$46/BZ$38),"Unknown",BZ$46/BZ$38),IF(ISERROR(MIN(BZ$46,BZ$47)/BZ$38),"Unknown",MIN(BZ$46,BZ$47)/BZ$38)))</f>
        <v/>
      </c>
      <c r="CA48" s="310"/>
      <c r="CB48" s="310"/>
      <c r="CC48" s="309" t="str">
        <f>IF(OR(CC$38="",CC$46=""),"",IF(CC$53="Survival",IF(ISERROR(CC$46/CC$38),"Unknown",CC$46/CC$38),IF(ISERROR(MIN(CC$46,CC$47)/CC$38),"Unknown",MIN(CC$46,CC$47)/CC$38)))</f>
        <v/>
      </c>
      <c r="CD48" s="310"/>
      <c r="CE48" s="310"/>
      <c r="CF48" s="309" t="str">
        <f>IF(OR(CF$38="",CF$46=""),"",IF(CF$53="Survival",IF(ISERROR(CF$46/CF$38),"Unknown",CF$46/CF$38),IF(ISERROR(MIN(CF$46,CF$47)/CF$38),"Unknown",MIN(CF$46,CF$47)/CF$38)))</f>
        <v/>
      </c>
      <c r="CG48" s="310"/>
      <c r="CH48" s="310"/>
      <c r="CI48" s="309" t="str">
        <f>IF(OR(CI$38="",CI$46=""),"",IF(CI$53="Survival",IF(ISERROR(CI$46/CI$38),"Unknown",CI$46/CI$38),IF(ISERROR(MIN(CI$46,CI$47)/CI$38),"Unknown",MIN(CI$46,CI$47)/CI$38)))</f>
        <v/>
      </c>
      <c r="CJ48" s="310"/>
      <c r="CK48" s="310"/>
      <c r="CL48" s="309" t="str">
        <f>IF(OR(CL$38="",CL$46=""),"",IF(CL$53="Survival",IF(ISERROR(CL$46/CL$38),"Unknown",CL$46/CL$38),IF(ISERROR(MIN(CL$46,CL$47)/CL$38),"Unknown",MIN(CL$46,CL$47)/CL$38)))</f>
        <v/>
      </c>
      <c r="CM48" s="310"/>
      <c r="CN48" s="310"/>
      <c r="CO48" s="309" t="str">
        <f>IF(OR(CO$38="",CO$46=""),"",IF(CO$53="Survival",IF(ISERROR(CO$46/CO$38),"Unknown",CO$46/CO$38),IF(ISERROR(MIN(CO$46,CO$47)/CO$38),"Unknown",MIN(CO$46,CO$47)/CO$38)))</f>
        <v/>
      </c>
      <c r="CP48" s="310"/>
      <c r="CQ48" s="310"/>
    </row>
    <row r="49" spans="1:95" s="1" customFormat="1" ht="18.75" customHeight="1" x14ac:dyDescent="0.2">
      <c r="A49" s="335" t="s">
        <v>85</v>
      </c>
      <c r="B49" s="335"/>
      <c r="C49" s="335"/>
      <c r="D49" s="335"/>
      <c r="E49" s="335"/>
      <c r="F49" s="48">
        <f>IF(SUMMARY!$B$7=TRUE,IF(COUNTBLANK(F50:F51)&gt;0,0,1),"")</f>
        <v>1</v>
      </c>
      <c r="G49" s="49"/>
      <c r="H49" s="49"/>
      <c r="I49" s="50">
        <f>IF(SUMMARY!$B$8=TRUE,IF(COUNTBLANK(I50:I51)&gt;0,0,1),"")</f>
        <v>1</v>
      </c>
      <c r="J49" s="49"/>
      <c r="K49" s="49"/>
      <c r="L49" s="50">
        <f>IF(SUMMARY!$B$9=TRUE,IF(COUNTBLANK(L50:L51)&gt;0,0,1),"")</f>
        <v>1</v>
      </c>
      <c r="M49" s="49"/>
      <c r="N49" s="49"/>
      <c r="O49" s="50">
        <f>IF(SUMMARY!$B$10=TRUE,IF(COUNTBLANK(O50:O51)&gt;0,0,1),"")</f>
        <v>1</v>
      </c>
      <c r="P49" s="49"/>
      <c r="Q49" s="49"/>
      <c r="R49" s="50">
        <f>IF(SUMMARY!$B$11=TRUE,IF(COUNTBLANK(R50:R51)&gt;0,0,1),"")</f>
        <v>1</v>
      </c>
      <c r="S49" s="49"/>
      <c r="T49" s="49"/>
      <c r="U49" s="50">
        <f>IF(SUMMARY!$B$12=TRUE,IF(COUNTBLANK(U50:U51)&gt;0,0,1),"")</f>
        <v>1</v>
      </c>
      <c r="V49" s="49"/>
      <c r="W49" s="49"/>
      <c r="X49" s="50">
        <f>IF(SUMMARY!$B$13=TRUE,IF(COUNTBLANK(X50:X51)&gt;0,0,1),"")</f>
        <v>1</v>
      </c>
      <c r="Y49" s="49"/>
      <c r="Z49" s="49"/>
      <c r="AA49" s="50">
        <f>IF(SUMMARY!$B$14=TRUE,IF(COUNTBLANK(AA50:AA51)&gt;0,0,1),"")</f>
        <v>1</v>
      </c>
      <c r="AB49" s="49"/>
      <c r="AC49" s="49"/>
      <c r="AD49" s="50">
        <f>IF(SUMMARY!$B$15=TRUE,IF(COUNTBLANK(AD50:AD51)&gt;0,0,1),"")</f>
        <v>1</v>
      </c>
      <c r="AE49" s="49"/>
      <c r="AF49" s="49"/>
      <c r="AG49" s="50">
        <f>IF(SUMMARY!$B$16=TRUE,IF(COUNTBLANK(AG50:AG51)&gt;0,0,1),"")</f>
        <v>1</v>
      </c>
      <c r="AH49" s="49"/>
      <c r="AI49" s="49"/>
      <c r="AJ49" s="50">
        <f>IF(SUMMARY!$B$17=TRUE,IF(COUNTBLANK(AJ50:AJ51)&gt;0,0,1),"")</f>
        <v>1</v>
      </c>
      <c r="AK49" s="49"/>
      <c r="AL49" s="49"/>
      <c r="AM49" s="50">
        <f>IF(SUMMARY!$B$18=TRUE,IF(COUNTBLANK(AM50:AM51)&gt;0,0,1),"")</f>
        <v>1</v>
      </c>
      <c r="AN49" s="49"/>
      <c r="AO49" s="49"/>
      <c r="AP49" s="50" t="str">
        <f>IF(SUMMARY!$B$19=TRUE,IF(COUNTBLANK(AP50:AP51)&gt;0,0,1),"")</f>
        <v/>
      </c>
      <c r="AQ49" s="49"/>
      <c r="AR49" s="49"/>
      <c r="AS49" s="50" t="str">
        <f>IF(SUMMARY!$B$20=TRUE,IF(COUNTBLANK(AS50:AS51)&gt;0,0,1),"")</f>
        <v/>
      </c>
      <c r="AT49" s="49"/>
      <c r="AU49" s="49"/>
      <c r="AV49" s="50" t="str">
        <f>IF(SUMMARY!$B$21=TRUE,IF(COUNTBLANK(AV50:AV51)&gt;0,0,1),"")</f>
        <v/>
      </c>
      <c r="AW49" s="49"/>
      <c r="AX49" s="49"/>
      <c r="AY49" s="50" t="str">
        <f>IF(SUMMARY!$B$22=TRUE,IF(COUNTBLANK(AY50:AY51)&gt;0,0,1),"")</f>
        <v/>
      </c>
      <c r="AZ49" s="49"/>
      <c r="BA49" s="49"/>
      <c r="BB49" s="50" t="str">
        <f>IF(SUMMARY!$B$23=TRUE,IF(COUNTBLANK(BB50:BB51)&gt;0,0,1),"")</f>
        <v/>
      </c>
      <c r="BC49" s="49"/>
      <c r="BD49" s="49"/>
      <c r="BE49" s="50" t="str">
        <f>IF(SUMMARY!$B$24=TRUE,IF(COUNTBLANK(BE50:BE51)&gt;0,0,1),"")</f>
        <v/>
      </c>
      <c r="BF49" s="49"/>
      <c r="BG49" s="49"/>
      <c r="BH49" s="50" t="str">
        <f>IF(SUMMARY!$B$25=TRUE,IF(COUNTBLANK(BH50:BH51)&gt;0,0,1),"")</f>
        <v/>
      </c>
      <c r="BI49" s="49"/>
      <c r="BJ49" s="49"/>
      <c r="BK49" s="50" t="str">
        <f>IF(SUMMARY!$B$26=TRUE,IF(COUNTBLANK(BK50:BK51)&gt;0,0,1),"")</f>
        <v/>
      </c>
      <c r="BL49" s="49"/>
      <c r="BM49" s="49"/>
      <c r="BN49" s="50" t="str">
        <f>IF(SUMMARY!$B$27=TRUE,IF(COUNTBLANK(BN50:BN51)&gt;0,0,1),"")</f>
        <v/>
      </c>
      <c r="BO49" s="49"/>
      <c r="BP49" s="49"/>
      <c r="BQ49" s="50" t="str">
        <f>IF(SUMMARY!$B$28=TRUE,IF(COUNTBLANK(BQ50:BQ51)&gt;0,0,1),"")</f>
        <v/>
      </c>
      <c r="BR49" s="49"/>
      <c r="BS49" s="49"/>
      <c r="BT49" s="50" t="str">
        <f>IF(SUMMARY!$B$29=TRUE,IF(COUNTBLANK(BT50:BT51)&gt;0,0,1),"")</f>
        <v/>
      </c>
      <c r="BU49" s="49"/>
      <c r="BV49" s="49"/>
      <c r="BW49" s="50" t="str">
        <f>IF(SUMMARY!$B$30=TRUE,IF(COUNTBLANK(BW50:BW51)&gt;0,0,1),"")</f>
        <v/>
      </c>
      <c r="BX49" s="49"/>
      <c r="BY49" s="49"/>
      <c r="BZ49" s="50" t="str">
        <f>IF(SUMMARY!$B$31=TRUE,IF(COUNTBLANK(BZ50:BZ51)&gt;0,0,1),"")</f>
        <v/>
      </c>
      <c r="CA49" s="49"/>
      <c r="CB49" s="49"/>
      <c r="CC49" s="50" t="str">
        <f>IF(SUMMARY!$B$32=TRUE,IF(COUNTBLANK(CC50:CC51)&gt;0,0,1),"")</f>
        <v/>
      </c>
      <c r="CD49" s="49"/>
      <c r="CE49" s="49"/>
      <c r="CF49" s="50" t="str">
        <f>IF(SUMMARY!$B$33=TRUE,IF(COUNTBLANK(CF50:CF51)&gt;0,0,1),"")</f>
        <v/>
      </c>
      <c r="CG49" s="49"/>
      <c r="CH49" s="49"/>
      <c r="CI49" s="50" t="str">
        <f>IF(SUMMARY!$B$34=TRUE,IF(COUNTBLANK(CI50:CI51)&gt;0,0,1),"")</f>
        <v/>
      </c>
      <c r="CJ49" s="49"/>
      <c r="CK49" s="49"/>
      <c r="CL49" s="50" t="str">
        <f>IF(SUMMARY!$B$35=TRUE,IF(COUNTBLANK(CL50:CL51)&gt;0,0,1),"")</f>
        <v/>
      </c>
      <c r="CM49" s="49"/>
      <c r="CN49" s="49"/>
      <c r="CO49" s="51" t="str">
        <f>IF(SUMMARY!$B$36=TRUE,IF(COUNTBLANK(CO50:CO51)&gt;0,0,1),"")</f>
        <v/>
      </c>
      <c r="CP49" s="49"/>
      <c r="CQ49" s="49"/>
    </row>
    <row r="50" spans="1:95" s="13" customFormat="1" ht="15" customHeight="1" x14ac:dyDescent="0.2">
      <c r="A50" s="69" t="s">
        <v>32</v>
      </c>
      <c r="B50" s="69"/>
      <c r="C50" s="69" t="s">
        <v>32</v>
      </c>
      <c r="D50" s="329" t="s">
        <v>86</v>
      </c>
      <c r="E50" s="330"/>
      <c r="F50" s="294" t="s">
        <v>46</v>
      </c>
      <c r="G50" s="295"/>
      <c r="H50" s="295"/>
      <c r="I50" s="294">
        <v>1509</v>
      </c>
      <c r="J50" s="295"/>
      <c r="K50" s="295"/>
      <c r="L50" s="294">
        <v>1509</v>
      </c>
      <c r="M50" s="295"/>
      <c r="N50" s="295"/>
      <c r="O50" s="294" t="s">
        <v>46</v>
      </c>
      <c r="P50" s="295"/>
      <c r="Q50" s="295"/>
      <c r="R50" s="294" t="s">
        <v>46</v>
      </c>
      <c r="S50" s="295"/>
      <c r="T50" s="295"/>
      <c r="U50" s="294" t="s">
        <v>46</v>
      </c>
      <c r="V50" s="295"/>
      <c r="W50" s="295"/>
      <c r="X50" s="294" t="s">
        <v>46</v>
      </c>
      <c r="Y50" s="295"/>
      <c r="Z50" s="295"/>
      <c r="AA50" s="294" t="s">
        <v>401</v>
      </c>
      <c r="AB50" s="295"/>
      <c r="AC50" s="295"/>
      <c r="AD50" s="294" t="s">
        <v>46</v>
      </c>
      <c r="AE50" s="295"/>
      <c r="AF50" s="295"/>
      <c r="AG50" s="294" t="s">
        <v>46</v>
      </c>
      <c r="AH50" s="295"/>
      <c r="AI50" s="295"/>
      <c r="AJ50" s="294" t="s">
        <v>46</v>
      </c>
      <c r="AK50" s="295"/>
      <c r="AL50" s="295"/>
      <c r="AM50" s="294">
        <v>0</v>
      </c>
      <c r="AN50" s="295"/>
      <c r="AO50" s="295"/>
      <c r="AP50" s="294"/>
      <c r="AQ50" s="295"/>
      <c r="AR50" s="295"/>
      <c r="AS50" s="294"/>
      <c r="AT50" s="295"/>
      <c r="AU50" s="295"/>
      <c r="AV50" s="294"/>
      <c r="AW50" s="295"/>
      <c r="AX50" s="295"/>
      <c r="AY50" s="294"/>
      <c r="AZ50" s="295"/>
      <c r="BA50" s="295"/>
      <c r="BB50" s="294"/>
      <c r="BC50" s="295"/>
      <c r="BD50" s="295"/>
      <c r="BE50" s="294"/>
      <c r="BF50" s="295"/>
      <c r="BG50" s="295"/>
      <c r="BH50" s="294"/>
      <c r="BI50" s="295"/>
      <c r="BJ50" s="295"/>
      <c r="BK50" s="294"/>
      <c r="BL50" s="295"/>
      <c r="BM50" s="295"/>
      <c r="BN50" s="294"/>
      <c r="BO50" s="295"/>
      <c r="BP50" s="295"/>
      <c r="BQ50" s="294"/>
      <c r="BR50" s="295"/>
      <c r="BS50" s="295"/>
      <c r="BT50" s="294"/>
      <c r="BU50" s="295"/>
      <c r="BV50" s="295"/>
      <c r="BW50" s="294"/>
      <c r="BX50" s="295"/>
      <c r="BY50" s="295"/>
      <c r="BZ50" s="294"/>
      <c r="CA50" s="295"/>
      <c r="CB50" s="295"/>
      <c r="CC50" s="294"/>
      <c r="CD50" s="295"/>
      <c r="CE50" s="295"/>
      <c r="CF50" s="294"/>
      <c r="CG50" s="295"/>
      <c r="CH50" s="295"/>
      <c r="CI50" s="294"/>
      <c r="CJ50" s="295"/>
      <c r="CK50" s="295"/>
      <c r="CL50" s="294"/>
      <c r="CM50" s="295"/>
      <c r="CN50" s="295"/>
      <c r="CO50" s="294"/>
      <c r="CP50" s="295"/>
      <c r="CQ50" s="295"/>
    </row>
    <row r="51" spans="1:95" s="13" customFormat="1" ht="15" customHeight="1" x14ac:dyDescent="0.2">
      <c r="A51" s="58"/>
      <c r="B51" s="58"/>
      <c r="C51" s="58" t="s">
        <v>32</v>
      </c>
      <c r="D51" s="331" t="s">
        <v>87</v>
      </c>
      <c r="E51" s="332"/>
      <c r="F51" s="290" t="s">
        <v>323</v>
      </c>
      <c r="G51" s="291"/>
      <c r="H51" s="291"/>
      <c r="I51" s="290" t="s">
        <v>257</v>
      </c>
      <c r="J51" s="291"/>
      <c r="K51" s="291"/>
      <c r="L51" s="290" t="s">
        <v>257</v>
      </c>
      <c r="M51" s="291"/>
      <c r="N51" s="291"/>
      <c r="O51" s="290" t="s">
        <v>324</v>
      </c>
      <c r="P51" s="291"/>
      <c r="Q51" s="291"/>
      <c r="R51" s="290" t="s">
        <v>324</v>
      </c>
      <c r="S51" s="291"/>
      <c r="T51" s="291"/>
      <c r="U51" s="290" t="s">
        <v>257</v>
      </c>
      <c r="V51" s="291"/>
      <c r="W51" s="291"/>
      <c r="X51" s="290" t="s">
        <v>257</v>
      </c>
      <c r="Y51" s="291"/>
      <c r="Z51" s="291"/>
      <c r="AA51" s="290" t="s">
        <v>46</v>
      </c>
      <c r="AB51" s="291"/>
      <c r="AC51" s="291"/>
      <c r="AD51" s="290" t="s">
        <v>62</v>
      </c>
      <c r="AE51" s="291"/>
      <c r="AF51" s="291"/>
      <c r="AG51" s="290" t="s">
        <v>46</v>
      </c>
      <c r="AH51" s="291"/>
      <c r="AI51" s="291"/>
      <c r="AJ51" s="290" t="s">
        <v>46</v>
      </c>
      <c r="AK51" s="291"/>
      <c r="AL51" s="291"/>
      <c r="AM51" s="290" t="s">
        <v>62</v>
      </c>
      <c r="AN51" s="291"/>
      <c r="AO51" s="291"/>
      <c r="AP51" s="290"/>
      <c r="AQ51" s="291"/>
      <c r="AR51" s="291"/>
      <c r="AS51" s="290"/>
      <c r="AT51" s="291"/>
      <c r="AU51" s="291"/>
      <c r="AV51" s="290"/>
      <c r="AW51" s="291"/>
      <c r="AX51" s="291"/>
      <c r="AY51" s="290"/>
      <c r="AZ51" s="291"/>
      <c r="BA51" s="291"/>
      <c r="BB51" s="290"/>
      <c r="BC51" s="291"/>
      <c r="BD51" s="291"/>
      <c r="BE51" s="290"/>
      <c r="BF51" s="291"/>
      <c r="BG51" s="291"/>
      <c r="BH51" s="290"/>
      <c r="BI51" s="291"/>
      <c r="BJ51" s="291"/>
      <c r="BK51" s="290"/>
      <c r="BL51" s="291"/>
      <c r="BM51" s="291"/>
      <c r="BN51" s="290"/>
      <c r="BO51" s="291"/>
      <c r="BP51" s="291"/>
      <c r="BQ51" s="290"/>
      <c r="BR51" s="291"/>
      <c r="BS51" s="291"/>
      <c r="BT51" s="290"/>
      <c r="BU51" s="291"/>
      <c r="BV51" s="291"/>
      <c r="BW51" s="290"/>
      <c r="BX51" s="291"/>
      <c r="BY51" s="291"/>
      <c r="BZ51" s="290"/>
      <c r="CA51" s="291"/>
      <c r="CB51" s="291"/>
      <c r="CC51" s="290"/>
      <c r="CD51" s="291"/>
      <c r="CE51" s="291"/>
      <c r="CF51" s="290"/>
      <c r="CG51" s="291"/>
      <c r="CH51" s="291"/>
      <c r="CI51" s="290"/>
      <c r="CJ51" s="291"/>
      <c r="CK51" s="291"/>
      <c r="CL51" s="290"/>
      <c r="CM51" s="291"/>
      <c r="CN51" s="291"/>
      <c r="CO51" s="290"/>
      <c r="CP51" s="291"/>
      <c r="CQ51" s="291"/>
    </row>
    <row r="52" spans="1:95" s="1" customFormat="1" ht="18.75" customHeight="1" x14ac:dyDescent="0.2">
      <c r="A52" s="335" t="s">
        <v>89</v>
      </c>
      <c r="B52" s="335"/>
      <c r="C52" s="335"/>
      <c r="D52" s="335"/>
      <c r="E52" s="335"/>
      <c r="F52" s="48">
        <f>IF(SUMMARY!$B$7=TRUE,IF(COUNTBLANK(F53:F56)&gt;0,0,1),"")</f>
        <v>1</v>
      </c>
      <c r="G52" s="49"/>
      <c r="H52" s="49"/>
      <c r="I52" s="50">
        <f>IF(SUMMARY!$B$8=TRUE,IF(COUNTBLANK(I53:I56)&gt;0,0,1),"")</f>
        <v>1</v>
      </c>
      <c r="J52" s="49"/>
      <c r="K52" s="49"/>
      <c r="L52" s="50">
        <f>IF(SUMMARY!$B$9=TRUE,IF(COUNTBLANK(L53:L56)&gt;0,0,1),"")</f>
        <v>1</v>
      </c>
      <c r="M52" s="49"/>
      <c r="N52" s="49"/>
      <c r="O52" s="50">
        <f>IF(SUMMARY!$B$10=TRUE,IF(COUNTBLANK(O53:O56)&gt;0,0,1),"")</f>
        <v>1</v>
      </c>
      <c r="P52" s="49"/>
      <c r="Q52" s="49"/>
      <c r="R52" s="50">
        <f>IF(SUMMARY!$B$11=TRUE,IF(COUNTBLANK(R53:R56)&gt;0,0,1),"")</f>
        <v>1</v>
      </c>
      <c r="S52" s="49"/>
      <c r="T52" s="49"/>
      <c r="U52" s="50">
        <f>IF(SUMMARY!$B$12=TRUE,IF(COUNTBLANK(U53:U56)&gt;0,0,1),"")</f>
        <v>1</v>
      </c>
      <c r="V52" s="49"/>
      <c r="W52" s="49"/>
      <c r="X52" s="50">
        <f>IF(SUMMARY!$B$13=TRUE,IF(COUNTBLANK(X53:X56)&gt;0,0,1),"")</f>
        <v>1</v>
      </c>
      <c r="Y52" s="49"/>
      <c r="Z52" s="49"/>
      <c r="AA52" s="50">
        <f>IF(SUMMARY!$B$14=TRUE,IF(COUNTBLANK(AA53:AA56)&gt;0,0,1),"")</f>
        <v>1</v>
      </c>
      <c r="AB52" s="49"/>
      <c r="AC52" s="49"/>
      <c r="AD52" s="50">
        <f>IF(SUMMARY!$B$15=TRUE,IF(COUNTBLANK(AD53:AD56)&gt;0,0,1),"")</f>
        <v>1</v>
      </c>
      <c r="AE52" s="49"/>
      <c r="AF52" s="49"/>
      <c r="AG52" s="50">
        <f>IF(SUMMARY!$B$16=TRUE,IF(COUNTBLANK(AG53:AG56)&gt;0,0,1),"")</f>
        <v>1</v>
      </c>
      <c r="AH52" s="49"/>
      <c r="AI52" s="49"/>
      <c r="AJ52" s="50">
        <f>IF(SUMMARY!$B$17=TRUE,IF(COUNTBLANK(AJ53:AJ56)&gt;0,0,1),"")</f>
        <v>1</v>
      </c>
      <c r="AK52" s="49"/>
      <c r="AL52" s="49"/>
      <c r="AM52" s="50">
        <f>IF(SUMMARY!$B$18=TRUE,IF(COUNTBLANK(AM53:AM56)&gt;0,0,1),"")</f>
        <v>1</v>
      </c>
      <c r="AN52" s="49"/>
      <c r="AO52" s="49"/>
      <c r="AP52" s="50" t="str">
        <f>IF(SUMMARY!$B$19=TRUE,IF(COUNTBLANK(AP53:AP56)&gt;0,0,1),"")</f>
        <v/>
      </c>
      <c r="AQ52" s="49"/>
      <c r="AR52" s="49"/>
      <c r="AS52" s="50" t="str">
        <f>IF(SUMMARY!$B$20=TRUE,IF(COUNTBLANK(AS53:AS56)&gt;0,0,1),"")</f>
        <v/>
      </c>
      <c r="AT52" s="49"/>
      <c r="AU52" s="49"/>
      <c r="AV52" s="50" t="str">
        <f>IF(SUMMARY!$B$21=TRUE,IF(COUNTBLANK(AV53:AV56)&gt;0,0,1),"")</f>
        <v/>
      </c>
      <c r="AW52" s="49"/>
      <c r="AX52" s="49"/>
      <c r="AY52" s="50" t="str">
        <f>IF(SUMMARY!$B$22=TRUE,IF(COUNTBLANK(AY53:AY56)&gt;0,0,1),"")</f>
        <v/>
      </c>
      <c r="AZ52" s="49"/>
      <c r="BA52" s="49"/>
      <c r="BB52" s="50" t="str">
        <f>IF(SUMMARY!$B$23=TRUE,IF(COUNTBLANK(BB53:BB56)&gt;0,0,1),"")</f>
        <v/>
      </c>
      <c r="BC52" s="49"/>
      <c r="BD52" s="49"/>
      <c r="BE52" s="50" t="str">
        <f>IF(SUMMARY!$B$24=TRUE,IF(COUNTBLANK(BE53:BE56)&gt;0,0,1),"")</f>
        <v/>
      </c>
      <c r="BF52" s="49"/>
      <c r="BG52" s="49"/>
      <c r="BH52" s="50" t="str">
        <f>IF(SUMMARY!$B$25=TRUE,IF(COUNTBLANK(BH53:BH56)&gt;0,0,1),"")</f>
        <v/>
      </c>
      <c r="BI52" s="49"/>
      <c r="BJ52" s="49"/>
      <c r="BK52" s="50" t="str">
        <f>IF(SUMMARY!$B$26=TRUE,IF(COUNTBLANK(BK53:BK56)&gt;0,0,1),"")</f>
        <v/>
      </c>
      <c r="BL52" s="49"/>
      <c r="BM52" s="49"/>
      <c r="BN52" s="50" t="str">
        <f>IF(SUMMARY!$B$27=TRUE,IF(COUNTBLANK(BN53:BN56)&gt;0,0,1),"")</f>
        <v/>
      </c>
      <c r="BO52" s="49"/>
      <c r="BP52" s="49"/>
      <c r="BQ52" s="50" t="str">
        <f>IF(SUMMARY!$B$28=TRUE,IF(COUNTBLANK(BQ53:BQ56)&gt;0,0,1),"")</f>
        <v/>
      </c>
      <c r="BR52" s="49"/>
      <c r="BS52" s="49"/>
      <c r="BT52" s="50" t="str">
        <f>IF(SUMMARY!$B$29=TRUE,IF(COUNTBLANK(BT53:BT56)&gt;0,0,1),"")</f>
        <v/>
      </c>
      <c r="BU52" s="49"/>
      <c r="BV52" s="49"/>
      <c r="BW52" s="50" t="str">
        <f>IF(SUMMARY!$B$30=TRUE,IF(COUNTBLANK(BW53:BW56)&gt;0,0,1),"")</f>
        <v/>
      </c>
      <c r="BX52" s="49"/>
      <c r="BY52" s="49"/>
      <c r="BZ52" s="50" t="str">
        <f>IF(SUMMARY!$B$31=TRUE,IF(COUNTBLANK(BZ53:BZ56)&gt;0,0,1),"")</f>
        <v/>
      </c>
      <c r="CA52" s="49"/>
      <c r="CB52" s="49"/>
      <c r="CC52" s="50" t="str">
        <f>IF(SUMMARY!$B$32=TRUE,IF(COUNTBLANK(CC53:CC56)&gt;0,0,1),"")</f>
        <v/>
      </c>
      <c r="CD52" s="49"/>
      <c r="CE52" s="49"/>
      <c r="CF52" s="50" t="str">
        <f>IF(SUMMARY!$B$33=TRUE,IF(COUNTBLANK(CF53:CF56)&gt;0,0,1),"")</f>
        <v/>
      </c>
      <c r="CG52" s="49"/>
      <c r="CH52" s="49"/>
      <c r="CI52" s="50" t="str">
        <f>IF(SUMMARY!$B$34=TRUE,IF(COUNTBLANK(CI53:CI56)&gt;0,0,1),"")</f>
        <v/>
      </c>
      <c r="CJ52" s="49"/>
      <c r="CK52" s="49"/>
      <c r="CL52" s="50" t="str">
        <f>IF(SUMMARY!$B$35=TRUE,IF(COUNTBLANK(CL53:CL56)&gt;0,0,1),"")</f>
        <v/>
      </c>
      <c r="CM52" s="49"/>
      <c r="CN52" s="49"/>
      <c r="CO52" s="51" t="str">
        <f>IF(SUMMARY!$B$36=TRUE,IF(COUNTBLANK(CO53:CO56)&gt;0,0,1),"")</f>
        <v/>
      </c>
      <c r="CP52" s="49"/>
      <c r="CQ52" s="49"/>
    </row>
    <row r="53" spans="1:95" s="13" customFormat="1" ht="15" customHeight="1" x14ac:dyDescent="0.2">
      <c r="A53" s="69" t="s">
        <v>32</v>
      </c>
      <c r="B53" s="69"/>
      <c r="C53" s="69"/>
      <c r="D53" s="329" t="s">
        <v>90</v>
      </c>
      <c r="E53" s="330"/>
      <c r="F53" s="294" t="s">
        <v>499</v>
      </c>
      <c r="G53" s="295"/>
      <c r="H53" s="295"/>
      <c r="I53" s="294" t="s">
        <v>501</v>
      </c>
      <c r="J53" s="295"/>
      <c r="K53" s="295"/>
      <c r="L53" s="294" t="s">
        <v>500</v>
      </c>
      <c r="M53" s="295"/>
      <c r="N53" s="295"/>
      <c r="O53" s="294" t="s">
        <v>295</v>
      </c>
      <c r="P53" s="295"/>
      <c r="Q53" s="295"/>
      <c r="R53" s="294" t="s">
        <v>499</v>
      </c>
      <c r="S53" s="295"/>
      <c r="T53" s="295"/>
      <c r="U53" s="294" t="s">
        <v>295</v>
      </c>
      <c r="V53" s="295"/>
      <c r="W53" s="295"/>
      <c r="X53" s="294" t="s">
        <v>498</v>
      </c>
      <c r="Y53" s="295"/>
      <c r="Z53" s="295"/>
      <c r="AA53" s="294" t="s">
        <v>91</v>
      </c>
      <c r="AB53" s="295"/>
      <c r="AC53" s="295"/>
      <c r="AD53" s="294" t="s">
        <v>501</v>
      </c>
      <c r="AE53" s="295"/>
      <c r="AF53" s="295"/>
      <c r="AG53" s="294" t="s">
        <v>501</v>
      </c>
      <c r="AH53" s="295"/>
      <c r="AI53" s="295"/>
      <c r="AJ53" s="294" t="s">
        <v>295</v>
      </c>
      <c r="AK53" s="295"/>
      <c r="AL53" s="295"/>
      <c r="AM53" s="294" t="s">
        <v>498</v>
      </c>
      <c r="AN53" s="295"/>
      <c r="AO53" s="295"/>
      <c r="AP53" s="294"/>
      <c r="AQ53" s="295"/>
      <c r="AR53" s="295"/>
      <c r="AS53" s="294"/>
      <c r="AT53" s="295"/>
      <c r="AU53" s="295"/>
      <c r="AV53" s="294"/>
      <c r="AW53" s="295"/>
      <c r="AX53" s="295"/>
      <c r="AY53" s="294"/>
      <c r="AZ53" s="295"/>
      <c r="BA53" s="295"/>
      <c r="BB53" s="294"/>
      <c r="BC53" s="295"/>
      <c r="BD53" s="295"/>
      <c r="BE53" s="294"/>
      <c r="BF53" s="295"/>
      <c r="BG53" s="295"/>
      <c r="BH53" s="294"/>
      <c r="BI53" s="295"/>
      <c r="BJ53" s="295"/>
      <c r="BK53" s="294"/>
      <c r="BL53" s="295"/>
      <c r="BM53" s="295"/>
      <c r="BN53" s="294"/>
      <c r="BO53" s="295"/>
      <c r="BP53" s="295"/>
      <c r="BQ53" s="294"/>
      <c r="BR53" s="295"/>
      <c r="BS53" s="295"/>
      <c r="BT53" s="294"/>
      <c r="BU53" s="295"/>
      <c r="BV53" s="295"/>
      <c r="BW53" s="294"/>
      <c r="BX53" s="295"/>
      <c r="BY53" s="295"/>
      <c r="BZ53" s="294"/>
      <c r="CA53" s="295"/>
      <c r="CB53" s="295"/>
      <c r="CC53" s="294"/>
      <c r="CD53" s="295"/>
      <c r="CE53" s="295"/>
      <c r="CF53" s="294"/>
      <c r="CG53" s="295"/>
      <c r="CH53" s="295"/>
      <c r="CI53" s="294"/>
      <c r="CJ53" s="295"/>
      <c r="CK53" s="295"/>
      <c r="CL53" s="294"/>
      <c r="CM53" s="295"/>
      <c r="CN53" s="295"/>
      <c r="CO53" s="294"/>
      <c r="CP53" s="295"/>
      <c r="CQ53" s="295"/>
    </row>
    <row r="54" spans="1:95" s="13" customFormat="1" ht="15" customHeight="1" x14ac:dyDescent="0.2">
      <c r="A54" s="62"/>
      <c r="B54" s="62"/>
      <c r="C54" s="62" t="s">
        <v>32</v>
      </c>
      <c r="D54" s="327" t="s">
        <v>92</v>
      </c>
      <c r="E54" s="328"/>
      <c r="F54" s="288" t="s">
        <v>95</v>
      </c>
      <c r="G54" s="289"/>
      <c r="H54" s="289"/>
      <c r="I54" s="288" t="s">
        <v>95</v>
      </c>
      <c r="J54" s="289"/>
      <c r="K54" s="289"/>
      <c r="L54" s="288" t="s">
        <v>95</v>
      </c>
      <c r="M54" s="289"/>
      <c r="N54" s="289"/>
      <c r="O54" s="288" t="s">
        <v>62</v>
      </c>
      <c r="P54" s="289"/>
      <c r="Q54" s="289"/>
      <c r="R54" s="288" t="s">
        <v>62</v>
      </c>
      <c r="S54" s="289"/>
      <c r="T54" s="289"/>
      <c r="U54" s="288" t="s">
        <v>95</v>
      </c>
      <c r="V54" s="289"/>
      <c r="W54" s="289"/>
      <c r="X54" s="288" t="s">
        <v>95</v>
      </c>
      <c r="Y54" s="289"/>
      <c r="Z54" s="289"/>
      <c r="AA54" s="288" t="s">
        <v>95</v>
      </c>
      <c r="AB54" s="289"/>
      <c r="AC54" s="289"/>
      <c r="AD54" s="288" t="s">
        <v>62</v>
      </c>
      <c r="AE54" s="289"/>
      <c r="AF54" s="289"/>
      <c r="AG54" s="288" t="s">
        <v>46</v>
      </c>
      <c r="AH54" s="289"/>
      <c r="AI54" s="289"/>
      <c r="AJ54" s="288" t="s">
        <v>95</v>
      </c>
      <c r="AK54" s="289"/>
      <c r="AL54" s="289"/>
      <c r="AM54" s="288" t="s">
        <v>95</v>
      </c>
      <c r="AN54" s="289"/>
      <c r="AO54" s="289"/>
      <c r="AP54" s="288"/>
      <c r="AQ54" s="289"/>
      <c r="AR54" s="289"/>
      <c r="AS54" s="288"/>
      <c r="AT54" s="289"/>
      <c r="AU54" s="289"/>
      <c r="AV54" s="288"/>
      <c r="AW54" s="289"/>
      <c r="AX54" s="289"/>
      <c r="AY54" s="288"/>
      <c r="AZ54" s="289"/>
      <c r="BA54" s="289"/>
      <c r="BB54" s="288"/>
      <c r="BC54" s="289"/>
      <c r="BD54" s="289"/>
      <c r="BE54" s="288"/>
      <c r="BF54" s="289"/>
      <c r="BG54" s="289"/>
      <c r="BH54" s="288"/>
      <c r="BI54" s="289"/>
      <c r="BJ54" s="289"/>
      <c r="BK54" s="288"/>
      <c r="BL54" s="289"/>
      <c r="BM54" s="289"/>
      <c r="BN54" s="288"/>
      <c r="BO54" s="289"/>
      <c r="BP54" s="289"/>
      <c r="BQ54" s="288"/>
      <c r="BR54" s="289"/>
      <c r="BS54" s="289"/>
      <c r="BT54" s="288"/>
      <c r="BU54" s="289"/>
      <c r="BV54" s="289"/>
      <c r="BW54" s="288"/>
      <c r="BX54" s="289"/>
      <c r="BY54" s="289"/>
      <c r="BZ54" s="288"/>
      <c r="CA54" s="289"/>
      <c r="CB54" s="289"/>
      <c r="CC54" s="288"/>
      <c r="CD54" s="289"/>
      <c r="CE54" s="289"/>
      <c r="CF54" s="288"/>
      <c r="CG54" s="289"/>
      <c r="CH54" s="289"/>
      <c r="CI54" s="288"/>
      <c r="CJ54" s="289"/>
      <c r="CK54" s="289"/>
      <c r="CL54" s="288"/>
      <c r="CM54" s="289"/>
      <c r="CN54" s="289"/>
      <c r="CO54" s="288"/>
      <c r="CP54" s="289"/>
      <c r="CQ54" s="289"/>
    </row>
    <row r="55" spans="1:95" s="13" customFormat="1" ht="15" customHeight="1" x14ac:dyDescent="0.2">
      <c r="A55" s="62"/>
      <c r="B55" s="62"/>
      <c r="C55" s="62" t="s">
        <v>32</v>
      </c>
      <c r="D55" s="327" t="s">
        <v>96</v>
      </c>
      <c r="E55" s="328"/>
      <c r="F55" s="288" t="s">
        <v>255</v>
      </c>
      <c r="G55" s="289"/>
      <c r="H55" s="289"/>
      <c r="I55" s="288" t="s">
        <v>345</v>
      </c>
      <c r="J55" s="289"/>
      <c r="K55" s="289"/>
      <c r="L55" s="288" t="s">
        <v>345</v>
      </c>
      <c r="M55" s="289"/>
      <c r="N55" s="289"/>
      <c r="O55" s="288" t="s">
        <v>46</v>
      </c>
      <c r="P55" s="289"/>
      <c r="Q55" s="289"/>
      <c r="R55" s="288" t="s">
        <v>46</v>
      </c>
      <c r="S55" s="289"/>
      <c r="T55" s="289"/>
      <c r="U55" s="288" t="s">
        <v>62</v>
      </c>
      <c r="V55" s="289"/>
      <c r="W55" s="289"/>
      <c r="X55" s="288" t="s">
        <v>62</v>
      </c>
      <c r="Y55" s="289"/>
      <c r="Z55" s="289"/>
      <c r="AA55" s="288" t="s">
        <v>255</v>
      </c>
      <c r="AB55" s="289"/>
      <c r="AC55" s="289"/>
      <c r="AD55" s="288" t="s">
        <v>325</v>
      </c>
      <c r="AE55" s="289"/>
      <c r="AF55" s="289"/>
      <c r="AG55" s="288" t="s">
        <v>46</v>
      </c>
      <c r="AH55" s="289"/>
      <c r="AI55" s="289"/>
      <c r="AJ55" s="288" t="s">
        <v>46</v>
      </c>
      <c r="AK55" s="289"/>
      <c r="AL55" s="289"/>
      <c r="AM55" s="288" t="s">
        <v>46</v>
      </c>
      <c r="AN55" s="289"/>
      <c r="AO55" s="289"/>
      <c r="AP55" s="288"/>
      <c r="AQ55" s="289"/>
      <c r="AR55" s="289"/>
      <c r="AS55" s="288"/>
      <c r="AT55" s="289"/>
      <c r="AU55" s="289"/>
      <c r="AV55" s="288"/>
      <c r="AW55" s="289"/>
      <c r="AX55" s="289"/>
      <c r="AY55" s="288"/>
      <c r="AZ55" s="289"/>
      <c r="BA55" s="289"/>
      <c r="BB55" s="288"/>
      <c r="BC55" s="289"/>
      <c r="BD55" s="289"/>
      <c r="BE55" s="288"/>
      <c r="BF55" s="289"/>
      <c r="BG55" s="289"/>
      <c r="BH55" s="288"/>
      <c r="BI55" s="289"/>
      <c r="BJ55" s="289"/>
      <c r="BK55" s="288"/>
      <c r="BL55" s="289"/>
      <c r="BM55" s="289"/>
      <c r="BN55" s="288"/>
      <c r="BO55" s="289"/>
      <c r="BP55" s="289"/>
      <c r="BQ55" s="288"/>
      <c r="BR55" s="289"/>
      <c r="BS55" s="289"/>
      <c r="BT55" s="288"/>
      <c r="BU55" s="289"/>
      <c r="BV55" s="289"/>
      <c r="BW55" s="288"/>
      <c r="BX55" s="289"/>
      <c r="BY55" s="289"/>
      <c r="BZ55" s="288"/>
      <c r="CA55" s="289"/>
      <c r="CB55" s="289"/>
      <c r="CC55" s="288"/>
      <c r="CD55" s="289"/>
      <c r="CE55" s="289"/>
      <c r="CF55" s="288"/>
      <c r="CG55" s="289"/>
      <c r="CH55" s="289"/>
      <c r="CI55" s="288"/>
      <c r="CJ55" s="289"/>
      <c r="CK55" s="289"/>
      <c r="CL55" s="288"/>
      <c r="CM55" s="289"/>
      <c r="CN55" s="289"/>
      <c r="CO55" s="288"/>
      <c r="CP55" s="289"/>
      <c r="CQ55" s="289"/>
    </row>
    <row r="56" spans="1:95" s="13" customFormat="1" ht="15" customHeight="1" x14ac:dyDescent="0.2">
      <c r="A56" s="58"/>
      <c r="B56" s="58" t="s">
        <v>32</v>
      </c>
      <c r="C56" s="58" t="s">
        <v>32</v>
      </c>
      <c r="D56" s="331" t="s">
        <v>100</v>
      </c>
      <c r="E56" s="332"/>
      <c r="F56" s="290" t="s">
        <v>51</v>
      </c>
      <c r="G56" s="291"/>
      <c r="H56" s="291"/>
      <c r="I56" s="290" t="s">
        <v>46</v>
      </c>
      <c r="J56" s="291"/>
      <c r="K56" s="291"/>
      <c r="L56" s="290" t="s">
        <v>46</v>
      </c>
      <c r="M56" s="291"/>
      <c r="N56" s="291"/>
      <c r="O56" s="290" t="s">
        <v>46</v>
      </c>
      <c r="P56" s="291"/>
      <c r="Q56" s="291"/>
      <c r="R56" s="290" t="s">
        <v>46</v>
      </c>
      <c r="S56" s="291"/>
      <c r="T56" s="291"/>
      <c r="U56" s="290" t="s">
        <v>46</v>
      </c>
      <c r="V56" s="291"/>
      <c r="W56" s="291"/>
      <c r="X56" s="290" t="s">
        <v>46</v>
      </c>
      <c r="Y56" s="291"/>
      <c r="Z56" s="291"/>
      <c r="AA56" s="290" t="s">
        <v>46</v>
      </c>
      <c r="AB56" s="291"/>
      <c r="AC56" s="291"/>
      <c r="AD56" s="290" t="s">
        <v>72</v>
      </c>
      <c r="AE56" s="291"/>
      <c r="AF56" s="291"/>
      <c r="AG56" s="290" t="s">
        <v>72</v>
      </c>
      <c r="AH56" s="291"/>
      <c r="AI56" s="291"/>
      <c r="AJ56" s="290" t="s">
        <v>51</v>
      </c>
      <c r="AK56" s="291"/>
      <c r="AL56" s="291"/>
      <c r="AM56" s="290" t="s">
        <v>67</v>
      </c>
      <c r="AN56" s="291"/>
      <c r="AO56" s="291"/>
      <c r="AP56" s="290"/>
      <c r="AQ56" s="291"/>
      <c r="AR56" s="291"/>
      <c r="AS56" s="290"/>
      <c r="AT56" s="291"/>
      <c r="AU56" s="291"/>
      <c r="AV56" s="290"/>
      <c r="AW56" s="291"/>
      <c r="AX56" s="291"/>
      <c r="AY56" s="290"/>
      <c r="AZ56" s="291"/>
      <c r="BA56" s="291"/>
      <c r="BB56" s="290"/>
      <c r="BC56" s="291"/>
      <c r="BD56" s="291"/>
      <c r="BE56" s="290"/>
      <c r="BF56" s="291"/>
      <c r="BG56" s="291"/>
      <c r="BH56" s="290"/>
      <c r="BI56" s="291"/>
      <c r="BJ56" s="291"/>
      <c r="BK56" s="290"/>
      <c r="BL56" s="291"/>
      <c r="BM56" s="291"/>
      <c r="BN56" s="290"/>
      <c r="BO56" s="291"/>
      <c r="BP56" s="291"/>
      <c r="BQ56" s="290"/>
      <c r="BR56" s="291"/>
      <c r="BS56" s="291"/>
      <c r="BT56" s="290"/>
      <c r="BU56" s="291"/>
      <c r="BV56" s="291"/>
      <c r="BW56" s="290"/>
      <c r="BX56" s="291"/>
      <c r="BY56" s="291"/>
      <c r="BZ56" s="290"/>
      <c r="CA56" s="291"/>
      <c r="CB56" s="291"/>
      <c r="CC56" s="290"/>
      <c r="CD56" s="291"/>
      <c r="CE56" s="291"/>
      <c r="CF56" s="290"/>
      <c r="CG56" s="291"/>
      <c r="CH56" s="291"/>
      <c r="CI56" s="290"/>
      <c r="CJ56" s="291"/>
      <c r="CK56" s="291"/>
      <c r="CL56" s="290"/>
      <c r="CM56" s="291"/>
      <c r="CN56" s="291"/>
      <c r="CO56" s="290"/>
      <c r="CP56" s="291"/>
      <c r="CQ56" s="291"/>
    </row>
    <row r="57" spans="1:95" s="1" customFormat="1" ht="18.75" customHeight="1" x14ac:dyDescent="0.2">
      <c r="A57" s="335" t="s">
        <v>101</v>
      </c>
      <c r="B57" s="335"/>
      <c r="C57" s="335"/>
      <c r="D57" s="335"/>
      <c r="E57" s="335"/>
      <c r="F57" s="48">
        <f>IF(SUMMARY!$B$7=TRUE,IF(COUNTBLANK(F58)+COUNTBLANK(F64)+COUNTBLANK(F71)&gt;0,0,1),"")</f>
        <v>1</v>
      </c>
      <c r="G57" s="49"/>
      <c r="H57" s="49"/>
      <c r="I57" s="50">
        <f>IF(SUMMARY!$B$8=TRUE,IF(COUNTBLANK(I58)+COUNTBLANK(I64)+COUNTBLANK(I71)&gt;0,0,1),"")</f>
        <v>1</v>
      </c>
      <c r="J57" s="49"/>
      <c r="K57" s="49"/>
      <c r="L57" s="50">
        <f>IF(SUMMARY!$B$9=TRUE,IF(COUNTBLANK(L58)+COUNTBLANK(L64)+COUNTBLANK(L71)&gt;0,0,1),"")</f>
        <v>1</v>
      </c>
      <c r="M57" s="49"/>
      <c r="N57" s="49"/>
      <c r="O57" s="50">
        <f>IF(SUMMARY!$B$10=TRUE,IF(COUNTBLANK(O58)+COUNTBLANK(O64)+COUNTBLANK(O71)&gt;0,0,1),"")</f>
        <v>1</v>
      </c>
      <c r="P57" s="49"/>
      <c r="Q57" s="49"/>
      <c r="R57" s="50">
        <f>IF(SUMMARY!$B$11=TRUE,IF(COUNTBLANK(R58)+COUNTBLANK(R64)+COUNTBLANK(R71)&gt;0,0,1),"")</f>
        <v>1</v>
      </c>
      <c r="S57" s="49"/>
      <c r="T57" s="49"/>
      <c r="U57" s="50">
        <f>IF(SUMMARY!$B$12=TRUE,IF(COUNTBLANK(U58)+COUNTBLANK(U64)+COUNTBLANK(U71)&gt;0,0,1),"")</f>
        <v>1</v>
      </c>
      <c r="V57" s="49"/>
      <c r="W57" s="49"/>
      <c r="X57" s="50">
        <f>IF(SUMMARY!$B$13=TRUE,IF(COUNTBLANK(X58)+COUNTBLANK(X64)+COUNTBLANK(X71)&gt;0,0,1),"")</f>
        <v>1</v>
      </c>
      <c r="Y57" s="49"/>
      <c r="Z57" s="49"/>
      <c r="AA57" s="50">
        <f>IF(SUMMARY!$B$14=TRUE,IF(COUNTBLANK(AA58)+COUNTBLANK(AA64)+COUNTBLANK(AA71)&gt;0,0,1),"")</f>
        <v>1</v>
      </c>
      <c r="AB57" s="49"/>
      <c r="AC57" s="49"/>
      <c r="AD57" s="50">
        <f>IF(SUMMARY!$B$15=TRUE,IF(COUNTBLANK(AD58)+COUNTBLANK(AD64)+COUNTBLANK(AD71)&gt;0,0,1),"")</f>
        <v>1</v>
      </c>
      <c r="AE57" s="49"/>
      <c r="AF57" s="49"/>
      <c r="AG57" s="50">
        <f>IF(SUMMARY!$B$16=TRUE,IF(COUNTBLANK(AG58)+COUNTBLANK(AG64)+COUNTBLANK(AG71)&gt;0,0,1),"")</f>
        <v>1</v>
      </c>
      <c r="AH57" s="49"/>
      <c r="AI57" s="49"/>
      <c r="AJ57" s="50">
        <f>IF(SUMMARY!$B$17=TRUE,IF(COUNTBLANK(AJ58)+COUNTBLANK(AJ64)+COUNTBLANK(AJ71)&gt;0,0,1),"")</f>
        <v>1</v>
      </c>
      <c r="AK57" s="49"/>
      <c r="AL57" s="49"/>
      <c r="AM57" s="50">
        <f>IF(SUMMARY!$B$18=TRUE,IF(COUNTBLANK(AM58)+COUNTBLANK(AM64)+COUNTBLANK(AM71)&gt;0,0,1),"")</f>
        <v>1</v>
      </c>
      <c r="AN57" s="49"/>
      <c r="AO57" s="49"/>
      <c r="AP57" s="50" t="str">
        <f>IF(SUMMARY!$B$19=TRUE,IF(COUNTBLANK(AP58)+COUNTBLANK(AP64)+COUNTBLANK(AP71)&gt;0,0,1),"")</f>
        <v/>
      </c>
      <c r="AQ57" s="49"/>
      <c r="AR57" s="49"/>
      <c r="AS57" s="50" t="str">
        <f>IF(SUMMARY!$B$20=TRUE,IF(COUNTBLANK(AS58)+COUNTBLANK(AS64)+COUNTBLANK(AS71)&gt;0,0,1),"")</f>
        <v/>
      </c>
      <c r="AT57" s="49"/>
      <c r="AU57" s="49"/>
      <c r="AV57" s="50" t="str">
        <f>IF(SUMMARY!$B$21=TRUE,IF(COUNTBLANK(AV58)+COUNTBLANK(AV64)+COUNTBLANK(AV71)&gt;0,0,1),"")</f>
        <v/>
      </c>
      <c r="AW57" s="49"/>
      <c r="AX57" s="49"/>
      <c r="AY57" s="50" t="str">
        <f>IF(SUMMARY!$B$22=TRUE,IF(COUNTBLANK(AY58)+COUNTBLANK(AY64)+COUNTBLANK(AY71)&gt;0,0,1),"")</f>
        <v/>
      </c>
      <c r="AZ57" s="49"/>
      <c r="BA57" s="49"/>
      <c r="BB57" s="50" t="str">
        <f>IF(SUMMARY!$B$23=TRUE,IF(COUNTBLANK(BB58)+COUNTBLANK(BB64)+COUNTBLANK(BB71)&gt;0,0,1),"")</f>
        <v/>
      </c>
      <c r="BC57" s="49"/>
      <c r="BD57" s="49"/>
      <c r="BE57" s="50" t="str">
        <f>IF(SUMMARY!$B$24=TRUE,IF(COUNTBLANK(BE58)+COUNTBLANK(BE64)+COUNTBLANK(BE71)&gt;0,0,1),"")</f>
        <v/>
      </c>
      <c r="BF57" s="49"/>
      <c r="BG57" s="49"/>
      <c r="BH57" s="50" t="str">
        <f>IF(SUMMARY!$B$25=TRUE,IF(COUNTBLANK(BH58)+COUNTBLANK(BH64)+COUNTBLANK(BH71)&gt;0,0,1),"")</f>
        <v/>
      </c>
      <c r="BI57" s="49"/>
      <c r="BJ57" s="49"/>
      <c r="BK57" s="50" t="str">
        <f>IF(SUMMARY!$B$26=TRUE,IF(COUNTBLANK(BK58)+COUNTBLANK(BK64)+COUNTBLANK(BK71)&gt;0,0,1),"")</f>
        <v/>
      </c>
      <c r="BL57" s="49"/>
      <c r="BM57" s="49"/>
      <c r="BN57" s="50" t="str">
        <f>IF(SUMMARY!$B$27=TRUE,IF(COUNTBLANK(BN58)+COUNTBLANK(BN64)+COUNTBLANK(BN71)&gt;0,0,1),"")</f>
        <v/>
      </c>
      <c r="BO57" s="49"/>
      <c r="BP57" s="49"/>
      <c r="BQ57" s="50" t="str">
        <f>IF(SUMMARY!$B$28=TRUE,IF(COUNTBLANK(BQ58)+COUNTBLANK(BQ64)+COUNTBLANK(BQ71)&gt;0,0,1),"")</f>
        <v/>
      </c>
      <c r="BR57" s="49"/>
      <c r="BS57" s="49"/>
      <c r="BT57" s="50" t="str">
        <f>IF(SUMMARY!$B$29=TRUE,IF(COUNTBLANK(BT58)+COUNTBLANK(BT64)+COUNTBLANK(BT71)&gt;0,0,1),"")</f>
        <v/>
      </c>
      <c r="BU57" s="49"/>
      <c r="BV57" s="49"/>
      <c r="BW57" s="50" t="str">
        <f>IF(SUMMARY!$B$30=TRUE,IF(COUNTBLANK(BW58)+COUNTBLANK(BW64)+COUNTBLANK(BW71)&gt;0,0,1),"")</f>
        <v/>
      </c>
      <c r="BX57" s="49"/>
      <c r="BY57" s="49"/>
      <c r="BZ57" s="50" t="str">
        <f>IF(SUMMARY!$B$31=TRUE,IF(COUNTBLANK(BZ58)+COUNTBLANK(BZ64)+COUNTBLANK(BZ71)&gt;0,0,1),"")</f>
        <v/>
      </c>
      <c r="CA57" s="49"/>
      <c r="CB57" s="49"/>
      <c r="CC57" s="50" t="str">
        <f>IF(SUMMARY!$B$32=TRUE,IF(COUNTBLANK(CC58)+COUNTBLANK(CC64)+COUNTBLANK(CC71)&gt;0,0,1),"")</f>
        <v/>
      </c>
      <c r="CD57" s="49"/>
      <c r="CE57" s="49"/>
      <c r="CF57" s="50" t="str">
        <f>IF(SUMMARY!$B$33=TRUE,IF(COUNTBLANK(CF58)+COUNTBLANK(CF64)+COUNTBLANK(CF71)&gt;0,0,1),"")</f>
        <v/>
      </c>
      <c r="CG57" s="49"/>
      <c r="CH57" s="49"/>
      <c r="CI57" s="50" t="str">
        <f>IF(SUMMARY!$B$34=TRUE,IF(COUNTBLANK(CI58)+COUNTBLANK(CI64)+COUNTBLANK(CI71)&gt;0,0,1),"")</f>
        <v/>
      </c>
      <c r="CJ57" s="49"/>
      <c r="CK57" s="49"/>
      <c r="CL57" s="50" t="str">
        <f>IF(SUMMARY!$B$35=TRUE,IF(COUNTBLANK(CL58)+COUNTBLANK(CL64)+COUNTBLANK(CL71)&gt;0,0,1),"")</f>
        <v/>
      </c>
      <c r="CM57" s="49"/>
      <c r="CN57" s="49"/>
      <c r="CO57" s="51" t="str">
        <f>IF(SUMMARY!$B$36=TRUE,IF(COUNTBLANK(CO58)+COUNTBLANK(CO64)+COUNTBLANK(CO71)&gt;0,0,1),"")</f>
        <v/>
      </c>
      <c r="CP57" s="49"/>
      <c r="CQ57" s="49"/>
    </row>
    <row r="58" spans="1:95" s="13" customFormat="1" ht="15" customHeight="1" x14ac:dyDescent="0.2">
      <c r="A58" s="69"/>
      <c r="B58" s="69" t="s">
        <v>32</v>
      </c>
      <c r="C58" s="69"/>
      <c r="D58" s="329" t="s">
        <v>102</v>
      </c>
      <c r="E58" s="330"/>
      <c r="F58" s="305" t="str">
        <f>IF(RIGHT(IF(OR(F59="",F60="",F61="",F62=""),"",IF(CONCATENATE(IF(F59="Yes","Calibration plot / ",""),IF(F60="Yes","Slope / ",""),IF(F61="Yes","CITL / ",""),IF(F62="Yes","HL test / ",""),IF(F63="Yes",H63,""))="","Not evaluated",CONCATENATE(IF(F59="Yes","Calibration plot / ",""),IF(F60="Yes","Slope / ",""),IF(F61="Yes","CITL / ",""),IF(F62="Yes","HL test / ",""),IF(F63="Yes",H63,"")))),2)="/ ",LEFT(IF(OR(F59="",F60="",F61="",F62=""),"",IF(CONCATENATE(IF(F59="Yes","Calibration plot / ",""),IF(F60="Yes","Slope / ",""),IF(F61="Yes","CITL / ",""),IF(F62="Yes","HL test / ",""),IF(F63="Yes",H63,""))="","Not evaluated",CONCATENATE(IF(F59="Yes","Calibration plot / ",""),IF(F60="Yes","Slope / ",""),IF(F61="Yes","CITL / ",""),IF(F62="Yes","HL test / ",""),IF(F63="Yes",H63,"")))),LEN(IF(OR(F59="",F60="",F61="",F62=""),"",IF(CONCATENATE(IF(F59="Yes","Calibration plot / ",""),IF(F60="Yes","Slope / ",""),IF(F61="Yes","CITL / ",""),IF(F62="Yes","HL test / ",""),IF(F63="Yes",H63,""))="","Not evaluated",CONCATENATE(IF(F59="Yes","Calibration plot / ",""),IF(F60="Yes","Slope / ",""),IF(F61="Yes","CITL / ",""),IF(F62="Yes","HL test / ",""),IF(F63="Yes",H63,"")))))-2),IF(OR(F59="",F60="",F61="",F62=""),"",IF(CONCATENATE(IF(F59="Yes","Calibration plot / ",""),IF(F60="Yes","Slope / ",""),IF(F61="Yes","CITL / ",""),IF(F62="Yes","HL test / ",""),IF(F63="Yes",H63,""))="","Not evaluated",CONCATENATE(IF(F59="Yes","Calibration plot / ",""),IF(F60="Yes","Slope / ",""),IF(F61="Yes","CITL / ",""),IF(F62="Yes","HL test / ",""),IF(F63="Yes",H63,"")))))</f>
        <v>Not evaluated</v>
      </c>
      <c r="G58" s="306"/>
      <c r="H58" s="306"/>
      <c r="I58" s="305" t="str">
        <f>IF(RIGHT(IF(OR(I59="",I60="",I61="",I62=""),"",IF(CONCATENATE(IF(I59="Yes","Calibration plot / ",""),IF(I60="Yes","Slope / ",""),IF(I61="Yes","CITL / ",""),IF(I62="Yes","HL test / ",""),IF(I63="Yes",K63,""))="","Not evaluated",CONCATENATE(IF(I59="Yes","Calibration plot / ",""),IF(I60="Yes","Slope / ",""),IF(I61="Yes","CITL / ",""),IF(I62="Yes","HL test / ",""),IF(I63="Yes",K63,"")))),2)="/ ",LEFT(IF(OR(I59="",I60="",I61="",I62=""),"",IF(CONCATENATE(IF(I59="Yes","Calibration plot / ",""),IF(I60="Yes","Slope / ",""),IF(I61="Yes","CITL / ",""),IF(I62="Yes","HL test / ",""),IF(I63="Yes",K63,""))="","Not evaluated",CONCATENATE(IF(I59="Yes","Calibration plot / ",""),IF(I60="Yes","Slope / ",""),IF(I61="Yes","CITL / ",""),IF(I62="Yes","HL test / ",""),IF(I63="Yes",K63,"")))),LEN(IF(OR(I59="",I60="",I61="",I62=""),"",IF(CONCATENATE(IF(I59="Yes","Calibration plot / ",""),IF(I60="Yes","Slope / ",""),IF(I61="Yes","CITL / ",""),IF(I62="Yes","HL test / ",""),IF(I63="Yes",K63,""))="","Not evaluated",CONCATENATE(IF(I59="Yes","Calibration plot / ",""),IF(I60="Yes","Slope / ",""),IF(I61="Yes","CITL / ",""),IF(I62="Yes","HL test / ",""),IF(I63="Yes",K63,"")))))-2),IF(OR(I59="",I60="",I61="",I62=""),"",IF(CONCATENATE(IF(I59="Yes","Calibration plot / ",""),IF(I60="Yes","Slope / ",""),IF(I61="Yes","CITL / ",""),IF(I62="Yes","HL test / ",""),IF(I63="Yes",K63,""))="","Not evaluated",CONCATENATE(IF(I59="Yes","Calibration plot / ",""),IF(I60="Yes","Slope / ",""),IF(I61="Yes","CITL / ",""),IF(I62="Yes","HL test / ",""),IF(I63="Yes",K63,"")))))</f>
        <v>F1 Score (0.288, 0.286 - 0.290)</v>
      </c>
      <c r="J58" s="306"/>
      <c r="K58" s="306"/>
      <c r="L58" s="305" t="str">
        <f>IF(RIGHT(IF(OR(L59="",L60="",L61="",L62=""),"",IF(CONCATENATE(IF(L59="Yes","Calibration plot / ",""),IF(L60="Yes","Slope / ",""),IF(L61="Yes","CITL / ",""),IF(L62="Yes","HL test / ",""),IF(L63="Yes",N63,""))="","Not evaluated",CONCATENATE(IF(L59="Yes","Calibration plot / ",""),IF(L60="Yes","Slope / ",""),IF(L61="Yes","CITL / ",""),IF(L62="Yes","HL test / ",""),IF(L63="Yes",N63,"")))),2)="/ ",LEFT(IF(OR(L59="",L60="",L61="",L62=""),"",IF(CONCATENATE(IF(L59="Yes","Calibration plot / ",""),IF(L60="Yes","Slope / ",""),IF(L61="Yes","CITL / ",""),IF(L62="Yes","HL test / ",""),IF(L63="Yes",N63,""))="","Not evaluated",CONCATENATE(IF(L59="Yes","Calibration plot / ",""),IF(L60="Yes","Slope / ",""),IF(L61="Yes","CITL / ",""),IF(L62="Yes","HL test / ",""),IF(L63="Yes",N63,"")))),LEN(IF(OR(L59="",L60="",L61="",L62=""),"",IF(CONCATENATE(IF(L59="Yes","Calibration plot / ",""),IF(L60="Yes","Slope / ",""),IF(L61="Yes","CITL / ",""),IF(L62="Yes","HL test / ",""),IF(L63="Yes",N63,""))="","Not evaluated",CONCATENATE(IF(L59="Yes","Calibration plot / ",""),IF(L60="Yes","Slope / ",""),IF(L61="Yes","CITL / ",""),IF(L62="Yes","HL test / ",""),IF(L63="Yes",N63,"")))))-2),IF(OR(L59="",L60="",L61="",L62=""),"",IF(CONCATENATE(IF(L59="Yes","Calibration plot / ",""),IF(L60="Yes","Slope / ",""),IF(L61="Yes","CITL / ",""),IF(L62="Yes","HL test / ",""),IF(L63="Yes",N63,""))="","Not evaluated",CONCATENATE(IF(L59="Yes","Calibration plot / ",""),IF(L60="Yes","Slope / ",""),IF(L61="Yes","CITL / ",""),IF(L62="Yes","HL test / ",""),IF(L63="Yes",N63,"")))))</f>
        <v>F1 Core (0.299, 0.297 - 0.301)</v>
      </c>
      <c r="M58" s="306"/>
      <c r="N58" s="306"/>
      <c r="O58" s="305" t="str">
        <f>IF(RIGHT(IF(OR(O59="",O60="",O61="",O62=""),"",IF(CONCATENATE(IF(O59="Yes","Calibration plot / ",""),IF(O60="Yes","Slope / ",""),IF(O61="Yes","CITL / ",""),IF(O62="Yes","HL test / ",""),IF(O63="Yes",Q63,""))="","Not evaluated",CONCATENATE(IF(O59="Yes","Calibration plot / ",""),IF(O60="Yes","Slope / ",""),IF(O61="Yes","CITL / ",""),IF(O62="Yes","HL test / ",""),IF(O63="Yes",Q63,"")))),2)="/ ",LEFT(IF(OR(O59="",O60="",O61="",O62=""),"",IF(CONCATENATE(IF(O59="Yes","Calibration plot / ",""),IF(O60="Yes","Slope / ",""),IF(O61="Yes","CITL / ",""),IF(O62="Yes","HL test / ",""),IF(O63="Yes",Q63,""))="","Not evaluated",CONCATENATE(IF(O59="Yes","Calibration plot / ",""),IF(O60="Yes","Slope / ",""),IF(O61="Yes","CITL / ",""),IF(O62="Yes","HL test / ",""),IF(O63="Yes",Q63,"")))),LEN(IF(OR(O59="",O60="",O61="",O62=""),"",IF(CONCATENATE(IF(O59="Yes","Calibration plot / ",""),IF(O60="Yes","Slope / ",""),IF(O61="Yes","CITL / ",""),IF(O62="Yes","HL test / ",""),IF(O63="Yes",Q63,""))="","Not evaluated",CONCATENATE(IF(O59="Yes","Calibration plot / ",""),IF(O60="Yes","Slope / ",""),IF(O61="Yes","CITL / ",""),IF(O62="Yes","HL test / ",""),IF(O63="Yes",Q63,"")))))-2),IF(OR(O59="",O60="",O61="",O62=""),"",IF(CONCATENATE(IF(O59="Yes","Calibration plot / ",""),IF(O60="Yes","Slope / ",""),IF(O61="Yes","CITL / ",""),IF(O62="Yes","HL test / ",""),IF(O63="Yes",Q63,""))="","Not evaluated",CONCATENATE(IF(O59="Yes","Calibration plot / ",""),IF(O60="Yes","Slope / ",""),IF(O61="Yes","CITL / ",""),IF(O62="Yes","HL test / ",""),IF(O63="Yes",Q63,"")))))</f>
        <v>Not evaluated</v>
      </c>
      <c r="P58" s="306"/>
      <c r="Q58" s="306"/>
      <c r="R58" s="305" t="str">
        <f>IF(RIGHT(IF(OR(R59="",R60="",R61="",R62=""),"",IF(CONCATENATE(IF(R59="Yes","Calibration plot / ",""),IF(R60="Yes","Slope / ",""),IF(R61="Yes","CITL / ",""),IF(R62="Yes","HL test / ",""),IF(R63="Yes",T63,""))="","Not evaluated",CONCATENATE(IF(R59="Yes","Calibration plot / ",""),IF(R60="Yes","Slope / ",""),IF(R61="Yes","CITL / ",""),IF(R62="Yes","HL test / ",""),IF(R63="Yes",T63,"")))),2)="/ ",LEFT(IF(OR(R59="",R60="",R61="",R62=""),"",IF(CONCATENATE(IF(R59="Yes","Calibration plot / ",""),IF(R60="Yes","Slope / ",""),IF(R61="Yes","CITL / ",""),IF(R62="Yes","HL test / ",""),IF(R63="Yes",T63,""))="","Not evaluated",CONCATENATE(IF(R59="Yes","Calibration plot / ",""),IF(R60="Yes","Slope / ",""),IF(R61="Yes","CITL / ",""),IF(R62="Yes","HL test / ",""),IF(R63="Yes",T63,"")))),LEN(IF(OR(R59="",R60="",R61="",R62=""),"",IF(CONCATENATE(IF(R59="Yes","Calibration plot / ",""),IF(R60="Yes","Slope / ",""),IF(R61="Yes","CITL / ",""),IF(R62="Yes","HL test / ",""),IF(R63="Yes",T63,""))="","Not evaluated",CONCATENATE(IF(R59="Yes","Calibration plot / ",""),IF(R60="Yes","Slope / ",""),IF(R61="Yes","CITL / ",""),IF(R62="Yes","HL test / ",""),IF(R63="Yes",T63,"")))))-2),IF(OR(R59="",R60="",R61="",R62=""),"",IF(CONCATENATE(IF(R59="Yes","Calibration plot / ",""),IF(R60="Yes","Slope / ",""),IF(R61="Yes","CITL / ",""),IF(R62="Yes","HL test / ",""),IF(R63="Yes",T63,""))="","Not evaluated",CONCATENATE(IF(R59="Yes","Calibration plot / ",""),IF(R60="Yes","Slope / ",""),IF(R61="Yes","CITL / ",""),IF(R62="Yes","HL test / ",""),IF(R63="Yes",T63,"")))))</f>
        <v>Not evaluated</v>
      </c>
      <c r="S58" s="306"/>
      <c r="T58" s="306"/>
      <c r="U58" s="305" t="str">
        <f>IF(RIGHT(IF(OR(U59="",U60="",U61="",U62=""),"",IF(CONCATENATE(IF(U59="Yes","Calibration plot / ",""),IF(U60="Yes","Slope / ",""),IF(U61="Yes","CITL / ",""),IF(U62="Yes","HL test / ",""),IF(U63="Yes",W63,""))="","Not evaluated",CONCATENATE(IF(U59="Yes","Calibration plot / ",""),IF(U60="Yes","Slope / ",""),IF(U61="Yes","CITL / ",""),IF(U62="Yes","HL test / ",""),IF(U63="Yes",W63,"")))),2)="/ ",LEFT(IF(OR(U59="",U60="",U61="",U62=""),"",IF(CONCATENATE(IF(U59="Yes","Calibration plot / ",""),IF(U60="Yes","Slope / ",""),IF(U61="Yes","CITL / ",""),IF(U62="Yes","HL test / ",""),IF(U63="Yes",W63,""))="","Not evaluated",CONCATENATE(IF(U59="Yes","Calibration plot / ",""),IF(U60="Yes","Slope / ",""),IF(U61="Yes","CITL / ",""),IF(U62="Yes","HL test / ",""),IF(U63="Yes",W63,"")))),LEN(IF(OR(U59="",U60="",U61="",U62=""),"",IF(CONCATENATE(IF(U59="Yes","Calibration plot / ",""),IF(U60="Yes","Slope / ",""),IF(U61="Yes","CITL / ",""),IF(U62="Yes","HL test / ",""),IF(U63="Yes",W63,""))="","Not evaluated",CONCATENATE(IF(U59="Yes","Calibration plot / ",""),IF(U60="Yes","Slope / ",""),IF(U61="Yes","CITL / ",""),IF(U62="Yes","HL test / ",""),IF(U63="Yes",W63,"")))))-2),IF(OR(U59="",U60="",U61="",U62=""),"",IF(CONCATENATE(IF(U59="Yes","Calibration plot / ",""),IF(U60="Yes","Slope / ",""),IF(U61="Yes","CITL / ",""),IF(U62="Yes","HL test / ",""),IF(U63="Yes",W63,""))="","Not evaluated",CONCATENATE(IF(U59="Yes","Calibration plot / ",""),IF(U60="Yes","Slope / ",""),IF(U61="Yes","CITL / ",""),IF(U62="Yes","HL test / ",""),IF(U63="Yes",W63,"")))))</f>
        <v>Not evaluated</v>
      </c>
      <c r="V58" s="306"/>
      <c r="W58" s="306"/>
      <c r="X58" s="305" t="str">
        <f>IF(RIGHT(IF(OR(X59="",X60="",X61="",X62=""),"",IF(CONCATENATE(IF(X59="Yes","Calibration plot / ",""),IF(X60="Yes","Slope / ",""),IF(X61="Yes","CITL / ",""),IF(X62="Yes","HL test / ",""),IF(X63="Yes",Z63,""))="","Not evaluated",CONCATENATE(IF(X59="Yes","Calibration plot / ",""),IF(X60="Yes","Slope / ",""),IF(X61="Yes","CITL / ",""),IF(X62="Yes","HL test / ",""),IF(X63="Yes",Z63,"")))),2)="/ ",LEFT(IF(OR(X59="",X60="",X61="",X62=""),"",IF(CONCATENATE(IF(X59="Yes","Calibration plot / ",""),IF(X60="Yes","Slope / ",""),IF(X61="Yes","CITL / ",""),IF(X62="Yes","HL test / ",""),IF(X63="Yes",Z63,""))="","Not evaluated",CONCATENATE(IF(X59="Yes","Calibration plot / ",""),IF(X60="Yes","Slope / ",""),IF(X61="Yes","CITL / ",""),IF(X62="Yes","HL test / ",""),IF(X63="Yes",Z63,"")))),LEN(IF(OR(X59="",X60="",X61="",X62=""),"",IF(CONCATENATE(IF(X59="Yes","Calibration plot / ",""),IF(X60="Yes","Slope / ",""),IF(X61="Yes","CITL / ",""),IF(X62="Yes","HL test / ",""),IF(X63="Yes",Z63,""))="","Not evaluated",CONCATENATE(IF(X59="Yes","Calibration plot / ",""),IF(X60="Yes","Slope / ",""),IF(X61="Yes","CITL / ",""),IF(X62="Yes","HL test / ",""),IF(X63="Yes",Z63,"")))))-2),IF(OR(X59="",X60="",X61="",X62=""),"",IF(CONCATENATE(IF(X59="Yes","Calibration plot / ",""),IF(X60="Yes","Slope / ",""),IF(X61="Yes","CITL / ",""),IF(X62="Yes","HL test / ",""),IF(X63="Yes",Z63,""))="","Not evaluated",CONCATENATE(IF(X59="Yes","Calibration plot / ",""),IF(X60="Yes","Slope / ",""),IF(X61="Yes","CITL / ",""),IF(X62="Yes","HL test / ",""),IF(X63="Yes",Z63,"")))))</f>
        <v>Not evaluated</v>
      </c>
      <c r="Y58" s="306"/>
      <c r="Z58" s="306"/>
      <c r="AA58" s="305" t="str">
        <f>IF(RIGHT(IF(OR(AA59="",AA60="",AA61="",AA62=""),"",IF(CONCATENATE(IF(AA59="Yes","Calibration plot / ",""),IF(AA60="Yes","Slope / ",""),IF(AA61="Yes","CITL / ",""),IF(AA62="Yes","HL test / ",""),IF(AA63="Yes",AC63,""))="","Not evaluated",CONCATENATE(IF(AA59="Yes","Calibration plot / ",""),IF(AA60="Yes","Slope / ",""),IF(AA61="Yes","CITL / ",""),IF(AA62="Yes","HL test / ",""),IF(AA63="Yes",AC63,"")))),2)="/ ",LEFT(IF(OR(AA59="",AA60="",AA61="",AA62=""),"",IF(CONCATENATE(IF(AA59="Yes","Calibration plot / ",""),IF(AA60="Yes","Slope / ",""),IF(AA61="Yes","CITL / ",""),IF(AA62="Yes","HL test / ",""),IF(AA63="Yes",AC63,""))="","Not evaluated",CONCATENATE(IF(AA59="Yes","Calibration plot / ",""),IF(AA60="Yes","Slope / ",""),IF(AA61="Yes","CITL / ",""),IF(AA62="Yes","HL test / ",""),IF(AA63="Yes",AC63,"")))),LEN(IF(OR(AA59="",AA60="",AA61="",AA62=""),"",IF(CONCATENATE(IF(AA59="Yes","Calibration plot / ",""),IF(AA60="Yes","Slope / ",""),IF(AA61="Yes","CITL / ",""),IF(AA62="Yes","HL test / ",""),IF(AA63="Yes",AC63,""))="","Not evaluated",CONCATENATE(IF(AA59="Yes","Calibration plot / ",""),IF(AA60="Yes","Slope / ",""),IF(AA61="Yes","CITL / ",""),IF(AA62="Yes","HL test / ",""),IF(AA63="Yes",AC63,"")))))-2),IF(OR(AA59="",AA60="",AA61="",AA62=""),"",IF(CONCATENATE(IF(AA59="Yes","Calibration plot / ",""),IF(AA60="Yes","Slope / ",""),IF(AA61="Yes","CITL / ",""),IF(AA62="Yes","HL test / ",""),IF(AA63="Yes",AC63,""))="","Not evaluated",CONCATENATE(IF(AA59="Yes","Calibration plot / ",""),IF(AA60="Yes","Slope / ",""),IF(AA61="Yes","CITL / ",""),IF(AA62="Yes","HL test / ",""),IF(AA63="Yes",AC63,"")))))</f>
        <v>Not evaluated</v>
      </c>
      <c r="AB58" s="306"/>
      <c r="AC58" s="306"/>
      <c r="AD58" s="305" t="str">
        <f>IF(RIGHT(IF(OR(AD59="",AD60="",AD61="",AD62=""),"",IF(CONCATENATE(IF(AD59="Yes","Calibration plot / ",""),IF(AD60="Yes","Slope / ",""),IF(AD61="Yes","CITL / ",""),IF(AD62="Yes","HL test / ",""),IF(AD63="Yes",AF63,""))="","Not evaluated",CONCATENATE(IF(AD59="Yes","Calibration plot / ",""),IF(AD60="Yes","Slope / ",""),IF(AD61="Yes","CITL / ",""),IF(AD62="Yes","HL test / ",""),IF(AD63="Yes",AF63,"")))),2)="/ ",LEFT(IF(OR(AD59="",AD60="",AD61="",AD62=""),"",IF(CONCATENATE(IF(AD59="Yes","Calibration plot / ",""),IF(AD60="Yes","Slope / ",""),IF(AD61="Yes","CITL / ",""),IF(AD62="Yes","HL test / ",""),IF(AD63="Yes",AF63,""))="","Not evaluated",CONCATENATE(IF(AD59="Yes","Calibration plot / ",""),IF(AD60="Yes","Slope / ",""),IF(AD61="Yes","CITL / ",""),IF(AD62="Yes","HL test / ",""),IF(AD63="Yes",AF63,"")))),LEN(IF(OR(AD59="",AD60="",AD61="",AD62=""),"",IF(CONCATENATE(IF(AD59="Yes","Calibration plot / ",""),IF(AD60="Yes","Slope / ",""),IF(AD61="Yes","CITL / ",""),IF(AD62="Yes","HL test / ",""),IF(AD63="Yes",AF63,""))="","Not evaluated",CONCATENATE(IF(AD59="Yes","Calibration plot / ",""),IF(AD60="Yes","Slope / ",""),IF(AD61="Yes","CITL / ",""),IF(AD62="Yes","HL test / ",""),IF(AD63="Yes",AF63,"")))))-2),IF(OR(AD59="",AD60="",AD61="",AD62=""),"",IF(CONCATENATE(IF(AD59="Yes","Calibration plot / ",""),IF(AD60="Yes","Slope / ",""),IF(AD61="Yes","CITL / ",""),IF(AD62="Yes","HL test / ",""),IF(AD63="Yes",AF63,""))="","Not evaluated",CONCATENATE(IF(AD59="Yes","Calibration plot / ",""),IF(AD60="Yes","Slope / ",""),IF(AD61="Yes","CITL / ",""),IF(AD62="Yes","HL test / ",""),IF(AD63="Yes",AF63,"")))))</f>
        <v>F1 Score (0.29)</v>
      </c>
      <c r="AE58" s="306"/>
      <c r="AF58" s="306"/>
      <c r="AG58" s="305" t="str">
        <f>IF(RIGHT(IF(OR(AG59="",AG60="",AG61="",AG62=""),"",IF(CONCATENATE(IF(AG59="Yes","Calibration plot / ",""),IF(AG60="Yes","Slope / ",""),IF(AG61="Yes","CITL / ",""),IF(AG62="Yes","HL test / ",""),IF(AG63="Yes",AI63,""))="","Not evaluated",CONCATENATE(IF(AG59="Yes","Calibration plot / ",""),IF(AG60="Yes","Slope / ",""),IF(AG61="Yes","CITL / ",""),IF(AG62="Yes","HL test / ",""),IF(AG63="Yes",AI63,"")))),2)="/ ",LEFT(IF(OR(AG59="",AG60="",AG61="",AG62=""),"",IF(CONCATENATE(IF(AG59="Yes","Calibration plot / ",""),IF(AG60="Yes","Slope / ",""),IF(AG61="Yes","CITL / ",""),IF(AG62="Yes","HL test / ",""),IF(AG63="Yes",AI63,""))="","Not evaluated",CONCATENATE(IF(AG59="Yes","Calibration plot / ",""),IF(AG60="Yes","Slope / ",""),IF(AG61="Yes","CITL / ",""),IF(AG62="Yes","HL test / ",""),IF(AG63="Yes",AI63,"")))),LEN(IF(OR(AG59="",AG60="",AG61="",AG62=""),"",IF(CONCATENATE(IF(AG59="Yes","Calibration plot / ",""),IF(AG60="Yes","Slope / ",""),IF(AG61="Yes","CITL / ",""),IF(AG62="Yes","HL test / ",""),IF(AG63="Yes",AI63,""))="","Not evaluated",CONCATENATE(IF(AG59="Yes","Calibration plot / ",""),IF(AG60="Yes","Slope / ",""),IF(AG61="Yes","CITL / ",""),IF(AG62="Yes","HL test / ",""),IF(AG63="Yes",AI63,"")))))-2),IF(OR(AG59="",AG60="",AG61="",AG62=""),"",IF(CONCATENATE(IF(AG59="Yes","Calibration plot / ",""),IF(AG60="Yes","Slope / ",""),IF(AG61="Yes","CITL / ",""),IF(AG62="Yes","HL test / ",""),IF(AG63="Yes",AI63,""))="","Not evaluated",CONCATENATE(IF(AG59="Yes","Calibration plot / ",""),IF(AG60="Yes","Slope / ",""),IF(AG61="Yes","CITL / ",""),IF(AG62="Yes","HL test / ",""),IF(AG63="Yes",AI63,"")))))</f>
        <v>Not evaluated</v>
      </c>
      <c r="AH58" s="306"/>
      <c r="AI58" s="306"/>
      <c r="AJ58" s="305" t="str">
        <f>IF(RIGHT(IF(OR(AJ59="",AJ60="",AJ61="",AJ62=""),"",IF(CONCATENATE(IF(AJ59="Yes","Calibration plot / ",""),IF(AJ60="Yes","Slope / ",""),IF(AJ61="Yes","CITL / ",""),IF(AJ62="Yes","HL test / ",""),IF(AJ63="Yes",AL63,""))="","Not evaluated",CONCATENATE(IF(AJ59="Yes","Calibration plot / ",""),IF(AJ60="Yes","Slope / ",""),IF(AJ61="Yes","CITL / ",""),IF(AJ62="Yes","HL test / ",""),IF(AJ63="Yes",AL63,"")))),2)="/ ",LEFT(IF(OR(AJ59="",AJ60="",AJ61="",AJ62=""),"",IF(CONCATENATE(IF(AJ59="Yes","Calibration plot / ",""),IF(AJ60="Yes","Slope / ",""),IF(AJ61="Yes","CITL / ",""),IF(AJ62="Yes","HL test / ",""),IF(AJ63="Yes",AL63,""))="","Not evaluated",CONCATENATE(IF(AJ59="Yes","Calibration plot / ",""),IF(AJ60="Yes","Slope / ",""),IF(AJ61="Yes","CITL / ",""),IF(AJ62="Yes","HL test / ",""),IF(AJ63="Yes",AL63,"")))),LEN(IF(OR(AJ59="",AJ60="",AJ61="",AJ62=""),"",IF(CONCATENATE(IF(AJ59="Yes","Calibration plot / ",""),IF(AJ60="Yes","Slope / ",""),IF(AJ61="Yes","CITL / ",""),IF(AJ62="Yes","HL test / ",""),IF(AJ63="Yes",AL63,""))="","Not evaluated",CONCATENATE(IF(AJ59="Yes","Calibration plot / ",""),IF(AJ60="Yes","Slope / ",""),IF(AJ61="Yes","CITL / ",""),IF(AJ62="Yes","HL test / ",""),IF(AJ63="Yes",AL63,"")))))-2),IF(OR(AJ59="",AJ60="",AJ61="",AJ62=""),"",IF(CONCATENATE(IF(AJ59="Yes","Calibration plot / ",""),IF(AJ60="Yes","Slope / ",""),IF(AJ61="Yes","CITL / ",""),IF(AJ62="Yes","HL test / ",""),IF(AJ63="Yes",AL63,""))="","Not evaluated",CONCATENATE(IF(AJ59="Yes","Calibration plot / ",""),IF(AJ60="Yes","Slope / ",""),IF(AJ61="Yes","CITL / ",""),IF(AJ62="Yes","HL test / ",""),IF(AJ63="Yes",AL63,"")))))</f>
        <v>Not evaluated</v>
      </c>
      <c r="AK58" s="306"/>
      <c r="AL58" s="306"/>
      <c r="AM58" s="305" t="str">
        <f>IF(RIGHT(IF(OR(AM59="",AM60="",AM61="",AM62=""),"",IF(CONCATENATE(IF(AM59="Yes","Calibration plot / ",""),IF(AM60="Yes","Slope / ",""),IF(AM61="Yes","CITL / ",""),IF(AM62="Yes","HL test / ",""),IF(AM63="Yes",AO63,""))="","Not evaluated",CONCATENATE(IF(AM59="Yes","Calibration plot / ",""),IF(AM60="Yes","Slope / ",""),IF(AM61="Yes","CITL / ",""),IF(AM62="Yes","HL test / ",""),IF(AM63="Yes",AO63,"")))),2)="/ ",LEFT(IF(OR(AM59="",AM60="",AM61="",AM62=""),"",IF(CONCATENATE(IF(AM59="Yes","Calibration plot / ",""),IF(AM60="Yes","Slope / ",""),IF(AM61="Yes","CITL / ",""),IF(AM62="Yes","HL test / ",""),IF(AM63="Yes",AO63,""))="","Not evaluated",CONCATENATE(IF(AM59="Yes","Calibration plot / ",""),IF(AM60="Yes","Slope / ",""),IF(AM61="Yes","CITL / ",""),IF(AM62="Yes","HL test / ",""),IF(AM63="Yes",AO63,"")))),LEN(IF(OR(AM59="",AM60="",AM61="",AM62=""),"",IF(CONCATENATE(IF(AM59="Yes","Calibration plot / ",""),IF(AM60="Yes","Slope / ",""),IF(AM61="Yes","CITL / ",""),IF(AM62="Yes","HL test / ",""),IF(AM63="Yes",AO63,""))="","Not evaluated",CONCATENATE(IF(AM59="Yes","Calibration plot / ",""),IF(AM60="Yes","Slope / ",""),IF(AM61="Yes","CITL / ",""),IF(AM62="Yes","HL test / ",""),IF(AM63="Yes",AO63,"")))))-2),IF(OR(AM59="",AM60="",AM61="",AM62=""),"",IF(CONCATENATE(IF(AM59="Yes","Calibration plot / ",""),IF(AM60="Yes","Slope / ",""),IF(AM61="Yes","CITL / ",""),IF(AM62="Yes","HL test / ",""),IF(AM63="Yes",AO63,""))="","Not evaluated",CONCATENATE(IF(AM59="Yes","Calibration plot / ",""),IF(AM60="Yes","Slope / ",""),IF(AM61="Yes","CITL / ",""),IF(AM62="Yes","HL test / ",""),IF(AM63="Yes",AO63,"")))))</f>
        <v>Not evaluated</v>
      </c>
      <c r="AN58" s="306"/>
      <c r="AO58" s="306"/>
      <c r="AP58" s="305" t="str">
        <f>IF(RIGHT(IF(OR(AP59="",AP60="",AP61="",AP62=""),"",IF(CONCATENATE(IF(AP59="Yes","Calibration plot / ",""),IF(AP60="Yes","Slope / ",""),IF(AP61="Yes","CITL / ",""),IF(AP62="Yes","HL test / ",""),IF(AP63="Yes",AR63,""))="","Not evaluated",CONCATENATE(IF(AP59="Yes","Calibration plot / ",""),IF(AP60="Yes","Slope / ",""),IF(AP61="Yes","CITL / ",""),IF(AP62="Yes","HL test / ",""),IF(AP63="Yes",AR63,"")))),2)="/ ",LEFT(IF(OR(AP59="",AP60="",AP61="",AP62=""),"",IF(CONCATENATE(IF(AP59="Yes","Calibration plot / ",""),IF(AP60="Yes","Slope / ",""),IF(AP61="Yes","CITL / ",""),IF(AP62="Yes","HL test / ",""),IF(AP63="Yes",AR63,""))="","Not evaluated",CONCATENATE(IF(AP59="Yes","Calibration plot / ",""),IF(AP60="Yes","Slope / ",""),IF(AP61="Yes","CITL / ",""),IF(AP62="Yes","HL test / ",""),IF(AP63="Yes",AR63,"")))),LEN(IF(OR(AP59="",AP60="",AP61="",AP62=""),"",IF(CONCATENATE(IF(AP59="Yes","Calibration plot / ",""),IF(AP60="Yes","Slope / ",""),IF(AP61="Yes","CITL / ",""),IF(AP62="Yes","HL test / ",""),IF(AP63="Yes",AR63,""))="","Not evaluated",CONCATENATE(IF(AP59="Yes","Calibration plot / ",""),IF(AP60="Yes","Slope / ",""),IF(AP61="Yes","CITL / ",""),IF(AP62="Yes","HL test / ",""),IF(AP63="Yes",AR63,"")))))-2),IF(OR(AP59="",AP60="",AP61="",AP62=""),"",IF(CONCATENATE(IF(AP59="Yes","Calibration plot / ",""),IF(AP60="Yes","Slope / ",""),IF(AP61="Yes","CITL / ",""),IF(AP62="Yes","HL test / ",""),IF(AP63="Yes",AR63,""))="","Not evaluated",CONCATENATE(IF(AP59="Yes","Calibration plot / ",""),IF(AP60="Yes","Slope / ",""),IF(AP61="Yes","CITL / ",""),IF(AP62="Yes","HL test / ",""),IF(AP63="Yes",AR63,"")))))</f>
        <v/>
      </c>
      <c r="AQ58" s="306"/>
      <c r="AR58" s="306"/>
      <c r="AS58" s="305" t="str">
        <f>IF(RIGHT(IF(OR(AS59="",AS60="",AS61="",AS62=""),"",IF(CONCATENATE(IF(AS59="Yes","Calibration plot / ",""),IF(AS60="Yes","Slope / ",""),IF(AS61="Yes","CITL / ",""),IF(AS62="Yes","HL test / ",""),IF(AS63="Yes",AU63,""))="","Not evaluated",CONCATENATE(IF(AS59="Yes","Calibration plot / ",""),IF(AS60="Yes","Slope / ",""),IF(AS61="Yes","CITL / ",""),IF(AS62="Yes","HL test / ",""),IF(AS63="Yes",AU63,"")))),2)="/ ",LEFT(IF(OR(AS59="",AS60="",AS61="",AS62=""),"",IF(CONCATENATE(IF(AS59="Yes","Calibration plot / ",""),IF(AS60="Yes","Slope / ",""),IF(AS61="Yes","CITL / ",""),IF(AS62="Yes","HL test / ",""),IF(AS63="Yes",AU63,""))="","Not evaluated",CONCATENATE(IF(AS59="Yes","Calibration plot / ",""),IF(AS60="Yes","Slope / ",""),IF(AS61="Yes","CITL / ",""),IF(AS62="Yes","HL test / ",""),IF(AS63="Yes",AU63,"")))),LEN(IF(OR(AS59="",AS60="",AS61="",AS62=""),"",IF(CONCATENATE(IF(AS59="Yes","Calibration plot / ",""),IF(AS60="Yes","Slope / ",""),IF(AS61="Yes","CITL / ",""),IF(AS62="Yes","HL test / ",""),IF(AS63="Yes",AU63,""))="","Not evaluated",CONCATENATE(IF(AS59="Yes","Calibration plot / ",""),IF(AS60="Yes","Slope / ",""),IF(AS61="Yes","CITL / ",""),IF(AS62="Yes","HL test / ",""),IF(AS63="Yes",AU63,"")))))-2),IF(OR(AS59="",AS60="",AS61="",AS62=""),"",IF(CONCATENATE(IF(AS59="Yes","Calibration plot / ",""),IF(AS60="Yes","Slope / ",""),IF(AS61="Yes","CITL / ",""),IF(AS62="Yes","HL test / ",""),IF(AS63="Yes",AU63,""))="","Not evaluated",CONCATENATE(IF(AS59="Yes","Calibration plot / ",""),IF(AS60="Yes","Slope / ",""),IF(AS61="Yes","CITL / ",""),IF(AS62="Yes","HL test / ",""),IF(AS63="Yes",AU63,"")))))</f>
        <v/>
      </c>
      <c r="AT58" s="306"/>
      <c r="AU58" s="306"/>
      <c r="AV58" s="305" t="str">
        <f>IF(RIGHT(IF(OR(AV59="",AV60="",AV61="",AV62=""),"",IF(CONCATENATE(IF(AV59="Yes","Calibration plot / ",""),IF(AV60="Yes","Slope / ",""),IF(AV61="Yes","CITL / ",""),IF(AV62="Yes","HL test / ",""),IF(AV63="Yes",AX63,""))="","Not evaluated",CONCATENATE(IF(AV59="Yes","Calibration plot / ",""),IF(AV60="Yes","Slope / ",""),IF(AV61="Yes","CITL / ",""),IF(AV62="Yes","HL test / ",""),IF(AV63="Yes",AX63,"")))),2)="/ ",LEFT(IF(OR(AV59="",AV60="",AV61="",AV62=""),"",IF(CONCATENATE(IF(AV59="Yes","Calibration plot / ",""),IF(AV60="Yes","Slope / ",""),IF(AV61="Yes","CITL / ",""),IF(AV62="Yes","HL test / ",""),IF(AV63="Yes",AX63,""))="","Not evaluated",CONCATENATE(IF(AV59="Yes","Calibration plot / ",""),IF(AV60="Yes","Slope / ",""),IF(AV61="Yes","CITL / ",""),IF(AV62="Yes","HL test / ",""),IF(AV63="Yes",AX63,"")))),LEN(IF(OR(AV59="",AV60="",AV61="",AV62=""),"",IF(CONCATENATE(IF(AV59="Yes","Calibration plot / ",""),IF(AV60="Yes","Slope / ",""),IF(AV61="Yes","CITL / ",""),IF(AV62="Yes","HL test / ",""),IF(AV63="Yes",AX63,""))="","Not evaluated",CONCATENATE(IF(AV59="Yes","Calibration plot / ",""),IF(AV60="Yes","Slope / ",""),IF(AV61="Yes","CITL / ",""),IF(AV62="Yes","HL test / ",""),IF(AV63="Yes",AX63,"")))))-2),IF(OR(AV59="",AV60="",AV61="",AV62=""),"",IF(CONCATENATE(IF(AV59="Yes","Calibration plot / ",""),IF(AV60="Yes","Slope / ",""),IF(AV61="Yes","CITL / ",""),IF(AV62="Yes","HL test / ",""),IF(AV63="Yes",AX63,""))="","Not evaluated",CONCATENATE(IF(AV59="Yes","Calibration plot / ",""),IF(AV60="Yes","Slope / ",""),IF(AV61="Yes","CITL / ",""),IF(AV62="Yes","HL test / ",""),IF(AV63="Yes",AX63,"")))))</f>
        <v/>
      </c>
      <c r="AW58" s="306"/>
      <c r="AX58" s="306"/>
      <c r="AY58" s="305" t="str">
        <f>IF(RIGHT(IF(OR(AY59="",AY60="",AY61="",AY62=""),"",IF(CONCATENATE(IF(AY59="Yes","Calibration plot / ",""),IF(AY60="Yes","Slope / ",""),IF(AY61="Yes","CITL / ",""),IF(AY62="Yes","HL test / ",""),IF(AY63="Yes",BA63,""))="","Not evaluated",CONCATENATE(IF(AY59="Yes","Calibration plot / ",""),IF(AY60="Yes","Slope / ",""),IF(AY61="Yes","CITL / ",""),IF(AY62="Yes","HL test / ",""),IF(AY63="Yes",BA63,"")))),2)="/ ",LEFT(IF(OR(AY59="",AY60="",AY61="",AY62=""),"",IF(CONCATENATE(IF(AY59="Yes","Calibration plot / ",""),IF(AY60="Yes","Slope / ",""),IF(AY61="Yes","CITL / ",""),IF(AY62="Yes","HL test / ",""),IF(AY63="Yes",BA63,""))="","Not evaluated",CONCATENATE(IF(AY59="Yes","Calibration plot / ",""),IF(AY60="Yes","Slope / ",""),IF(AY61="Yes","CITL / ",""),IF(AY62="Yes","HL test / ",""),IF(AY63="Yes",BA63,"")))),LEN(IF(OR(AY59="",AY60="",AY61="",AY62=""),"",IF(CONCATENATE(IF(AY59="Yes","Calibration plot / ",""),IF(AY60="Yes","Slope / ",""),IF(AY61="Yes","CITL / ",""),IF(AY62="Yes","HL test / ",""),IF(AY63="Yes",BA63,""))="","Not evaluated",CONCATENATE(IF(AY59="Yes","Calibration plot / ",""),IF(AY60="Yes","Slope / ",""),IF(AY61="Yes","CITL / ",""),IF(AY62="Yes","HL test / ",""),IF(AY63="Yes",BA63,"")))))-2),IF(OR(AY59="",AY60="",AY61="",AY62=""),"",IF(CONCATENATE(IF(AY59="Yes","Calibration plot / ",""),IF(AY60="Yes","Slope / ",""),IF(AY61="Yes","CITL / ",""),IF(AY62="Yes","HL test / ",""),IF(AY63="Yes",BA63,""))="","Not evaluated",CONCATENATE(IF(AY59="Yes","Calibration plot / ",""),IF(AY60="Yes","Slope / ",""),IF(AY61="Yes","CITL / ",""),IF(AY62="Yes","HL test / ",""),IF(AY63="Yes",BA63,"")))))</f>
        <v/>
      </c>
      <c r="AZ58" s="306"/>
      <c r="BA58" s="306"/>
      <c r="BB58" s="305" t="str">
        <f>IF(RIGHT(IF(OR(BB59="",BB60="",BB61="",BB62=""),"",IF(CONCATENATE(IF(BB59="Yes","Calibration plot / ",""),IF(BB60="Yes","Slope / ",""),IF(BB61="Yes","CITL / ",""),IF(BB62="Yes","HL test / ",""),IF(BB63="Yes",BD63,""))="","Not evaluated",CONCATENATE(IF(BB59="Yes","Calibration plot / ",""),IF(BB60="Yes","Slope / ",""),IF(BB61="Yes","CITL / ",""),IF(BB62="Yes","HL test / ",""),IF(BB63="Yes",BD63,"")))),2)="/ ",LEFT(IF(OR(BB59="",BB60="",BB61="",BB62=""),"",IF(CONCATENATE(IF(BB59="Yes","Calibration plot / ",""),IF(BB60="Yes","Slope / ",""),IF(BB61="Yes","CITL / ",""),IF(BB62="Yes","HL test / ",""),IF(BB63="Yes",BD63,""))="","Not evaluated",CONCATENATE(IF(BB59="Yes","Calibration plot / ",""),IF(BB60="Yes","Slope / ",""),IF(BB61="Yes","CITL / ",""),IF(BB62="Yes","HL test / ",""),IF(BB63="Yes",BD63,"")))),LEN(IF(OR(BB59="",BB60="",BB61="",BB62=""),"",IF(CONCATENATE(IF(BB59="Yes","Calibration plot / ",""),IF(BB60="Yes","Slope / ",""),IF(BB61="Yes","CITL / ",""),IF(BB62="Yes","HL test / ",""),IF(BB63="Yes",BD63,""))="","Not evaluated",CONCATENATE(IF(BB59="Yes","Calibration plot / ",""),IF(BB60="Yes","Slope / ",""),IF(BB61="Yes","CITL / ",""),IF(BB62="Yes","HL test / ",""),IF(BB63="Yes",BD63,"")))))-2),IF(OR(BB59="",BB60="",BB61="",BB62=""),"",IF(CONCATENATE(IF(BB59="Yes","Calibration plot / ",""),IF(BB60="Yes","Slope / ",""),IF(BB61="Yes","CITL / ",""),IF(BB62="Yes","HL test / ",""),IF(BB63="Yes",BD63,""))="","Not evaluated",CONCATENATE(IF(BB59="Yes","Calibration plot / ",""),IF(BB60="Yes","Slope / ",""),IF(BB61="Yes","CITL / ",""),IF(BB62="Yes","HL test / ",""),IF(BB63="Yes",BD63,"")))))</f>
        <v/>
      </c>
      <c r="BC58" s="306"/>
      <c r="BD58" s="306"/>
      <c r="BE58" s="305" t="str">
        <f>IF(RIGHT(IF(OR(BE59="",BE60="",BE61="",BE62=""),"",IF(CONCATENATE(IF(BE59="Yes","Calibration plot / ",""),IF(BE60="Yes","Slope / ",""),IF(BE61="Yes","CITL / ",""),IF(BE62="Yes","HL test / ",""),IF(BE63="Yes",BG63,""))="","Not evaluated",CONCATENATE(IF(BE59="Yes","Calibration plot / ",""),IF(BE60="Yes","Slope / ",""),IF(BE61="Yes","CITL / ",""),IF(BE62="Yes","HL test / ",""),IF(BE63="Yes",BG63,"")))),2)="/ ",LEFT(IF(OR(BE59="",BE60="",BE61="",BE62=""),"",IF(CONCATENATE(IF(BE59="Yes","Calibration plot / ",""),IF(BE60="Yes","Slope / ",""),IF(BE61="Yes","CITL / ",""),IF(BE62="Yes","HL test / ",""),IF(BE63="Yes",BG63,""))="","Not evaluated",CONCATENATE(IF(BE59="Yes","Calibration plot / ",""),IF(BE60="Yes","Slope / ",""),IF(BE61="Yes","CITL / ",""),IF(BE62="Yes","HL test / ",""),IF(BE63="Yes",BG63,"")))),LEN(IF(OR(BE59="",BE60="",BE61="",BE62=""),"",IF(CONCATENATE(IF(BE59="Yes","Calibration plot / ",""),IF(BE60="Yes","Slope / ",""),IF(BE61="Yes","CITL / ",""),IF(BE62="Yes","HL test / ",""),IF(BE63="Yes",BG63,""))="","Not evaluated",CONCATENATE(IF(BE59="Yes","Calibration plot / ",""),IF(BE60="Yes","Slope / ",""),IF(BE61="Yes","CITL / ",""),IF(BE62="Yes","HL test / ",""),IF(BE63="Yes",BG63,"")))))-2),IF(OR(BE59="",BE60="",BE61="",BE62=""),"",IF(CONCATENATE(IF(BE59="Yes","Calibration plot / ",""),IF(BE60="Yes","Slope / ",""),IF(BE61="Yes","CITL / ",""),IF(BE62="Yes","HL test / ",""),IF(BE63="Yes",BG63,""))="","Not evaluated",CONCATENATE(IF(BE59="Yes","Calibration plot / ",""),IF(BE60="Yes","Slope / ",""),IF(BE61="Yes","CITL / ",""),IF(BE62="Yes","HL test / ",""),IF(BE63="Yes",BG63,"")))))</f>
        <v/>
      </c>
      <c r="BF58" s="306"/>
      <c r="BG58" s="306"/>
      <c r="BH58" s="305" t="str">
        <f>IF(RIGHT(IF(OR(BH59="",BH60="",BH61="",BH62=""),"",IF(CONCATENATE(IF(BH59="Yes","Calibration plot / ",""),IF(BH60="Yes","Slope / ",""),IF(BH61="Yes","CITL / ",""),IF(BH62="Yes","HL test / ",""),IF(BH63="Yes",BJ63,""))="","Not evaluated",CONCATENATE(IF(BH59="Yes","Calibration plot / ",""),IF(BH60="Yes","Slope / ",""),IF(BH61="Yes","CITL / ",""),IF(BH62="Yes","HL test / ",""),IF(BH63="Yes",BJ63,"")))),2)="/ ",LEFT(IF(OR(BH59="",BH60="",BH61="",BH62=""),"",IF(CONCATENATE(IF(BH59="Yes","Calibration plot / ",""),IF(BH60="Yes","Slope / ",""),IF(BH61="Yes","CITL / ",""),IF(BH62="Yes","HL test / ",""),IF(BH63="Yes",BJ63,""))="","Not evaluated",CONCATENATE(IF(BH59="Yes","Calibration plot / ",""),IF(BH60="Yes","Slope / ",""),IF(BH61="Yes","CITL / ",""),IF(BH62="Yes","HL test / ",""),IF(BH63="Yes",BJ63,"")))),LEN(IF(OR(BH59="",BH60="",BH61="",BH62=""),"",IF(CONCATENATE(IF(BH59="Yes","Calibration plot / ",""),IF(BH60="Yes","Slope / ",""),IF(BH61="Yes","CITL / ",""),IF(BH62="Yes","HL test / ",""),IF(BH63="Yes",BJ63,""))="","Not evaluated",CONCATENATE(IF(BH59="Yes","Calibration plot / ",""),IF(BH60="Yes","Slope / ",""),IF(BH61="Yes","CITL / ",""),IF(BH62="Yes","HL test / ",""),IF(BH63="Yes",BJ63,"")))))-2),IF(OR(BH59="",BH60="",BH61="",BH62=""),"",IF(CONCATENATE(IF(BH59="Yes","Calibration plot / ",""),IF(BH60="Yes","Slope / ",""),IF(BH61="Yes","CITL / ",""),IF(BH62="Yes","HL test / ",""),IF(BH63="Yes",BJ63,""))="","Not evaluated",CONCATENATE(IF(BH59="Yes","Calibration plot / ",""),IF(BH60="Yes","Slope / ",""),IF(BH61="Yes","CITL / ",""),IF(BH62="Yes","HL test / ",""),IF(BH63="Yes",BJ63,"")))))</f>
        <v/>
      </c>
      <c r="BI58" s="306"/>
      <c r="BJ58" s="306"/>
      <c r="BK58" s="305" t="str">
        <f>IF(RIGHT(IF(OR(BK59="",BK60="",BK61="",BK62=""),"",IF(CONCATENATE(IF(BK59="Yes","Calibration plot / ",""),IF(BK60="Yes","Slope / ",""),IF(BK61="Yes","CITL / ",""),IF(BK62="Yes","HL test / ",""),IF(BK63="Yes",BM63,""))="","Not evaluated",CONCATENATE(IF(BK59="Yes","Calibration plot / ",""),IF(BK60="Yes","Slope / ",""),IF(BK61="Yes","CITL / ",""),IF(BK62="Yes","HL test / ",""),IF(BK63="Yes",BM63,"")))),2)="/ ",LEFT(IF(OR(BK59="",BK60="",BK61="",BK62=""),"",IF(CONCATENATE(IF(BK59="Yes","Calibration plot / ",""),IF(BK60="Yes","Slope / ",""),IF(BK61="Yes","CITL / ",""),IF(BK62="Yes","HL test / ",""),IF(BK63="Yes",BM63,""))="","Not evaluated",CONCATENATE(IF(BK59="Yes","Calibration plot / ",""),IF(BK60="Yes","Slope / ",""),IF(BK61="Yes","CITL / ",""),IF(BK62="Yes","HL test / ",""),IF(BK63="Yes",BM63,"")))),LEN(IF(OR(BK59="",BK60="",BK61="",BK62=""),"",IF(CONCATENATE(IF(BK59="Yes","Calibration plot / ",""),IF(BK60="Yes","Slope / ",""),IF(BK61="Yes","CITL / ",""),IF(BK62="Yes","HL test / ",""),IF(BK63="Yes",BM63,""))="","Not evaluated",CONCATENATE(IF(BK59="Yes","Calibration plot / ",""),IF(BK60="Yes","Slope / ",""),IF(BK61="Yes","CITL / ",""),IF(BK62="Yes","HL test / ",""),IF(BK63="Yes",BM63,"")))))-2),IF(OR(BK59="",BK60="",BK61="",BK62=""),"",IF(CONCATENATE(IF(BK59="Yes","Calibration plot / ",""),IF(BK60="Yes","Slope / ",""),IF(BK61="Yes","CITL / ",""),IF(BK62="Yes","HL test / ",""),IF(BK63="Yes",BM63,""))="","Not evaluated",CONCATENATE(IF(BK59="Yes","Calibration plot / ",""),IF(BK60="Yes","Slope / ",""),IF(BK61="Yes","CITL / ",""),IF(BK62="Yes","HL test / ",""),IF(BK63="Yes",BM63,"")))))</f>
        <v/>
      </c>
      <c r="BL58" s="306"/>
      <c r="BM58" s="306"/>
      <c r="BN58" s="305" t="str">
        <f>IF(RIGHT(IF(OR(BN59="",BN60="",BN61="",BN62=""),"",IF(CONCATENATE(IF(BN59="Yes","Calibration plot / ",""),IF(BN60="Yes","Slope / ",""),IF(BN61="Yes","CITL / ",""),IF(BN62="Yes","HL test / ",""),IF(BN63="Yes",BP63,""))="","Not evaluated",CONCATENATE(IF(BN59="Yes","Calibration plot / ",""),IF(BN60="Yes","Slope / ",""),IF(BN61="Yes","CITL / ",""),IF(BN62="Yes","HL test / ",""),IF(BN63="Yes",BP63,"")))),2)="/ ",LEFT(IF(OR(BN59="",BN60="",BN61="",BN62=""),"",IF(CONCATENATE(IF(BN59="Yes","Calibration plot / ",""),IF(BN60="Yes","Slope / ",""),IF(BN61="Yes","CITL / ",""),IF(BN62="Yes","HL test / ",""),IF(BN63="Yes",BP63,""))="","Not evaluated",CONCATENATE(IF(BN59="Yes","Calibration plot / ",""),IF(BN60="Yes","Slope / ",""),IF(BN61="Yes","CITL / ",""),IF(BN62="Yes","HL test / ",""),IF(BN63="Yes",BP63,"")))),LEN(IF(OR(BN59="",BN60="",BN61="",BN62=""),"",IF(CONCATENATE(IF(BN59="Yes","Calibration plot / ",""),IF(BN60="Yes","Slope / ",""),IF(BN61="Yes","CITL / ",""),IF(BN62="Yes","HL test / ",""),IF(BN63="Yes",BP63,""))="","Not evaluated",CONCATENATE(IF(BN59="Yes","Calibration plot / ",""),IF(BN60="Yes","Slope / ",""),IF(BN61="Yes","CITL / ",""),IF(BN62="Yes","HL test / ",""),IF(BN63="Yes",BP63,"")))))-2),IF(OR(BN59="",BN60="",BN61="",BN62=""),"",IF(CONCATENATE(IF(BN59="Yes","Calibration plot / ",""),IF(BN60="Yes","Slope / ",""),IF(BN61="Yes","CITL / ",""),IF(BN62="Yes","HL test / ",""),IF(BN63="Yes",BP63,""))="","Not evaluated",CONCATENATE(IF(BN59="Yes","Calibration plot / ",""),IF(BN60="Yes","Slope / ",""),IF(BN61="Yes","CITL / ",""),IF(BN62="Yes","HL test / ",""),IF(BN63="Yes",BP63,"")))))</f>
        <v/>
      </c>
      <c r="BO58" s="306"/>
      <c r="BP58" s="306"/>
      <c r="BQ58" s="305" t="str">
        <f>IF(RIGHT(IF(OR(BQ59="",BQ60="",BQ61="",BQ62=""),"",IF(CONCATENATE(IF(BQ59="Yes","Calibration plot / ",""),IF(BQ60="Yes","Slope / ",""),IF(BQ61="Yes","CITL / ",""),IF(BQ62="Yes","HL test / ",""),IF(BQ63="Yes",BS63,""))="","Not evaluated",CONCATENATE(IF(BQ59="Yes","Calibration plot / ",""),IF(BQ60="Yes","Slope / ",""),IF(BQ61="Yes","CITL / ",""),IF(BQ62="Yes","HL test / ",""),IF(BQ63="Yes",BS63,"")))),2)="/ ",LEFT(IF(OR(BQ59="",BQ60="",BQ61="",BQ62=""),"",IF(CONCATENATE(IF(BQ59="Yes","Calibration plot / ",""),IF(BQ60="Yes","Slope / ",""),IF(BQ61="Yes","CITL / ",""),IF(BQ62="Yes","HL test / ",""),IF(BQ63="Yes",BS63,""))="","Not evaluated",CONCATENATE(IF(BQ59="Yes","Calibration plot / ",""),IF(BQ60="Yes","Slope / ",""),IF(BQ61="Yes","CITL / ",""),IF(BQ62="Yes","HL test / ",""),IF(BQ63="Yes",BS63,"")))),LEN(IF(OR(BQ59="",BQ60="",BQ61="",BQ62=""),"",IF(CONCATENATE(IF(BQ59="Yes","Calibration plot / ",""),IF(BQ60="Yes","Slope / ",""),IF(BQ61="Yes","CITL / ",""),IF(BQ62="Yes","HL test / ",""),IF(BQ63="Yes",BS63,""))="","Not evaluated",CONCATENATE(IF(BQ59="Yes","Calibration plot / ",""),IF(BQ60="Yes","Slope / ",""),IF(BQ61="Yes","CITL / ",""),IF(BQ62="Yes","HL test / ",""),IF(BQ63="Yes",BS63,"")))))-2),IF(OR(BQ59="",BQ60="",BQ61="",BQ62=""),"",IF(CONCATENATE(IF(BQ59="Yes","Calibration plot / ",""),IF(BQ60="Yes","Slope / ",""),IF(BQ61="Yes","CITL / ",""),IF(BQ62="Yes","HL test / ",""),IF(BQ63="Yes",BS63,""))="","Not evaluated",CONCATENATE(IF(BQ59="Yes","Calibration plot / ",""),IF(BQ60="Yes","Slope / ",""),IF(BQ61="Yes","CITL / ",""),IF(BQ62="Yes","HL test / ",""),IF(BQ63="Yes",BS63,"")))))</f>
        <v/>
      </c>
      <c r="BR58" s="306"/>
      <c r="BS58" s="306"/>
      <c r="BT58" s="305" t="str">
        <f>IF(RIGHT(IF(OR(BT59="",BT60="",BT61="",BT62=""),"",IF(CONCATENATE(IF(BT59="Yes","Calibration plot / ",""),IF(BT60="Yes","Slope / ",""),IF(BT61="Yes","CITL / ",""),IF(BT62="Yes","HL test / ",""),IF(BT63="Yes",BV63,""))="","Not evaluated",CONCATENATE(IF(BT59="Yes","Calibration plot / ",""),IF(BT60="Yes","Slope / ",""),IF(BT61="Yes","CITL / ",""),IF(BT62="Yes","HL test / ",""),IF(BT63="Yes",BV63,"")))),2)="/ ",LEFT(IF(OR(BT59="",BT60="",BT61="",BT62=""),"",IF(CONCATENATE(IF(BT59="Yes","Calibration plot / ",""),IF(BT60="Yes","Slope / ",""),IF(BT61="Yes","CITL / ",""),IF(BT62="Yes","HL test / ",""),IF(BT63="Yes",BV63,""))="","Not evaluated",CONCATENATE(IF(BT59="Yes","Calibration plot / ",""),IF(BT60="Yes","Slope / ",""),IF(BT61="Yes","CITL / ",""),IF(BT62="Yes","HL test / ",""),IF(BT63="Yes",BV63,"")))),LEN(IF(OR(BT59="",BT60="",BT61="",BT62=""),"",IF(CONCATENATE(IF(BT59="Yes","Calibration plot / ",""),IF(BT60="Yes","Slope / ",""),IF(BT61="Yes","CITL / ",""),IF(BT62="Yes","HL test / ",""),IF(BT63="Yes",BV63,""))="","Not evaluated",CONCATENATE(IF(BT59="Yes","Calibration plot / ",""),IF(BT60="Yes","Slope / ",""),IF(BT61="Yes","CITL / ",""),IF(BT62="Yes","HL test / ",""),IF(BT63="Yes",BV63,"")))))-2),IF(OR(BT59="",BT60="",BT61="",BT62=""),"",IF(CONCATENATE(IF(BT59="Yes","Calibration plot / ",""),IF(BT60="Yes","Slope / ",""),IF(BT61="Yes","CITL / ",""),IF(BT62="Yes","HL test / ",""),IF(BT63="Yes",BV63,""))="","Not evaluated",CONCATENATE(IF(BT59="Yes","Calibration plot / ",""),IF(BT60="Yes","Slope / ",""),IF(BT61="Yes","CITL / ",""),IF(BT62="Yes","HL test / ",""),IF(BT63="Yes",BV63,"")))))</f>
        <v/>
      </c>
      <c r="BU58" s="306"/>
      <c r="BV58" s="306"/>
      <c r="BW58" s="305" t="str">
        <f>IF(RIGHT(IF(OR(BW59="",BW60="",BW61="",BW62=""),"",IF(CONCATENATE(IF(BW59="Yes","Calibration plot / ",""),IF(BW60="Yes","Slope / ",""),IF(BW61="Yes","CITL / ",""),IF(BW62="Yes","HL test / ",""),IF(BW63="Yes",BY63,""))="","Not evaluated",CONCATENATE(IF(BW59="Yes","Calibration plot / ",""),IF(BW60="Yes","Slope / ",""),IF(BW61="Yes","CITL / ",""),IF(BW62="Yes","HL test / ",""),IF(BW63="Yes",BY63,"")))),2)="/ ",LEFT(IF(OR(BW59="",BW60="",BW61="",BW62=""),"",IF(CONCATENATE(IF(BW59="Yes","Calibration plot / ",""),IF(BW60="Yes","Slope / ",""),IF(BW61="Yes","CITL / ",""),IF(BW62="Yes","HL test / ",""),IF(BW63="Yes",BY63,""))="","Not evaluated",CONCATENATE(IF(BW59="Yes","Calibration plot / ",""),IF(BW60="Yes","Slope / ",""),IF(BW61="Yes","CITL / ",""),IF(BW62="Yes","HL test / ",""),IF(BW63="Yes",BY63,"")))),LEN(IF(OR(BW59="",BW60="",BW61="",BW62=""),"",IF(CONCATENATE(IF(BW59="Yes","Calibration plot / ",""),IF(BW60="Yes","Slope / ",""),IF(BW61="Yes","CITL / ",""),IF(BW62="Yes","HL test / ",""),IF(BW63="Yes",BY63,""))="","Not evaluated",CONCATENATE(IF(BW59="Yes","Calibration plot / ",""),IF(BW60="Yes","Slope / ",""),IF(BW61="Yes","CITL / ",""),IF(BW62="Yes","HL test / ",""),IF(BW63="Yes",BY63,"")))))-2),IF(OR(BW59="",BW60="",BW61="",BW62=""),"",IF(CONCATENATE(IF(BW59="Yes","Calibration plot / ",""),IF(BW60="Yes","Slope / ",""),IF(BW61="Yes","CITL / ",""),IF(BW62="Yes","HL test / ",""),IF(BW63="Yes",BY63,""))="","Not evaluated",CONCATENATE(IF(BW59="Yes","Calibration plot / ",""),IF(BW60="Yes","Slope / ",""),IF(BW61="Yes","CITL / ",""),IF(BW62="Yes","HL test / ",""),IF(BW63="Yes",BY63,"")))))</f>
        <v/>
      </c>
      <c r="BX58" s="306"/>
      <c r="BY58" s="306"/>
      <c r="BZ58" s="305" t="str">
        <f>IF(RIGHT(IF(OR(BZ59="",BZ60="",BZ61="",BZ62=""),"",IF(CONCATENATE(IF(BZ59="Yes","Calibration plot / ",""),IF(BZ60="Yes","Slope / ",""),IF(BZ61="Yes","CITL / ",""),IF(BZ62="Yes","HL test / ",""),IF(BZ63="Yes",CB63,""))="","Not evaluated",CONCATENATE(IF(BZ59="Yes","Calibration plot / ",""),IF(BZ60="Yes","Slope / ",""),IF(BZ61="Yes","CITL / ",""),IF(BZ62="Yes","HL test / ",""),IF(BZ63="Yes",CB63,"")))),2)="/ ",LEFT(IF(OR(BZ59="",BZ60="",BZ61="",BZ62=""),"",IF(CONCATENATE(IF(BZ59="Yes","Calibration plot / ",""),IF(BZ60="Yes","Slope / ",""),IF(BZ61="Yes","CITL / ",""),IF(BZ62="Yes","HL test / ",""),IF(BZ63="Yes",CB63,""))="","Not evaluated",CONCATENATE(IF(BZ59="Yes","Calibration plot / ",""),IF(BZ60="Yes","Slope / ",""),IF(BZ61="Yes","CITL / ",""),IF(BZ62="Yes","HL test / ",""),IF(BZ63="Yes",CB63,"")))),LEN(IF(OR(BZ59="",BZ60="",BZ61="",BZ62=""),"",IF(CONCATENATE(IF(BZ59="Yes","Calibration plot / ",""),IF(BZ60="Yes","Slope / ",""),IF(BZ61="Yes","CITL / ",""),IF(BZ62="Yes","HL test / ",""),IF(BZ63="Yes",CB63,""))="","Not evaluated",CONCATENATE(IF(BZ59="Yes","Calibration plot / ",""),IF(BZ60="Yes","Slope / ",""),IF(BZ61="Yes","CITL / ",""),IF(BZ62="Yes","HL test / ",""),IF(BZ63="Yes",CB63,"")))))-2),IF(OR(BZ59="",BZ60="",BZ61="",BZ62=""),"",IF(CONCATENATE(IF(BZ59="Yes","Calibration plot / ",""),IF(BZ60="Yes","Slope / ",""),IF(BZ61="Yes","CITL / ",""),IF(BZ62="Yes","HL test / ",""),IF(BZ63="Yes",CB63,""))="","Not evaluated",CONCATENATE(IF(BZ59="Yes","Calibration plot / ",""),IF(BZ60="Yes","Slope / ",""),IF(BZ61="Yes","CITL / ",""),IF(BZ62="Yes","HL test / ",""),IF(BZ63="Yes",CB63,"")))))</f>
        <v/>
      </c>
      <c r="CA58" s="306"/>
      <c r="CB58" s="306"/>
      <c r="CC58" s="305" t="str">
        <f>IF(RIGHT(IF(OR(CC59="",CC60="",CC61="",CC62=""),"",IF(CONCATENATE(IF(CC59="Yes","Calibration plot / ",""),IF(CC60="Yes","Slope / ",""),IF(CC61="Yes","CITL / ",""),IF(CC62="Yes","HL test / ",""),IF(CC63="Yes",CE63,""))="","Not evaluated",CONCATENATE(IF(CC59="Yes","Calibration plot / ",""),IF(CC60="Yes","Slope / ",""),IF(CC61="Yes","CITL / ",""),IF(CC62="Yes","HL test / ",""),IF(CC63="Yes",CE63,"")))),2)="/ ",LEFT(IF(OR(CC59="",CC60="",CC61="",CC62=""),"",IF(CONCATENATE(IF(CC59="Yes","Calibration plot / ",""),IF(CC60="Yes","Slope / ",""),IF(CC61="Yes","CITL / ",""),IF(CC62="Yes","HL test / ",""),IF(CC63="Yes",CE63,""))="","Not evaluated",CONCATENATE(IF(CC59="Yes","Calibration plot / ",""),IF(CC60="Yes","Slope / ",""),IF(CC61="Yes","CITL / ",""),IF(CC62="Yes","HL test / ",""),IF(CC63="Yes",CE63,"")))),LEN(IF(OR(CC59="",CC60="",CC61="",CC62=""),"",IF(CONCATENATE(IF(CC59="Yes","Calibration plot / ",""),IF(CC60="Yes","Slope / ",""),IF(CC61="Yes","CITL / ",""),IF(CC62="Yes","HL test / ",""),IF(CC63="Yes",CE63,""))="","Not evaluated",CONCATENATE(IF(CC59="Yes","Calibration plot / ",""),IF(CC60="Yes","Slope / ",""),IF(CC61="Yes","CITL / ",""),IF(CC62="Yes","HL test / ",""),IF(CC63="Yes",CE63,"")))))-2),IF(OR(CC59="",CC60="",CC61="",CC62=""),"",IF(CONCATENATE(IF(CC59="Yes","Calibration plot / ",""),IF(CC60="Yes","Slope / ",""),IF(CC61="Yes","CITL / ",""),IF(CC62="Yes","HL test / ",""),IF(CC63="Yes",CE63,""))="","Not evaluated",CONCATENATE(IF(CC59="Yes","Calibration plot / ",""),IF(CC60="Yes","Slope / ",""),IF(CC61="Yes","CITL / ",""),IF(CC62="Yes","HL test / ",""),IF(CC63="Yes",CE63,"")))))</f>
        <v/>
      </c>
      <c r="CD58" s="306"/>
      <c r="CE58" s="306"/>
      <c r="CF58" s="305" t="str">
        <f>IF(RIGHT(IF(OR(CF59="",CF60="",CF61="",CF62=""),"",IF(CONCATENATE(IF(CF59="Yes","Calibration plot / ",""),IF(CF60="Yes","Slope / ",""),IF(CF61="Yes","CITL / ",""),IF(CF62="Yes","HL test / ",""),IF(CF63="Yes",CH63,""))="","Not evaluated",CONCATENATE(IF(CF59="Yes","Calibration plot / ",""),IF(CF60="Yes","Slope / ",""),IF(CF61="Yes","CITL / ",""),IF(CF62="Yes","HL test / ",""),IF(CF63="Yes",CH63,"")))),2)="/ ",LEFT(IF(OR(CF59="",CF60="",CF61="",CF62=""),"",IF(CONCATENATE(IF(CF59="Yes","Calibration plot / ",""),IF(CF60="Yes","Slope / ",""),IF(CF61="Yes","CITL / ",""),IF(CF62="Yes","HL test / ",""),IF(CF63="Yes",CH63,""))="","Not evaluated",CONCATENATE(IF(CF59="Yes","Calibration plot / ",""),IF(CF60="Yes","Slope / ",""),IF(CF61="Yes","CITL / ",""),IF(CF62="Yes","HL test / ",""),IF(CF63="Yes",CH63,"")))),LEN(IF(OR(CF59="",CF60="",CF61="",CF62=""),"",IF(CONCATENATE(IF(CF59="Yes","Calibration plot / ",""),IF(CF60="Yes","Slope / ",""),IF(CF61="Yes","CITL / ",""),IF(CF62="Yes","HL test / ",""),IF(CF63="Yes",CH63,""))="","Not evaluated",CONCATENATE(IF(CF59="Yes","Calibration plot / ",""),IF(CF60="Yes","Slope / ",""),IF(CF61="Yes","CITL / ",""),IF(CF62="Yes","HL test / ",""),IF(CF63="Yes",CH63,"")))))-2),IF(OR(CF59="",CF60="",CF61="",CF62=""),"",IF(CONCATENATE(IF(CF59="Yes","Calibration plot / ",""),IF(CF60="Yes","Slope / ",""),IF(CF61="Yes","CITL / ",""),IF(CF62="Yes","HL test / ",""),IF(CF63="Yes",CH63,""))="","Not evaluated",CONCATENATE(IF(CF59="Yes","Calibration plot / ",""),IF(CF60="Yes","Slope / ",""),IF(CF61="Yes","CITL / ",""),IF(CF62="Yes","HL test / ",""),IF(CF63="Yes",CH63,"")))))</f>
        <v/>
      </c>
      <c r="CG58" s="306"/>
      <c r="CH58" s="306"/>
      <c r="CI58" s="305" t="str">
        <f>IF(RIGHT(IF(OR(CI59="",CI60="",CI61="",CI62=""),"",IF(CONCATENATE(IF(CI59="Yes","Calibration plot / ",""),IF(CI60="Yes","Slope / ",""),IF(CI61="Yes","CITL / ",""),IF(CI62="Yes","HL test / ",""),IF(CI63="Yes",CK63,""))="","Not evaluated",CONCATENATE(IF(CI59="Yes","Calibration plot / ",""),IF(CI60="Yes","Slope / ",""),IF(CI61="Yes","CITL / ",""),IF(CI62="Yes","HL test / ",""),IF(CI63="Yes",CK63,"")))),2)="/ ",LEFT(IF(OR(CI59="",CI60="",CI61="",CI62=""),"",IF(CONCATENATE(IF(CI59="Yes","Calibration plot / ",""),IF(CI60="Yes","Slope / ",""),IF(CI61="Yes","CITL / ",""),IF(CI62="Yes","HL test / ",""),IF(CI63="Yes",CK63,""))="","Not evaluated",CONCATENATE(IF(CI59="Yes","Calibration plot / ",""),IF(CI60="Yes","Slope / ",""),IF(CI61="Yes","CITL / ",""),IF(CI62="Yes","HL test / ",""),IF(CI63="Yes",CK63,"")))),LEN(IF(OR(CI59="",CI60="",CI61="",CI62=""),"",IF(CONCATENATE(IF(CI59="Yes","Calibration plot / ",""),IF(CI60="Yes","Slope / ",""),IF(CI61="Yes","CITL / ",""),IF(CI62="Yes","HL test / ",""),IF(CI63="Yes",CK63,""))="","Not evaluated",CONCATENATE(IF(CI59="Yes","Calibration plot / ",""),IF(CI60="Yes","Slope / ",""),IF(CI61="Yes","CITL / ",""),IF(CI62="Yes","HL test / ",""),IF(CI63="Yes",CK63,"")))))-2),IF(OR(CI59="",CI60="",CI61="",CI62=""),"",IF(CONCATENATE(IF(CI59="Yes","Calibration plot / ",""),IF(CI60="Yes","Slope / ",""),IF(CI61="Yes","CITL / ",""),IF(CI62="Yes","HL test / ",""),IF(CI63="Yes",CK63,""))="","Not evaluated",CONCATENATE(IF(CI59="Yes","Calibration plot / ",""),IF(CI60="Yes","Slope / ",""),IF(CI61="Yes","CITL / ",""),IF(CI62="Yes","HL test / ",""),IF(CI63="Yes",CK63,"")))))</f>
        <v/>
      </c>
      <c r="CJ58" s="306"/>
      <c r="CK58" s="306"/>
      <c r="CL58" s="305" t="str">
        <f>IF(RIGHT(IF(OR(CL59="",CL60="",CL61="",CL62=""),"",IF(CONCATENATE(IF(CL59="Yes","Calibration plot / ",""),IF(CL60="Yes","Slope / ",""),IF(CL61="Yes","CITL / ",""),IF(CL62="Yes","HL test / ",""),IF(CL63="Yes",CN63,""))="","Not evaluated",CONCATENATE(IF(CL59="Yes","Calibration plot / ",""),IF(CL60="Yes","Slope / ",""),IF(CL61="Yes","CITL / ",""),IF(CL62="Yes","HL test / ",""),IF(CL63="Yes",CN63,"")))),2)="/ ",LEFT(IF(OR(CL59="",CL60="",CL61="",CL62=""),"",IF(CONCATENATE(IF(CL59="Yes","Calibration plot / ",""),IF(CL60="Yes","Slope / ",""),IF(CL61="Yes","CITL / ",""),IF(CL62="Yes","HL test / ",""),IF(CL63="Yes",CN63,""))="","Not evaluated",CONCATENATE(IF(CL59="Yes","Calibration plot / ",""),IF(CL60="Yes","Slope / ",""),IF(CL61="Yes","CITL / ",""),IF(CL62="Yes","HL test / ",""),IF(CL63="Yes",CN63,"")))),LEN(IF(OR(CL59="",CL60="",CL61="",CL62=""),"",IF(CONCATENATE(IF(CL59="Yes","Calibration plot / ",""),IF(CL60="Yes","Slope / ",""),IF(CL61="Yes","CITL / ",""),IF(CL62="Yes","HL test / ",""),IF(CL63="Yes",CN63,""))="","Not evaluated",CONCATENATE(IF(CL59="Yes","Calibration plot / ",""),IF(CL60="Yes","Slope / ",""),IF(CL61="Yes","CITL / ",""),IF(CL62="Yes","HL test / ",""),IF(CL63="Yes",CN63,"")))))-2),IF(OR(CL59="",CL60="",CL61="",CL62=""),"",IF(CONCATENATE(IF(CL59="Yes","Calibration plot / ",""),IF(CL60="Yes","Slope / ",""),IF(CL61="Yes","CITL / ",""),IF(CL62="Yes","HL test / ",""),IF(CL63="Yes",CN63,""))="","Not evaluated",CONCATENATE(IF(CL59="Yes","Calibration plot / ",""),IF(CL60="Yes","Slope / ",""),IF(CL61="Yes","CITL / ",""),IF(CL62="Yes","HL test / ",""),IF(CL63="Yes",CN63,"")))))</f>
        <v/>
      </c>
      <c r="CM58" s="306"/>
      <c r="CN58" s="306"/>
      <c r="CO58" s="305" t="str">
        <f>IF(RIGHT(IF(OR(CO59="",CO60="",CO61="",CO62=""),"",IF(CONCATENATE(IF(CO59="Yes","Calibration plot / ",""),IF(CO60="Yes","Slope / ",""),IF(CO61="Yes","CITL / ",""),IF(CO62="Yes","HL test / ",""),IF(CO63="Yes",CQ63,""))="","Not evaluated",CONCATENATE(IF(CO59="Yes","Calibration plot / ",""),IF(CO60="Yes","Slope / ",""),IF(CO61="Yes","CITL / ",""),IF(CO62="Yes","HL test / ",""),IF(CO63="Yes",CQ63,"")))),2)="/ ",LEFT(IF(OR(CO59="",CO60="",CO61="",CO62=""),"",IF(CONCATENATE(IF(CO59="Yes","Calibration plot / ",""),IF(CO60="Yes","Slope / ",""),IF(CO61="Yes","CITL / ",""),IF(CO62="Yes","HL test / ",""),IF(CO63="Yes",CQ63,""))="","Not evaluated",CONCATENATE(IF(CO59="Yes","Calibration plot / ",""),IF(CO60="Yes","Slope / ",""),IF(CO61="Yes","CITL / ",""),IF(CO62="Yes","HL test / ",""),IF(CO63="Yes",CQ63,"")))),LEN(IF(OR(CO59="",CO60="",CO61="",CO62=""),"",IF(CONCATENATE(IF(CO59="Yes","Calibration plot / ",""),IF(CO60="Yes","Slope / ",""),IF(CO61="Yes","CITL / ",""),IF(CO62="Yes","HL test / ",""),IF(CO63="Yes",CQ63,""))="","Not evaluated",CONCATENATE(IF(CO59="Yes","Calibration plot / ",""),IF(CO60="Yes","Slope / ",""),IF(CO61="Yes","CITL / ",""),IF(CO62="Yes","HL test / ",""),IF(CO63="Yes",CQ63,"")))))-2),IF(OR(CO59="",CO60="",CO61="",CO62=""),"",IF(CONCATENATE(IF(CO59="Yes","Calibration plot / ",""),IF(CO60="Yes","Slope / ",""),IF(CO61="Yes","CITL / ",""),IF(CO62="Yes","HL test / ",""),IF(CO63="Yes",CQ63,""))="","Not evaluated",CONCATENATE(IF(CO59="Yes","Calibration plot / ",""),IF(CO60="Yes","Slope / ",""),IF(CO61="Yes","CITL / ",""),IF(CO62="Yes","HL test / ",""),IF(CO63="Yes",CQ63,"")))))</f>
        <v/>
      </c>
      <c r="CP58" s="306"/>
      <c r="CQ58" s="306"/>
    </row>
    <row r="59" spans="1:95" s="13" customFormat="1" ht="15" customHeight="1" x14ac:dyDescent="0.2">
      <c r="A59" s="62"/>
      <c r="B59" s="62" t="s">
        <v>32</v>
      </c>
      <c r="C59" s="62"/>
      <c r="D59" s="341" t="s">
        <v>103</v>
      </c>
      <c r="E59" s="342"/>
      <c r="F59" s="288" t="s">
        <v>72</v>
      </c>
      <c r="G59" s="289"/>
      <c r="H59" s="289"/>
      <c r="I59" s="292" t="s">
        <v>72</v>
      </c>
      <c r="J59" s="293"/>
      <c r="K59" s="322"/>
      <c r="L59" s="292" t="s">
        <v>72</v>
      </c>
      <c r="M59" s="293"/>
      <c r="N59" s="322"/>
      <c r="O59" s="292" t="s">
        <v>72</v>
      </c>
      <c r="P59" s="293"/>
      <c r="Q59" s="322"/>
      <c r="R59" s="292" t="s">
        <v>72</v>
      </c>
      <c r="S59" s="293"/>
      <c r="T59" s="322"/>
      <c r="U59" s="292" t="s">
        <v>72</v>
      </c>
      <c r="V59" s="293"/>
      <c r="W59" s="322"/>
      <c r="X59" s="292" t="s">
        <v>72</v>
      </c>
      <c r="Y59" s="293"/>
      <c r="Z59" s="322"/>
      <c r="AA59" s="292" t="s">
        <v>72</v>
      </c>
      <c r="AB59" s="293"/>
      <c r="AC59" s="322"/>
      <c r="AD59" s="292" t="s">
        <v>72</v>
      </c>
      <c r="AE59" s="293"/>
      <c r="AF59" s="322"/>
      <c r="AG59" s="292" t="s">
        <v>72</v>
      </c>
      <c r="AH59" s="293"/>
      <c r="AI59" s="322"/>
      <c r="AJ59" s="292" t="s">
        <v>72</v>
      </c>
      <c r="AK59" s="293"/>
      <c r="AL59" s="322"/>
      <c r="AM59" s="292" t="s">
        <v>72</v>
      </c>
      <c r="AN59" s="293"/>
      <c r="AO59" s="322"/>
      <c r="AP59" s="292"/>
      <c r="AQ59" s="293"/>
      <c r="AR59" s="322"/>
      <c r="AS59" s="292"/>
      <c r="AT59" s="293"/>
      <c r="AU59" s="322"/>
      <c r="AV59" s="292"/>
      <c r="AW59" s="293"/>
      <c r="AX59" s="322"/>
      <c r="AY59" s="292"/>
      <c r="AZ59" s="293"/>
      <c r="BA59" s="322"/>
      <c r="BB59" s="292"/>
      <c r="BC59" s="293"/>
      <c r="BD59" s="322"/>
      <c r="BE59" s="292"/>
      <c r="BF59" s="293"/>
      <c r="BG59" s="322"/>
      <c r="BH59" s="292"/>
      <c r="BI59" s="293"/>
      <c r="BJ59" s="322"/>
      <c r="BK59" s="292"/>
      <c r="BL59" s="293"/>
      <c r="BM59" s="322"/>
      <c r="BN59" s="292"/>
      <c r="BO59" s="293"/>
      <c r="BP59" s="322"/>
      <c r="BQ59" s="292"/>
      <c r="BR59" s="293"/>
      <c r="BS59" s="322"/>
      <c r="BT59" s="292"/>
      <c r="BU59" s="293"/>
      <c r="BV59" s="322"/>
      <c r="BW59" s="292"/>
      <c r="BX59" s="293"/>
      <c r="BY59" s="322"/>
      <c r="BZ59" s="292"/>
      <c r="CA59" s="293"/>
      <c r="CB59" s="322"/>
      <c r="CC59" s="292"/>
      <c r="CD59" s="293"/>
      <c r="CE59" s="322"/>
      <c r="CF59" s="292"/>
      <c r="CG59" s="293"/>
      <c r="CH59" s="322"/>
      <c r="CI59" s="292"/>
      <c r="CJ59" s="293"/>
      <c r="CK59" s="322"/>
      <c r="CL59" s="292"/>
      <c r="CM59" s="293"/>
      <c r="CN59" s="322"/>
      <c r="CO59" s="292"/>
      <c r="CP59" s="293"/>
      <c r="CQ59" s="293"/>
    </row>
    <row r="60" spans="1:95" s="13" customFormat="1" ht="15" customHeight="1" x14ac:dyDescent="0.2">
      <c r="A60" s="62"/>
      <c r="B60" s="62" t="s">
        <v>32</v>
      </c>
      <c r="C60" s="62"/>
      <c r="D60" s="341" t="s">
        <v>104</v>
      </c>
      <c r="E60" s="345"/>
      <c r="F60" s="38" t="s">
        <v>72</v>
      </c>
      <c r="G60" s="52" t="s">
        <v>105</v>
      </c>
      <c r="H60" s="46"/>
      <c r="I60" s="38" t="s">
        <v>72</v>
      </c>
      <c r="J60" s="52" t="s">
        <v>105</v>
      </c>
      <c r="K60" s="46"/>
      <c r="L60" s="38" t="s">
        <v>72</v>
      </c>
      <c r="M60" s="52" t="s">
        <v>105</v>
      </c>
      <c r="N60" s="46"/>
      <c r="O60" s="38" t="s">
        <v>72</v>
      </c>
      <c r="P60" s="52" t="s">
        <v>105</v>
      </c>
      <c r="Q60" s="46"/>
      <c r="R60" s="38" t="s">
        <v>72</v>
      </c>
      <c r="S60" s="52" t="s">
        <v>105</v>
      </c>
      <c r="T60" s="46"/>
      <c r="U60" s="38" t="s">
        <v>72</v>
      </c>
      <c r="V60" s="52" t="s">
        <v>105</v>
      </c>
      <c r="W60" s="46"/>
      <c r="X60" s="38" t="s">
        <v>72</v>
      </c>
      <c r="Y60" s="52" t="s">
        <v>105</v>
      </c>
      <c r="Z60" s="46"/>
      <c r="AA60" s="38" t="s">
        <v>72</v>
      </c>
      <c r="AB60" s="52" t="s">
        <v>105</v>
      </c>
      <c r="AC60" s="46"/>
      <c r="AD60" s="38" t="s">
        <v>72</v>
      </c>
      <c r="AE60" s="52" t="s">
        <v>105</v>
      </c>
      <c r="AF60" s="46"/>
      <c r="AG60" s="38" t="s">
        <v>72</v>
      </c>
      <c r="AH60" s="52" t="s">
        <v>105</v>
      </c>
      <c r="AI60" s="46"/>
      <c r="AJ60" s="38" t="s">
        <v>72</v>
      </c>
      <c r="AK60" s="52" t="s">
        <v>105</v>
      </c>
      <c r="AL60" s="46"/>
      <c r="AM60" s="38" t="s">
        <v>72</v>
      </c>
      <c r="AN60" s="52" t="s">
        <v>105</v>
      </c>
      <c r="AO60" s="46"/>
      <c r="AP60" s="38"/>
      <c r="AQ60" s="52" t="s">
        <v>105</v>
      </c>
      <c r="AR60" s="46"/>
      <c r="AS60" s="38"/>
      <c r="AT60" s="52" t="s">
        <v>105</v>
      </c>
      <c r="AU60" s="46"/>
      <c r="AV60" s="38"/>
      <c r="AW60" s="52" t="s">
        <v>105</v>
      </c>
      <c r="AX60" s="46"/>
      <c r="AY60" s="38"/>
      <c r="AZ60" s="52" t="s">
        <v>105</v>
      </c>
      <c r="BA60" s="46"/>
      <c r="BB60" s="38"/>
      <c r="BC60" s="52" t="s">
        <v>105</v>
      </c>
      <c r="BD60" s="46"/>
      <c r="BE60" s="38"/>
      <c r="BF60" s="52" t="s">
        <v>105</v>
      </c>
      <c r="BG60" s="46"/>
      <c r="BH60" s="38"/>
      <c r="BI60" s="52" t="s">
        <v>105</v>
      </c>
      <c r="BJ60" s="46"/>
      <c r="BK60" s="38"/>
      <c r="BL60" s="52" t="s">
        <v>105</v>
      </c>
      <c r="BM60" s="46"/>
      <c r="BN60" s="38"/>
      <c r="BO60" s="52" t="s">
        <v>105</v>
      </c>
      <c r="BP60" s="46"/>
      <c r="BQ60" s="38"/>
      <c r="BR60" s="52" t="s">
        <v>105</v>
      </c>
      <c r="BS60" s="46"/>
      <c r="BT60" s="38"/>
      <c r="BU60" s="52" t="s">
        <v>105</v>
      </c>
      <c r="BV60" s="46"/>
      <c r="BW60" s="38"/>
      <c r="BX60" s="52" t="s">
        <v>105</v>
      </c>
      <c r="BY60" s="46"/>
      <c r="BZ60" s="38"/>
      <c r="CA60" s="52" t="s">
        <v>105</v>
      </c>
      <c r="CB60" s="46"/>
      <c r="CC60" s="38"/>
      <c r="CD60" s="52" t="s">
        <v>105</v>
      </c>
      <c r="CE60" s="46"/>
      <c r="CF60" s="38"/>
      <c r="CG60" s="52" t="s">
        <v>105</v>
      </c>
      <c r="CH60" s="46"/>
      <c r="CI60" s="38"/>
      <c r="CJ60" s="52" t="s">
        <v>105</v>
      </c>
      <c r="CK60" s="46"/>
      <c r="CL60" s="38"/>
      <c r="CM60" s="52" t="s">
        <v>105</v>
      </c>
      <c r="CN60" s="46"/>
      <c r="CO60" s="37"/>
      <c r="CP60" s="52" t="s">
        <v>105</v>
      </c>
      <c r="CQ60" s="46"/>
    </row>
    <row r="61" spans="1:95" s="13" customFormat="1" ht="15" customHeight="1" x14ac:dyDescent="0.2">
      <c r="A61" s="62"/>
      <c r="B61" s="62" t="s">
        <v>32</v>
      </c>
      <c r="C61" s="62"/>
      <c r="D61" s="343" t="s">
        <v>106</v>
      </c>
      <c r="E61" s="344"/>
      <c r="F61" s="38" t="s">
        <v>72</v>
      </c>
      <c r="G61" s="52" t="s">
        <v>105</v>
      </c>
      <c r="H61" s="46"/>
      <c r="I61" s="38" t="s">
        <v>72</v>
      </c>
      <c r="J61" s="52" t="s">
        <v>105</v>
      </c>
      <c r="K61" s="46"/>
      <c r="L61" s="38" t="s">
        <v>72</v>
      </c>
      <c r="M61" s="52" t="s">
        <v>105</v>
      </c>
      <c r="N61" s="46"/>
      <c r="O61" s="38" t="s">
        <v>72</v>
      </c>
      <c r="P61" s="52" t="s">
        <v>105</v>
      </c>
      <c r="Q61" s="46"/>
      <c r="R61" s="38" t="s">
        <v>72</v>
      </c>
      <c r="S61" s="52" t="s">
        <v>105</v>
      </c>
      <c r="T61" s="46"/>
      <c r="U61" s="38" t="s">
        <v>72</v>
      </c>
      <c r="V61" s="52" t="s">
        <v>105</v>
      </c>
      <c r="W61" s="46"/>
      <c r="X61" s="38" t="s">
        <v>72</v>
      </c>
      <c r="Y61" s="52" t="s">
        <v>105</v>
      </c>
      <c r="Z61" s="46"/>
      <c r="AA61" s="38" t="s">
        <v>72</v>
      </c>
      <c r="AB61" s="52" t="s">
        <v>105</v>
      </c>
      <c r="AC61" s="46"/>
      <c r="AD61" s="38" t="s">
        <v>72</v>
      </c>
      <c r="AE61" s="52" t="s">
        <v>105</v>
      </c>
      <c r="AF61" s="46"/>
      <c r="AG61" s="38" t="s">
        <v>72</v>
      </c>
      <c r="AH61" s="52" t="s">
        <v>105</v>
      </c>
      <c r="AI61" s="184"/>
      <c r="AJ61" s="38" t="s">
        <v>72</v>
      </c>
      <c r="AK61" s="52" t="s">
        <v>105</v>
      </c>
      <c r="AL61" s="184"/>
      <c r="AM61" s="38" t="s">
        <v>72</v>
      </c>
      <c r="AN61" s="52" t="s">
        <v>105</v>
      </c>
      <c r="AO61" s="46"/>
      <c r="AP61" s="38"/>
      <c r="AQ61" s="52" t="s">
        <v>105</v>
      </c>
      <c r="AR61" s="46"/>
      <c r="AS61" s="38"/>
      <c r="AT61" s="52" t="s">
        <v>105</v>
      </c>
      <c r="AU61" s="46"/>
      <c r="AV61" s="38"/>
      <c r="AW61" s="52" t="s">
        <v>105</v>
      </c>
      <c r="AX61" s="46"/>
      <c r="AY61" s="38"/>
      <c r="AZ61" s="52" t="s">
        <v>105</v>
      </c>
      <c r="BA61" s="46"/>
      <c r="BB61" s="38"/>
      <c r="BC61" s="52" t="s">
        <v>105</v>
      </c>
      <c r="BD61" s="46"/>
      <c r="BE61" s="38"/>
      <c r="BF61" s="52" t="s">
        <v>105</v>
      </c>
      <c r="BG61" s="46"/>
      <c r="BH61" s="38"/>
      <c r="BI61" s="52" t="s">
        <v>105</v>
      </c>
      <c r="BJ61" s="46"/>
      <c r="BK61" s="38"/>
      <c r="BL61" s="52" t="s">
        <v>105</v>
      </c>
      <c r="BM61" s="46"/>
      <c r="BN61" s="38"/>
      <c r="BO61" s="52" t="s">
        <v>105</v>
      </c>
      <c r="BP61" s="46"/>
      <c r="BQ61" s="38"/>
      <c r="BR61" s="52" t="s">
        <v>105</v>
      </c>
      <c r="BS61" s="46"/>
      <c r="BT61" s="38"/>
      <c r="BU61" s="52" t="s">
        <v>105</v>
      </c>
      <c r="BV61" s="46"/>
      <c r="BW61" s="38"/>
      <c r="BX61" s="52" t="s">
        <v>105</v>
      </c>
      <c r="BY61" s="46"/>
      <c r="BZ61" s="38"/>
      <c r="CA61" s="52" t="s">
        <v>105</v>
      </c>
      <c r="CB61" s="46"/>
      <c r="CC61" s="38"/>
      <c r="CD61" s="52" t="s">
        <v>105</v>
      </c>
      <c r="CE61" s="46"/>
      <c r="CF61" s="38"/>
      <c r="CG61" s="52" t="s">
        <v>105</v>
      </c>
      <c r="CH61" s="46"/>
      <c r="CI61" s="38"/>
      <c r="CJ61" s="52" t="s">
        <v>105</v>
      </c>
      <c r="CK61" s="46"/>
      <c r="CL61" s="38"/>
      <c r="CM61" s="52" t="s">
        <v>105</v>
      </c>
      <c r="CN61" s="46"/>
      <c r="CO61" s="37"/>
      <c r="CP61" s="52" t="s">
        <v>105</v>
      </c>
      <c r="CQ61" s="46"/>
    </row>
    <row r="62" spans="1:95" s="13" customFormat="1" ht="15" customHeight="1" x14ac:dyDescent="0.2">
      <c r="A62" s="62"/>
      <c r="B62" s="62" t="s">
        <v>32</v>
      </c>
      <c r="C62" s="62"/>
      <c r="D62" s="348" t="s">
        <v>107</v>
      </c>
      <c r="E62" s="349"/>
      <c r="F62" s="317" t="s">
        <v>72</v>
      </c>
      <c r="G62" s="318"/>
      <c r="H62" s="319"/>
      <c r="I62" s="317" t="s">
        <v>72</v>
      </c>
      <c r="J62" s="318"/>
      <c r="K62" s="319"/>
      <c r="L62" s="317" t="s">
        <v>72</v>
      </c>
      <c r="M62" s="318"/>
      <c r="N62" s="319"/>
      <c r="O62" s="317" t="s">
        <v>72</v>
      </c>
      <c r="P62" s="318"/>
      <c r="Q62" s="319"/>
      <c r="R62" s="317" t="s">
        <v>72</v>
      </c>
      <c r="S62" s="318"/>
      <c r="T62" s="319"/>
      <c r="U62" s="317" t="s">
        <v>72</v>
      </c>
      <c r="V62" s="318"/>
      <c r="W62" s="319"/>
      <c r="X62" s="317" t="s">
        <v>72</v>
      </c>
      <c r="Y62" s="318"/>
      <c r="Z62" s="319"/>
      <c r="AA62" s="317" t="s">
        <v>72</v>
      </c>
      <c r="AB62" s="318"/>
      <c r="AC62" s="319"/>
      <c r="AD62" s="317" t="s">
        <v>72</v>
      </c>
      <c r="AE62" s="318"/>
      <c r="AF62" s="319"/>
      <c r="AG62" s="317" t="s">
        <v>72</v>
      </c>
      <c r="AH62" s="318"/>
      <c r="AI62" s="319"/>
      <c r="AJ62" s="317" t="s">
        <v>72</v>
      </c>
      <c r="AK62" s="318"/>
      <c r="AL62" s="319"/>
      <c r="AM62" s="317" t="s">
        <v>72</v>
      </c>
      <c r="AN62" s="318"/>
      <c r="AO62" s="319"/>
      <c r="AP62" s="317"/>
      <c r="AQ62" s="318"/>
      <c r="AR62" s="319"/>
      <c r="AS62" s="317"/>
      <c r="AT62" s="318"/>
      <c r="AU62" s="319"/>
      <c r="AV62" s="317"/>
      <c r="AW62" s="318"/>
      <c r="AX62" s="319"/>
      <c r="AY62" s="317"/>
      <c r="AZ62" s="318"/>
      <c r="BA62" s="319"/>
      <c r="BB62" s="317"/>
      <c r="BC62" s="318"/>
      <c r="BD62" s="319"/>
      <c r="BE62" s="317"/>
      <c r="BF62" s="318"/>
      <c r="BG62" s="319"/>
      <c r="BH62" s="317"/>
      <c r="BI62" s="318"/>
      <c r="BJ62" s="319"/>
      <c r="BK62" s="317"/>
      <c r="BL62" s="318"/>
      <c r="BM62" s="319"/>
      <c r="BN62" s="317"/>
      <c r="BO62" s="318"/>
      <c r="BP62" s="319"/>
      <c r="BQ62" s="317"/>
      <c r="BR62" s="318"/>
      <c r="BS62" s="319"/>
      <c r="BT62" s="317"/>
      <c r="BU62" s="318"/>
      <c r="BV62" s="319"/>
      <c r="BW62" s="317"/>
      <c r="BX62" s="318"/>
      <c r="BY62" s="319"/>
      <c r="BZ62" s="317"/>
      <c r="CA62" s="318"/>
      <c r="CB62" s="319"/>
      <c r="CC62" s="317"/>
      <c r="CD62" s="318"/>
      <c r="CE62" s="319"/>
      <c r="CF62" s="317"/>
      <c r="CG62" s="318"/>
      <c r="CH62" s="319"/>
      <c r="CI62" s="317"/>
      <c r="CJ62" s="318"/>
      <c r="CK62" s="319"/>
      <c r="CL62" s="317"/>
      <c r="CM62" s="318"/>
      <c r="CN62" s="319"/>
      <c r="CO62" s="317"/>
      <c r="CP62" s="318"/>
      <c r="CQ62" s="318"/>
    </row>
    <row r="63" spans="1:95" s="13" customFormat="1" ht="15" customHeight="1" x14ac:dyDescent="0.2">
      <c r="A63" s="62"/>
      <c r="B63" s="62" t="s">
        <v>32</v>
      </c>
      <c r="C63" s="62"/>
      <c r="D63" s="343" t="s">
        <v>108</v>
      </c>
      <c r="E63" s="344"/>
      <c r="F63" s="38" t="s">
        <v>72</v>
      </c>
      <c r="G63" s="53" t="s">
        <v>109</v>
      </c>
      <c r="H63" s="47"/>
      <c r="I63" s="38" t="s">
        <v>67</v>
      </c>
      <c r="J63" s="53" t="s">
        <v>109</v>
      </c>
      <c r="K63" s="47" t="s">
        <v>487</v>
      </c>
      <c r="L63" s="38" t="s">
        <v>67</v>
      </c>
      <c r="M63" s="53" t="s">
        <v>109</v>
      </c>
      <c r="N63" s="47" t="s">
        <v>488</v>
      </c>
      <c r="O63" s="38" t="s">
        <v>72</v>
      </c>
      <c r="P63" s="53" t="s">
        <v>109</v>
      </c>
      <c r="Q63" s="47"/>
      <c r="R63" s="38" t="s">
        <v>72</v>
      </c>
      <c r="S63" s="53" t="s">
        <v>109</v>
      </c>
      <c r="T63" s="47"/>
      <c r="U63" s="38" t="s">
        <v>72</v>
      </c>
      <c r="V63" s="53" t="s">
        <v>109</v>
      </c>
      <c r="W63" s="47"/>
      <c r="X63" s="38" t="s">
        <v>72</v>
      </c>
      <c r="Y63" s="53" t="s">
        <v>109</v>
      </c>
      <c r="Z63" s="47"/>
      <c r="AA63" s="38" t="s">
        <v>72</v>
      </c>
      <c r="AB63" s="53" t="s">
        <v>109</v>
      </c>
      <c r="AC63" s="47"/>
      <c r="AD63" s="38" t="s">
        <v>67</v>
      </c>
      <c r="AE63" s="53" t="s">
        <v>109</v>
      </c>
      <c r="AF63" s="47" t="s">
        <v>492</v>
      </c>
      <c r="AG63" s="38" t="s">
        <v>72</v>
      </c>
      <c r="AH63" s="53" t="s">
        <v>109</v>
      </c>
      <c r="AI63" s="47"/>
      <c r="AJ63" s="38" t="s">
        <v>72</v>
      </c>
      <c r="AK63" s="53" t="s">
        <v>109</v>
      </c>
      <c r="AL63" s="47"/>
      <c r="AM63" s="38" t="s">
        <v>72</v>
      </c>
      <c r="AN63" s="53" t="s">
        <v>109</v>
      </c>
      <c r="AO63" s="47"/>
      <c r="AP63" s="38"/>
      <c r="AQ63" s="53" t="s">
        <v>109</v>
      </c>
      <c r="AR63" s="47"/>
      <c r="AS63" s="38"/>
      <c r="AT63" s="53" t="s">
        <v>109</v>
      </c>
      <c r="AU63" s="47"/>
      <c r="AV63" s="38"/>
      <c r="AW63" s="53" t="s">
        <v>109</v>
      </c>
      <c r="AX63" s="47"/>
      <c r="AY63" s="38"/>
      <c r="AZ63" s="53" t="s">
        <v>109</v>
      </c>
      <c r="BA63" s="47"/>
      <c r="BB63" s="38"/>
      <c r="BC63" s="53" t="s">
        <v>109</v>
      </c>
      <c r="BD63" s="47"/>
      <c r="BE63" s="38"/>
      <c r="BF63" s="53" t="s">
        <v>109</v>
      </c>
      <c r="BG63" s="47"/>
      <c r="BH63" s="38"/>
      <c r="BI63" s="53" t="s">
        <v>109</v>
      </c>
      <c r="BJ63" s="47"/>
      <c r="BK63" s="38"/>
      <c r="BL63" s="53" t="s">
        <v>109</v>
      </c>
      <c r="BM63" s="47"/>
      <c r="BN63" s="38"/>
      <c r="BO63" s="53" t="s">
        <v>109</v>
      </c>
      <c r="BP63" s="47"/>
      <c r="BQ63" s="38"/>
      <c r="BR63" s="53" t="s">
        <v>109</v>
      </c>
      <c r="BS63" s="47"/>
      <c r="BT63" s="38"/>
      <c r="BU63" s="53" t="s">
        <v>109</v>
      </c>
      <c r="BV63" s="47"/>
      <c r="BW63" s="38"/>
      <c r="BX63" s="53" t="s">
        <v>109</v>
      </c>
      <c r="BY63" s="47"/>
      <c r="BZ63" s="38"/>
      <c r="CA63" s="53" t="s">
        <v>109</v>
      </c>
      <c r="CB63" s="47"/>
      <c r="CC63" s="38"/>
      <c r="CD63" s="53" t="s">
        <v>109</v>
      </c>
      <c r="CE63" s="47"/>
      <c r="CF63" s="38"/>
      <c r="CG63" s="53" t="s">
        <v>109</v>
      </c>
      <c r="CH63" s="47"/>
      <c r="CI63" s="38"/>
      <c r="CJ63" s="53" t="s">
        <v>109</v>
      </c>
      <c r="CK63" s="47"/>
      <c r="CL63" s="38"/>
      <c r="CM63" s="53" t="s">
        <v>109</v>
      </c>
      <c r="CN63" s="47"/>
      <c r="CO63" s="37"/>
      <c r="CP63" s="53" t="s">
        <v>109</v>
      </c>
      <c r="CQ63" s="47"/>
    </row>
    <row r="64" spans="1:95" s="13" customFormat="1" ht="15" customHeight="1" x14ac:dyDescent="0.2">
      <c r="A64" s="62"/>
      <c r="B64" s="62" t="s">
        <v>32</v>
      </c>
      <c r="C64" s="62"/>
      <c r="D64" s="346" t="s">
        <v>110</v>
      </c>
      <c r="E64" s="347"/>
      <c r="F64" s="305" t="str">
        <f>IF(RIGHT(IF(OR(F65="",F66="",F67="",F68="",F69=""),"",IF(CONCATENATE(IF(F65="Yes","C-Statistic / ",""),IF(F66="Yes","D-Statistics / ",""),IF(F67="Yes","AUC graph / ",""),IF(F68="Yes","Log-rank test / ",""),IF(F69="Yes","Risk group curves / ",""),IF(F70="Yes",H70,""))="","Not evaluated",CONCATENATE(IF(F65="Yes","C-Statistic / ",""),IF(F66="Yes","D-Statistics / ",""),IF(F67="Yes","AUC graph / ",""),IF(F68="Yes","Log-rank test / ",""),IF(F69="Yes","Risk group curves / ",""),IF(F70="Yes",H70,"")))),2)="/ ",LEFT(IF(OR(F65="",F66="",F67="",F68="",F69=""),"",IF(CONCATENATE(IF(F65="Yes","C-Statistic / ",""),IF(F66="Yes","D-Statistics / ",""),IF(F67="Yes","AUC graph / ",""),IF(F68="Yes","Log-rank test / ",""),IF(F69="Yes","Risk group curves / ",""),IF(F70="Yes",H70,""))="","Not evaluated",CONCATENATE(IF(F65="Yes","C-Statistic / ",""),IF(F66="Yes","D-Statistics / ",""),IF(F67="Yes","AUC graph / ",""),IF(F68="Yes","Log-rank test / ",""),IF(F69="Yes","Risk group curves / ",""),IF(F70="Yes",H70,"")))),LEN(IF(OR(F65="",F66="",F67="",F68="",F69=""),"",IF(CONCATENATE(IF(F65="Yes","C-Statistic / ",""),IF(F66="Yes","D-Statistics / ",""),IF(F67="Yes","AUC graph / ",""),IF(F68="Yes","Log-rank test / ",""),IF(F69="Yes","Risk group curves / ",""),IF(F70="Yes",H70,""))="","Not evaluated",CONCATENATE(IF(F65="Yes","C-Statistic / ",""),IF(F66="Yes","D-Statistics / ",""),IF(F67="Yes","AUC graph / ",""),IF(F68="Yes","Log-rank test / ",""),IF(F69="Yes","Risk group curves / ",""),IF(F70="Yes",H70,"")))))-2),IF(OR(F65="",F66="",F67="",F68="",F69=""),"",IF(CONCATENATE(IF(F65="Yes","C-Statistic / ",""),IF(F66="Yes","D-Statistics / ",""),IF(F67="Yes","AUC graph / ",""),IF(F68="Yes","Log-rank test / ",""),IF(F69="Yes","Risk group curves / ",""),IF(F70="Yes",H70,""))="","Not evaluated",CONCATENATE(IF(F65="Yes","C-Statistic / ",""),IF(F66="Yes","D-Statistics / ",""),IF(F67="Yes","AUC graph / ",""),IF(F68="Yes","Log-rank test / ",""),IF(F69="Yes","Risk group curves / ",""),IF(F70="Yes",H70,"")))))</f>
        <v>Accuracy 0.85 (0.85 - 0.86), Sensitivity - 0.81; Specificity - 0.88; PPV - 0.83; NPV - 0.87; Kappa 0.70</v>
      </c>
      <c r="G64" s="306"/>
      <c r="H64" s="306"/>
      <c r="I64" s="305" t="str">
        <f>IF(RIGHT(IF(OR(I65="",I66="",I67="",I68="",I69=""),"",IF(CONCATENATE(IF(I65="Yes","C-Statistic / ",""),IF(I66="Yes","D-Statistics / ",""),IF(I67="Yes","AUC graph / ",""),IF(I68="Yes","Log-rank test / ",""),IF(I69="Yes","Risk group curves / ",""),IF(I70="Yes",K70,""))="","Not evaluated",CONCATENATE(IF(I65="Yes","C-Statistic / ",""),IF(I66="Yes","D-Statistics / ",""),IF(I67="Yes","AUC graph / ",""),IF(I68="Yes","Log-rank test / ",""),IF(I69="Yes","Risk group curves / ",""),IF(I70="Yes",K70,"")))),2)="/ ",LEFT(IF(OR(I65="",I66="",I67="",I68="",I69=""),"",IF(CONCATENATE(IF(I65="Yes","C-Statistic / ",""),IF(I66="Yes","D-Statistics / ",""),IF(I67="Yes","AUC graph / ",""),IF(I68="Yes","Log-rank test / ",""),IF(I69="Yes","Risk group curves / ",""),IF(I70="Yes",K70,""))="","Not evaluated",CONCATENATE(IF(I65="Yes","C-Statistic / ",""),IF(I66="Yes","D-Statistics / ",""),IF(I67="Yes","AUC graph / ",""),IF(I68="Yes","Log-rank test / ",""),IF(I69="Yes","Risk group curves / ",""),IF(I70="Yes",K70,"")))),LEN(IF(OR(I65="",I66="",I67="",I68="",I69=""),"",IF(CONCATENATE(IF(I65="Yes","C-Statistic / ",""),IF(I66="Yes","D-Statistics / ",""),IF(I67="Yes","AUC graph / ",""),IF(I68="Yes","Log-rank test / ",""),IF(I69="Yes","Risk group curves / ",""),IF(I70="Yes",K70,""))="","Not evaluated",CONCATENATE(IF(I65="Yes","C-Statistic / ",""),IF(I66="Yes","D-Statistics / ",""),IF(I67="Yes","AUC graph / ",""),IF(I68="Yes","Log-rank test / ",""),IF(I69="Yes","Risk group curves / ",""),IF(I70="Yes",K70,"")))))-2),IF(OR(I65="",I66="",I67="",I68="",I69=""),"",IF(CONCATENATE(IF(I65="Yes","C-Statistic / ",""),IF(I66="Yes","D-Statistics / ",""),IF(I67="Yes","AUC graph / ",""),IF(I68="Yes","Log-rank test / ",""),IF(I69="Yes","Risk group curves / ",""),IF(I70="Yes",K70,""))="","Not evaluated",CONCATENATE(IF(I65="Yes","C-Statistic / ",""),IF(I66="Yes","D-Statistics / ",""),IF(I67="Yes","AUC graph / ",""),IF(I68="Yes","Log-rank test / ",""),IF(I69="Yes","Risk group curves / ",""),IF(I70="Yes",K70,"")))))</f>
        <v>C-Statistic / AUC graph / Sensitivity (0.608, 0.604 - 0.611),  specificity (0.647, 0.646 - 0.648), ppv (0.189, 0.187 - 0.190), npv (0.924, 0.924 - 0.925)</v>
      </c>
      <c r="J64" s="306"/>
      <c r="K64" s="306"/>
      <c r="L64" s="305" t="str">
        <f>IF(RIGHT(IF(OR(L65="",L66="",L67="",L68="",L69=""),"",IF(CONCATENATE(IF(L65="Yes","C-Statistic / ",""),IF(L66="Yes","D-Statistics / ",""),IF(L67="Yes","AUC graph / ",""),IF(L68="Yes","Log-rank test / ",""),IF(L69="Yes","Risk group curves / ",""),IF(L70="Yes",N70,""))="","Not evaluated",CONCATENATE(IF(L65="Yes","C-Statistic / ",""),IF(L66="Yes","D-Statistics / ",""),IF(L67="Yes","AUC graph / ",""),IF(L68="Yes","Log-rank test / ",""),IF(L69="Yes","Risk group curves / ",""),IF(L70="Yes",N70,"")))),2)="/ ",LEFT(IF(OR(L65="",L66="",L67="",L68="",L69=""),"",IF(CONCATENATE(IF(L65="Yes","C-Statistic / ",""),IF(L66="Yes","D-Statistics / ",""),IF(L67="Yes","AUC graph / ",""),IF(L68="Yes","Log-rank test / ",""),IF(L69="Yes","Risk group curves / ",""),IF(L70="Yes",N70,""))="","Not evaluated",CONCATENATE(IF(L65="Yes","C-Statistic / ",""),IF(L66="Yes","D-Statistics / ",""),IF(L67="Yes","AUC graph / ",""),IF(L68="Yes","Log-rank test / ",""),IF(L69="Yes","Risk group curves / ",""),IF(L70="Yes",N70,"")))),LEN(IF(OR(L65="",L66="",L67="",L68="",L69=""),"",IF(CONCATENATE(IF(L65="Yes","C-Statistic / ",""),IF(L66="Yes","D-Statistics / ",""),IF(L67="Yes","AUC graph / ",""),IF(L68="Yes","Log-rank test / ",""),IF(L69="Yes","Risk group curves / ",""),IF(L70="Yes",N70,""))="","Not evaluated",CONCATENATE(IF(L65="Yes","C-Statistic / ",""),IF(L66="Yes","D-Statistics / ",""),IF(L67="Yes","AUC graph / ",""),IF(L68="Yes","Log-rank test / ",""),IF(L69="Yes","Risk group curves / ",""),IF(L70="Yes",N70,"")))))-2),IF(OR(L65="",L66="",L67="",L68="",L69=""),"",IF(CONCATENATE(IF(L65="Yes","C-Statistic / ",""),IF(L66="Yes","D-Statistics / ",""),IF(L67="Yes","AUC graph / ",""),IF(L68="Yes","Log-rank test / ",""),IF(L69="Yes","Risk group curves / ",""),IF(L70="Yes",N70,""))="","Not evaluated",CONCATENATE(IF(L65="Yes","C-Statistic / ",""),IF(L66="Yes","D-Statistics / ",""),IF(L67="Yes","AUC graph / ",""),IF(L68="Yes","Log-rank test / ",""),IF(L69="Yes","Risk group curves / ",""),IF(L70="Yes",N70,"")))))</f>
        <v>C-Statistic / AUC graph / Sensitivity (0.646, 0.642 - 0.649),  specificity (0.646, 0.645 - 0.648), ppv (0.195, 0.193 - 0.196), npv (0.932, 0.931 - 0.933)</v>
      </c>
      <c r="M64" s="306"/>
      <c r="N64" s="306"/>
      <c r="O64" s="305" t="str">
        <f>IF(RIGHT(IF(OR(O65="",O66="",O67="",O68="",O69=""),"",IF(CONCATENATE(IF(O65="Yes","C-Statistic / ",""),IF(O66="Yes","D-Statistics / ",""),IF(O67="Yes","AUC graph / ",""),IF(O68="Yes","Log-rank test / ",""),IF(O69="Yes","Risk group curves / ",""),IF(O70="Yes",Q70,""))="","Not evaluated",CONCATENATE(IF(O65="Yes","C-Statistic / ",""),IF(O66="Yes","D-Statistics / ",""),IF(O67="Yes","AUC graph / ",""),IF(O68="Yes","Log-rank test / ",""),IF(O69="Yes","Risk group curves / ",""),IF(O70="Yes",Q70,"")))),2)="/ ",LEFT(IF(OR(O65="",O66="",O67="",O68="",O69=""),"",IF(CONCATENATE(IF(O65="Yes","C-Statistic / ",""),IF(O66="Yes","D-Statistics / ",""),IF(O67="Yes","AUC graph / ",""),IF(O68="Yes","Log-rank test / ",""),IF(O69="Yes","Risk group curves / ",""),IF(O70="Yes",Q70,""))="","Not evaluated",CONCATENATE(IF(O65="Yes","C-Statistic / ",""),IF(O66="Yes","D-Statistics / ",""),IF(O67="Yes","AUC graph / ",""),IF(O68="Yes","Log-rank test / ",""),IF(O69="Yes","Risk group curves / ",""),IF(O70="Yes",Q70,"")))),LEN(IF(OR(O65="",O66="",O67="",O68="",O69=""),"",IF(CONCATENATE(IF(O65="Yes","C-Statistic / ",""),IF(O66="Yes","D-Statistics / ",""),IF(O67="Yes","AUC graph / ",""),IF(O68="Yes","Log-rank test / ",""),IF(O69="Yes","Risk group curves / ",""),IF(O70="Yes",Q70,""))="","Not evaluated",CONCATENATE(IF(O65="Yes","C-Statistic / ",""),IF(O66="Yes","D-Statistics / ",""),IF(O67="Yes","AUC graph / ",""),IF(O68="Yes","Log-rank test / ",""),IF(O69="Yes","Risk group curves / ",""),IF(O70="Yes",Q70,"")))))-2),IF(OR(O65="",O66="",O67="",O68="",O69=""),"",IF(CONCATENATE(IF(O65="Yes","C-Statistic / ",""),IF(O66="Yes","D-Statistics / ",""),IF(O67="Yes","AUC graph / ",""),IF(O68="Yes","Log-rank test / ",""),IF(O69="Yes","Risk group curves / ",""),IF(O70="Yes",Q70,""))="","Not evaluated",CONCATENATE(IF(O65="Yes","C-Statistic / ",""),IF(O66="Yes","D-Statistics / ",""),IF(O67="Yes","AUC graph / ",""),IF(O68="Yes","Log-rank test / ",""),IF(O69="Yes","Risk group curves / ",""),IF(O70="Yes",Q70,"")))))</f>
        <v>C-Statistic / AUC-PR, MCC (0.45)</v>
      </c>
      <c r="P64" s="306"/>
      <c r="Q64" s="306"/>
      <c r="R64" s="305" t="str">
        <f>IF(RIGHT(IF(OR(R65="",R66="",R67="",R68="",R69=""),"",IF(CONCATENATE(IF(R65="Yes","C-Statistic / ",""),IF(R66="Yes","D-Statistics / ",""),IF(R67="Yes","AUC graph / ",""),IF(R68="Yes","Log-rank test / ",""),IF(R69="Yes","Risk group curves / ",""),IF(R70="Yes",T70,""))="","Not evaluated",CONCATENATE(IF(R65="Yes","C-Statistic / ",""),IF(R66="Yes","D-Statistics / ",""),IF(R67="Yes","AUC graph / ",""),IF(R68="Yes","Log-rank test / ",""),IF(R69="Yes","Risk group curves / ",""),IF(R70="Yes",T70,"")))),2)="/ ",LEFT(IF(OR(R65="",R66="",R67="",R68="",R69=""),"",IF(CONCATENATE(IF(R65="Yes","C-Statistic / ",""),IF(R66="Yes","D-Statistics / ",""),IF(R67="Yes","AUC graph / ",""),IF(R68="Yes","Log-rank test / ",""),IF(R69="Yes","Risk group curves / ",""),IF(R70="Yes",T70,""))="","Not evaluated",CONCATENATE(IF(R65="Yes","C-Statistic / ",""),IF(R66="Yes","D-Statistics / ",""),IF(R67="Yes","AUC graph / ",""),IF(R68="Yes","Log-rank test / ",""),IF(R69="Yes","Risk group curves / ",""),IF(R70="Yes",T70,"")))),LEN(IF(OR(R65="",R66="",R67="",R68="",R69=""),"",IF(CONCATENATE(IF(R65="Yes","C-Statistic / ",""),IF(R66="Yes","D-Statistics / ",""),IF(R67="Yes","AUC graph / ",""),IF(R68="Yes","Log-rank test / ",""),IF(R69="Yes","Risk group curves / ",""),IF(R70="Yes",T70,""))="","Not evaluated",CONCATENATE(IF(R65="Yes","C-Statistic / ",""),IF(R66="Yes","D-Statistics / ",""),IF(R67="Yes","AUC graph / ",""),IF(R68="Yes","Log-rank test / ",""),IF(R69="Yes","Risk group curves / ",""),IF(R70="Yes",T70,"")))))-2),IF(OR(R65="",R66="",R67="",R68="",R69=""),"",IF(CONCATENATE(IF(R65="Yes","C-Statistic / ",""),IF(R66="Yes","D-Statistics / ",""),IF(R67="Yes","AUC graph / ",""),IF(R68="Yes","Log-rank test / ",""),IF(R69="Yes","Risk group curves / ",""),IF(R70="Yes",T70,""))="","Not evaluated",CONCATENATE(IF(R65="Yes","C-Statistic / ",""),IF(R66="Yes","D-Statistics / ",""),IF(R67="Yes","AUC graph / ",""),IF(R68="Yes","Log-rank test / ",""),IF(R69="Yes","Risk group curves / ",""),IF(R70="Yes",T70,"")))))</f>
        <v>C-Statistic / AUC-PR, MCC(0.37)</v>
      </c>
      <c r="S64" s="306"/>
      <c r="T64" s="306"/>
      <c r="U64" s="305" t="str">
        <f>IF(RIGHT(IF(OR(U65="",U66="",U67="",U68="",U69=""),"",IF(CONCATENATE(IF(U65="Yes","C-Statistic / ",""),IF(U66="Yes","D-Statistics / ",""),IF(U67="Yes","AUC graph / ",""),IF(U68="Yes","Log-rank test / ",""),IF(U69="Yes","Risk group curves / ",""),IF(U70="Yes",W70,""))="","Not evaluated",CONCATENATE(IF(U65="Yes","C-Statistic / ",""),IF(U66="Yes","D-Statistics / ",""),IF(U67="Yes","AUC graph / ",""),IF(U68="Yes","Log-rank test / ",""),IF(U69="Yes","Risk group curves / ",""),IF(U70="Yes",W70,"")))),2)="/ ",LEFT(IF(OR(U65="",U66="",U67="",U68="",U69=""),"",IF(CONCATENATE(IF(U65="Yes","C-Statistic / ",""),IF(U66="Yes","D-Statistics / ",""),IF(U67="Yes","AUC graph / ",""),IF(U68="Yes","Log-rank test / ",""),IF(U69="Yes","Risk group curves / ",""),IF(U70="Yes",W70,""))="","Not evaluated",CONCATENATE(IF(U65="Yes","C-Statistic / ",""),IF(U66="Yes","D-Statistics / ",""),IF(U67="Yes","AUC graph / ",""),IF(U68="Yes","Log-rank test / ",""),IF(U69="Yes","Risk group curves / ",""),IF(U70="Yes",W70,"")))),LEN(IF(OR(U65="",U66="",U67="",U68="",U69=""),"",IF(CONCATENATE(IF(U65="Yes","C-Statistic / ",""),IF(U66="Yes","D-Statistics / ",""),IF(U67="Yes","AUC graph / ",""),IF(U68="Yes","Log-rank test / ",""),IF(U69="Yes","Risk group curves / ",""),IF(U70="Yes",W70,""))="","Not evaluated",CONCATENATE(IF(U65="Yes","C-Statistic / ",""),IF(U66="Yes","D-Statistics / ",""),IF(U67="Yes","AUC graph / ",""),IF(U68="Yes","Log-rank test / ",""),IF(U69="Yes","Risk group curves / ",""),IF(U70="Yes",W70,"")))))-2),IF(OR(U65="",U66="",U67="",U68="",U69=""),"",IF(CONCATENATE(IF(U65="Yes","C-Statistic / ",""),IF(U66="Yes","D-Statistics / ",""),IF(U67="Yes","AUC graph / ",""),IF(U68="Yes","Log-rank test / ",""),IF(U69="Yes","Risk group curves / ",""),IF(U70="Yes",W70,""))="","Not evaluated",CONCATENATE(IF(U65="Yes","C-Statistic / ",""),IF(U66="Yes","D-Statistics / ",""),IF(U67="Yes","AUC graph / ",""),IF(U68="Yes","Log-rank test / ",""),IF(U69="Yes","Risk group curves / ",""),IF(U70="Yes",W70,"")))))</f>
        <v>PPV (24.5, SD = 0.01)</v>
      </c>
      <c r="V64" s="306"/>
      <c r="W64" s="306"/>
      <c r="X64" s="305" t="str">
        <f>IF(RIGHT(IF(OR(X65="",X66="",X67="",X68="",X69=""),"",IF(CONCATENATE(IF(X65="Yes","C-Statistic / ",""),IF(X66="Yes","D-Statistics / ",""),IF(X67="Yes","AUC graph / ",""),IF(X68="Yes","Log-rank test / ",""),IF(X69="Yes","Risk group curves / ",""),IF(X70="Yes",Z70,""))="","Not evaluated",CONCATENATE(IF(X65="Yes","C-Statistic / ",""),IF(X66="Yes","D-Statistics / ",""),IF(X67="Yes","AUC graph / ",""),IF(X68="Yes","Log-rank test / ",""),IF(X69="Yes","Risk group curves / ",""),IF(X70="Yes",Z70,"")))),2)="/ ",LEFT(IF(OR(X65="",X66="",X67="",X68="",X69=""),"",IF(CONCATENATE(IF(X65="Yes","C-Statistic / ",""),IF(X66="Yes","D-Statistics / ",""),IF(X67="Yes","AUC graph / ",""),IF(X68="Yes","Log-rank test / ",""),IF(X69="Yes","Risk group curves / ",""),IF(X70="Yes",Z70,""))="","Not evaluated",CONCATENATE(IF(X65="Yes","C-Statistic / ",""),IF(X66="Yes","D-Statistics / ",""),IF(X67="Yes","AUC graph / ",""),IF(X68="Yes","Log-rank test / ",""),IF(X69="Yes","Risk group curves / ",""),IF(X70="Yes",Z70,"")))),LEN(IF(OR(X65="",X66="",X67="",X68="",X69=""),"",IF(CONCATENATE(IF(X65="Yes","C-Statistic / ",""),IF(X66="Yes","D-Statistics / ",""),IF(X67="Yes","AUC graph / ",""),IF(X68="Yes","Log-rank test / ",""),IF(X69="Yes","Risk group curves / ",""),IF(X70="Yes",Z70,""))="","Not evaluated",CONCATENATE(IF(X65="Yes","C-Statistic / ",""),IF(X66="Yes","D-Statistics / ",""),IF(X67="Yes","AUC graph / ",""),IF(X68="Yes","Log-rank test / ",""),IF(X69="Yes","Risk group curves / ",""),IF(X70="Yes",Z70,"")))))-2),IF(OR(X65="",X66="",X67="",X68="",X69=""),"",IF(CONCATENATE(IF(X65="Yes","C-Statistic / ",""),IF(X66="Yes","D-Statistics / ",""),IF(X67="Yes","AUC graph / ",""),IF(X68="Yes","Log-rank test / ",""),IF(X69="Yes","Risk group curves / ",""),IF(X70="Yes",Z70,""))="","Not evaluated",CONCATENATE(IF(X65="Yes","C-Statistic / ",""),IF(X66="Yes","D-Statistics / ",""),IF(X67="Yes","AUC graph / ",""),IF(X68="Yes","Log-rank test / ",""),IF(X69="Yes","Risk group curves / ",""),IF(X70="Yes",Z70,"")))))</f>
        <v>PPV (15.5, 0.04)</v>
      </c>
      <c r="Y64" s="306"/>
      <c r="Z64" s="306"/>
      <c r="AA64" s="305" t="str">
        <f>IF(RIGHT(IF(OR(AA65="",AA66="",AA67="",AA68="",AA69=""),"",IF(CONCATENATE(IF(AA65="Yes","C-Statistic / ",""),IF(AA66="Yes","D-Statistics / ",""),IF(AA67="Yes","AUC graph / ",""),IF(AA68="Yes","Log-rank test / ",""),IF(AA69="Yes","Risk group curves / ",""),IF(AA70="Yes",AC70,""))="","Not evaluated",CONCATENATE(IF(AA65="Yes","C-Statistic / ",""),IF(AA66="Yes","D-Statistics / ",""),IF(AA67="Yes","AUC graph / ",""),IF(AA68="Yes","Log-rank test / ",""),IF(AA69="Yes","Risk group curves / ",""),IF(AA70="Yes",AC70,"")))),2)="/ ",LEFT(IF(OR(AA65="",AA66="",AA67="",AA68="",AA69=""),"",IF(CONCATENATE(IF(AA65="Yes","C-Statistic / ",""),IF(AA66="Yes","D-Statistics / ",""),IF(AA67="Yes","AUC graph / ",""),IF(AA68="Yes","Log-rank test / ",""),IF(AA69="Yes","Risk group curves / ",""),IF(AA70="Yes",AC70,""))="","Not evaluated",CONCATENATE(IF(AA65="Yes","C-Statistic / ",""),IF(AA66="Yes","D-Statistics / ",""),IF(AA67="Yes","AUC graph / ",""),IF(AA68="Yes","Log-rank test / ",""),IF(AA69="Yes","Risk group curves / ",""),IF(AA70="Yes",AC70,"")))),LEN(IF(OR(AA65="",AA66="",AA67="",AA68="",AA69=""),"",IF(CONCATENATE(IF(AA65="Yes","C-Statistic / ",""),IF(AA66="Yes","D-Statistics / ",""),IF(AA67="Yes","AUC graph / ",""),IF(AA68="Yes","Log-rank test / ",""),IF(AA69="Yes","Risk group curves / ",""),IF(AA70="Yes",AC70,""))="","Not evaluated",CONCATENATE(IF(AA65="Yes","C-Statistic / ",""),IF(AA66="Yes","D-Statistics / ",""),IF(AA67="Yes","AUC graph / ",""),IF(AA68="Yes","Log-rank test / ",""),IF(AA69="Yes","Risk group curves / ",""),IF(AA70="Yes",AC70,"")))))-2),IF(OR(AA65="",AA66="",AA67="",AA68="",AA69=""),"",IF(CONCATENATE(IF(AA65="Yes","C-Statistic / ",""),IF(AA66="Yes","D-Statistics / ",""),IF(AA67="Yes","AUC graph / ",""),IF(AA68="Yes","Log-rank test / ",""),IF(AA69="Yes","Risk group curves / ",""),IF(AA70="Yes",AC70,""))="","Not evaluated",CONCATENATE(IF(AA65="Yes","C-Statistic / ",""),IF(AA66="Yes","D-Statistics / ",""),IF(AA67="Yes","AUC graph / ",""),IF(AA68="Yes","Log-rank test / ",""),IF(AA69="Yes","Risk group curves / ",""),IF(AA70="Yes",AC70,"")))))</f>
        <v>C-Statistic / AUC graph / Sensitivity (0.74,  0.70 - 0.78), Specificity (0.54, 0.44 - 0.64)</v>
      </c>
      <c r="AB64" s="306"/>
      <c r="AC64" s="306"/>
      <c r="AD64" s="305" t="str">
        <f>IF(RIGHT(IF(OR(AD65="",AD66="",AD67="",AD68="",AD69=""),"",IF(CONCATENATE(IF(AD65="Yes","C-Statistic / ",""),IF(AD66="Yes","D-Statistics / ",""),IF(AD67="Yes","AUC graph / ",""),IF(AD68="Yes","Log-rank test / ",""),IF(AD69="Yes","Risk group curves / ",""),IF(AD70="Yes",AF70,""))="","Not evaluated",CONCATENATE(IF(AD65="Yes","C-Statistic / ",""),IF(AD66="Yes","D-Statistics / ",""),IF(AD67="Yes","AUC graph / ",""),IF(AD68="Yes","Log-rank test / ",""),IF(AD69="Yes","Risk group curves / ",""),IF(AD70="Yes",AF70,"")))),2)="/ ",LEFT(IF(OR(AD65="",AD66="",AD67="",AD68="",AD69=""),"",IF(CONCATENATE(IF(AD65="Yes","C-Statistic / ",""),IF(AD66="Yes","D-Statistics / ",""),IF(AD67="Yes","AUC graph / ",""),IF(AD68="Yes","Log-rank test / ",""),IF(AD69="Yes","Risk group curves / ",""),IF(AD70="Yes",AF70,""))="","Not evaluated",CONCATENATE(IF(AD65="Yes","C-Statistic / ",""),IF(AD66="Yes","D-Statistics / ",""),IF(AD67="Yes","AUC graph / ",""),IF(AD68="Yes","Log-rank test / ",""),IF(AD69="Yes","Risk group curves / ",""),IF(AD70="Yes",AF70,"")))),LEN(IF(OR(AD65="",AD66="",AD67="",AD68="",AD69=""),"",IF(CONCATENATE(IF(AD65="Yes","C-Statistic / ",""),IF(AD66="Yes","D-Statistics / ",""),IF(AD67="Yes","AUC graph / ",""),IF(AD68="Yes","Log-rank test / ",""),IF(AD69="Yes","Risk group curves / ",""),IF(AD70="Yes",AF70,""))="","Not evaluated",CONCATENATE(IF(AD65="Yes","C-Statistic / ",""),IF(AD66="Yes","D-Statistics / ",""),IF(AD67="Yes","AUC graph / ",""),IF(AD68="Yes","Log-rank test / ",""),IF(AD69="Yes","Risk group curves / ",""),IF(AD70="Yes",AF70,"")))))-2),IF(OR(AD65="",AD66="",AD67="",AD68="",AD69=""),"",IF(CONCATENATE(IF(AD65="Yes","C-Statistic / ",""),IF(AD66="Yes","D-Statistics / ",""),IF(AD67="Yes","AUC graph / ",""),IF(AD68="Yes","Log-rank test / ",""),IF(AD69="Yes","Risk group curves / ",""),IF(AD70="Yes",AF70,""))="","Not evaluated",CONCATENATE(IF(AD65="Yes","C-Statistic / ",""),IF(AD66="Yes","D-Statistics / ",""),IF(AD67="Yes","AUC graph / ",""),IF(AD68="Yes","Log-rank test / ",""),IF(AD69="Yes","Risk group curves / ",""),IF(AD70="Yes",AF70,"")))))</f>
        <v>C-Statistic / AUC graph / Accuracy (0.786), sensitivity (0.406), specificity (0.83), npv (0.92), ppv (0.22)</v>
      </c>
      <c r="AE64" s="306"/>
      <c r="AF64" s="306"/>
      <c r="AG64" s="305" t="str">
        <f>IF(RIGHT(IF(OR(AG65="",AG66="",AG67="",AG68="",AG69=""),"",IF(CONCATENATE(IF(AG65="Yes","C-Statistic / ",""),IF(AG66="Yes","D-Statistics / ",""),IF(AG67="Yes","AUC graph / ",""),IF(AG68="Yes","Log-rank test / ",""),IF(AG69="Yes","Risk group curves / ",""),IF(AG70="Yes",AI70,""))="","Not evaluated",CONCATENATE(IF(AG65="Yes","C-Statistic / ",""),IF(AG66="Yes","D-Statistics / ",""),IF(AG67="Yes","AUC graph / ",""),IF(AG68="Yes","Log-rank test / ",""),IF(AG69="Yes","Risk group curves / ",""),IF(AG70="Yes",AI70,"")))),2)="/ ",LEFT(IF(OR(AG65="",AG66="",AG67="",AG68="",AG69=""),"",IF(CONCATENATE(IF(AG65="Yes","C-Statistic / ",""),IF(AG66="Yes","D-Statistics / ",""),IF(AG67="Yes","AUC graph / ",""),IF(AG68="Yes","Log-rank test / ",""),IF(AG69="Yes","Risk group curves / ",""),IF(AG70="Yes",AI70,""))="","Not evaluated",CONCATENATE(IF(AG65="Yes","C-Statistic / ",""),IF(AG66="Yes","D-Statistics / ",""),IF(AG67="Yes","AUC graph / ",""),IF(AG68="Yes","Log-rank test / ",""),IF(AG69="Yes","Risk group curves / ",""),IF(AG70="Yes",AI70,"")))),LEN(IF(OR(AG65="",AG66="",AG67="",AG68="",AG69=""),"",IF(CONCATENATE(IF(AG65="Yes","C-Statistic / ",""),IF(AG66="Yes","D-Statistics / ",""),IF(AG67="Yes","AUC graph / ",""),IF(AG68="Yes","Log-rank test / ",""),IF(AG69="Yes","Risk group curves / ",""),IF(AG70="Yes",AI70,""))="","Not evaluated",CONCATENATE(IF(AG65="Yes","C-Statistic / ",""),IF(AG66="Yes","D-Statistics / ",""),IF(AG67="Yes","AUC graph / ",""),IF(AG68="Yes","Log-rank test / ",""),IF(AG69="Yes","Risk group curves / ",""),IF(AG70="Yes",AI70,"")))))-2),IF(OR(AG65="",AG66="",AG67="",AG68="",AG69=""),"",IF(CONCATENATE(IF(AG65="Yes","C-Statistic / ",""),IF(AG66="Yes","D-Statistics / ",""),IF(AG67="Yes","AUC graph / ",""),IF(AG68="Yes","Log-rank test / ",""),IF(AG69="Yes","Risk group curves / ",""),IF(AG70="Yes",AI70,""))="","Not evaluated",CONCATENATE(IF(AG65="Yes","C-Statistic / ",""),IF(AG66="Yes","D-Statistics / ",""),IF(AG67="Yes","AUC graph / ",""),IF(AG68="Yes","Log-rank test / ",""),IF(AG69="Yes","Risk group curves / ",""),IF(AG70="Yes",AI70,"")))))</f>
        <v>C-Statistic / Accuracy = 0.63, Specificity = 0.52, specificity =0.64, ppv = 0.19, NPV = 0.89</v>
      </c>
      <c r="AH64" s="306"/>
      <c r="AI64" s="306"/>
      <c r="AJ64" s="305" t="str">
        <f>IF(RIGHT(IF(OR(AJ65="",AJ66="",AJ67="",AJ68="",AJ69=""),"",IF(CONCATENATE(IF(AJ65="Yes","C-Statistic / ",""),IF(AJ66="Yes","D-Statistics / ",""),IF(AJ67="Yes","AUC graph / ",""),IF(AJ68="Yes","Log-rank test / ",""),IF(AJ69="Yes","Risk group curves / ",""),IF(AJ70="Yes",AL70,""))="","Not evaluated",CONCATENATE(IF(AJ65="Yes","C-Statistic / ",""),IF(AJ66="Yes","D-Statistics / ",""),IF(AJ67="Yes","AUC graph / ",""),IF(AJ68="Yes","Log-rank test / ",""),IF(AJ69="Yes","Risk group curves / ",""),IF(AJ70="Yes",AL70,"")))),2)="/ ",LEFT(IF(OR(AJ65="",AJ66="",AJ67="",AJ68="",AJ69=""),"",IF(CONCATENATE(IF(AJ65="Yes","C-Statistic / ",""),IF(AJ66="Yes","D-Statistics / ",""),IF(AJ67="Yes","AUC graph / ",""),IF(AJ68="Yes","Log-rank test / ",""),IF(AJ69="Yes","Risk group curves / ",""),IF(AJ70="Yes",AL70,""))="","Not evaluated",CONCATENATE(IF(AJ65="Yes","C-Statistic / ",""),IF(AJ66="Yes","D-Statistics / ",""),IF(AJ67="Yes","AUC graph / ",""),IF(AJ68="Yes","Log-rank test / ",""),IF(AJ69="Yes","Risk group curves / ",""),IF(AJ70="Yes",AL70,"")))),LEN(IF(OR(AJ65="",AJ66="",AJ67="",AJ68="",AJ69=""),"",IF(CONCATENATE(IF(AJ65="Yes","C-Statistic / ",""),IF(AJ66="Yes","D-Statistics / ",""),IF(AJ67="Yes","AUC graph / ",""),IF(AJ68="Yes","Log-rank test / ",""),IF(AJ69="Yes","Risk group curves / ",""),IF(AJ70="Yes",AL70,""))="","Not evaluated",CONCATENATE(IF(AJ65="Yes","C-Statistic / ",""),IF(AJ66="Yes","D-Statistics / ",""),IF(AJ67="Yes","AUC graph / ",""),IF(AJ68="Yes","Log-rank test / ",""),IF(AJ69="Yes","Risk group curves / ",""),IF(AJ70="Yes",AL70,"")))))-2),IF(OR(AJ65="",AJ66="",AJ67="",AJ68="",AJ69=""),"",IF(CONCATENATE(IF(AJ65="Yes","C-Statistic / ",""),IF(AJ66="Yes","D-Statistics / ",""),IF(AJ67="Yes","AUC graph / ",""),IF(AJ68="Yes","Log-rank test / ",""),IF(AJ69="Yes","Risk group curves / ",""),IF(AJ70="Yes",AL70,""))="","Not evaluated",CONCATENATE(IF(AJ65="Yes","C-Statistic / ",""),IF(AJ66="Yes","D-Statistics / ",""),IF(AJ67="Yes","AUC graph / ",""),IF(AJ68="Yes","Log-rank test / ",""),IF(AJ69="Yes","Risk group curves / ",""),IF(AJ70="Yes",AL70,"")))))</f>
        <v xml:space="preserve">C-Statistic / AUC graph </v>
      </c>
      <c r="AK64" s="306"/>
      <c r="AL64" s="306"/>
      <c r="AM64" s="305" t="str">
        <f>IF(RIGHT(IF(OR(AM65="",AM66="",AM67="",AM68="",AM69=""),"",IF(CONCATENATE(IF(AM65="Yes","C-Statistic / ",""),IF(AM66="Yes","D-Statistics / ",""),IF(AM67="Yes","AUC graph / ",""),IF(AM68="Yes","Log-rank test / ",""),IF(AM69="Yes","Risk group curves / ",""),IF(AM70="Yes",AO70,""))="","Not evaluated",CONCATENATE(IF(AM65="Yes","C-Statistic / ",""),IF(AM66="Yes","D-Statistics / ",""),IF(AM67="Yes","AUC graph / ",""),IF(AM68="Yes","Log-rank test / ",""),IF(AM69="Yes","Risk group curves / ",""),IF(AM70="Yes",AO70,"")))),2)="/ ",LEFT(IF(OR(AM65="",AM66="",AM67="",AM68="",AM69=""),"",IF(CONCATENATE(IF(AM65="Yes","C-Statistic / ",""),IF(AM66="Yes","D-Statistics / ",""),IF(AM67="Yes","AUC graph / ",""),IF(AM68="Yes","Log-rank test / ",""),IF(AM69="Yes","Risk group curves / ",""),IF(AM70="Yes",AO70,""))="","Not evaluated",CONCATENATE(IF(AM65="Yes","C-Statistic / ",""),IF(AM66="Yes","D-Statistics / ",""),IF(AM67="Yes","AUC graph / ",""),IF(AM68="Yes","Log-rank test / ",""),IF(AM69="Yes","Risk group curves / ",""),IF(AM70="Yes",AO70,"")))),LEN(IF(OR(AM65="",AM66="",AM67="",AM68="",AM69=""),"",IF(CONCATENATE(IF(AM65="Yes","C-Statistic / ",""),IF(AM66="Yes","D-Statistics / ",""),IF(AM67="Yes","AUC graph / ",""),IF(AM68="Yes","Log-rank test / ",""),IF(AM69="Yes","Risk group curves / ",""),IF(AM70="Yes",AO70,""))="","Not evaluated",CONCATENATE(IF(AM65="Yes","C-Statistic / ",""),IF(AM66="Yes","D-Statistics / ",""),IF(AM67="Yes","AUC graph / ",""),IF(AM68="Yes","Log-rank test / ",""),IF(AM69="Yes","Risk group curves / ",""),IF(AM70="Yes",AO70,"")))))-2),IF(OR(AM65="",AM66="",AM67="",AM68="",AM69=""),"",IF(CONCATENATE(IF(AM65="Yes","C-Statistic / ",""),IF(AM66="Yes","D-Statistics / ",""),IF(AM67="Yes","AUC graph / ",""),IF(AM68="Yes","Log-rank test / ",""),IF(AM69="Yes","Risk group curves / ",""),IF(AM70="Yes",AO70,""))="","Not evaluated",CONCATENATE(IF(AM65="Yes","C-Statistic / ",""),IF(AM66="Yes","D-Statistics / ",""),IF(AM67="Yes","AUC graph / ",""),IF(AM68="Yes","Log-rank test / ",""),IF(AM69="Yes","Risk group curves / ",""),IF(AM70="Yes",AO70,"")))))</f>
        <v>C-Statistic / Accuracy (0.723)</v>
      </c>
      <c r="AN64" s="306"/>
      <c r="AO64" s="306"/>
      <c r="AP64" s="305" t="str">
        <f>IF(RIGHT(IF(OR(AP65="",AP66="",AP67="",AP68="",AP69=""),"",IF(CONCATENATE(IF(AP65="Yes","C-Statistic / ",""),IF(AP66="Yes","D-Statistics / ",""),IF(AP67="Yes","AUC graph / ",""),IF(AP68="Yes","Log-rank test / ",""),IF(AP69="Yes","Risk group curves / ",""),IF(AP70="Yes",AR70,""))="","Not evaluated",CONCATENATE(IF(AP65="Yes","C-Statistic / ",""),IF(AP66="Yes","D-Statistics / ",""),IF(AP67="Yes","AUC graph / ",""),IF(AP68="Yes","Log-rank test / ",""),IF(AP69="Yes","Risk group curves / ",""),IF(AP70="Yes",AR70,"")))),2)="/ ",LEFT(IF(OR(AP65="",AP66="",AP67="",AP68="",AP69=""),"",IF(CONCATENATE(IF(AP65="Yes","C-Statistic / ",""),IF(AP66="Yes","D-Statistics / ",""),IF(AP67="Yes","AUC graph / ",""),IF(AP68="Yes","Log-rank test / ",""),IF(AP69="Yes","Risk group curves / ",""),IF(AP70="Yes",AR70,""))="","Not evaluated",CONCATENATE(IF(AP65="Yes","C-Statistic / ",""),IF(AP66="Yes","D-Statistics / ",""),IF(AP67="Yes","AUC graph / ",""),IF(AP68="Yes","Log-rank test / ",""),IF(AP69="Yes","Risk group curves / ",""),IF(AP70="Yes",AR70,"")))),LEN(IF(OR(AP65="",AP66="",AP67="",AP68="",AP69=""),"",IF(CONCATENATE(IF(AP65="Yes","C-Statistic / ",""),IF(AP66="Yes","D-Statistics / ",""),IF(AP67="Yes","AUC graph / ",""),IF(AP68="Yes","Log-rank test / ",""),IF(AP69="Yes","Risk group curves / ",""),IF(AP70="Yes",AR70,""))="","Not evaluated",CONCATENATE(IF(AP65="Yes","C-Statistic / ",""),IF(AP66="Yes","D-Statistics / ",""),IF(AP67="Yes","AUC graph / ",""),IF(AP68="Yes","Log-rank test / ",""),IF(AP69="Yes","Risk group curves / ",""),IF(AP70="Yes",AR70,"")))))-2),IF(OR(AP65="",AP66="",AP67="",AP68="",AP69=""),"",IF(CONCATENATE(IF(AP65="Yes","C-Statistic / ",""),IF(AP66="Yes","D-Statistics / ",""),IF(AP67="Yes","AUC graph / ",""),IF(AP68="Yes","Log-rank test / ",""),IF(AP69="Yes","Risk group curves / ",""),IF(AP70="Yes",AR70,""))="","Not evaluated",CONCATENATE(IF(AP65="Yes","C-Statistic / ",""),IF(AP66="Yes","D-Statistics / ",""),IF(AP67="Yes","AUC graph / ",""),IF(AP68="Yes","Log-rank test / ",""),IF(AP69="Yes","Risk group curves / ",""),IF(AP70="Yes",AR70,"")))))</f>
        <v/>
      </c>
      <c r="AQ64" s="306"/>
      <c r="AR64" s="306"/>
      <c r="AS64" s="305" t="str">
        <f>IF(RIGHT(IF(OR(AS65="",AS66="",AS67="",AS68="",AS69=""),"",IF(CONCATENATE(IF(AS65="Yes","C-Statistic / ",""),IF(AS66="Yes","D-Statistics / ",""),IF(AS67="Yes","AUC graph / ",""),IF(AS68="Yes","Log-rank test / ",""),IF(AS69="Yes","Risk group curves / ",""),IF(AS70="Yes",AU70,""))="","Not evaluated",CONCATENATE(IF(AS65="Yes","C-Statistic / ",""),IF(AS66="Yes","D-Statistics / ",""),IF(AS67="Yes","AUC graph / ",""),IF(AS68="Yes","Log-rank test / ",""),IF(AS69="Yes","Risk group curves / ",""),IF(AS70="Yes",AU70,"")))),2)="/ ",LEFT(IF(OR(AS65="",AS66="",AS67="",AS68="",AS69=""),"",IF(CONCATENATE(IF(AS65="Yes","C-Statistic / ",""),IF(AS66="Yes","D-Statistics / ",""),IF(AS67="Yes","AUC graph / ",""),IF(AS68="Yes","Log-rank test / ",""),IF(AS69="Yes","Risk group curves / ",""),IF(AS70="Yes",AU70,""))="","Not evaluated",CONCATENATE(IF(AS65="Yes","C-Statistic / ",""),IF(AS66="Yes","D-Statistics / ",""),IF(AS67="Yes","AUC graph / ",""),IF(AS68="Yes","Log-rank test / ",""),IF(AS69="Yes","Risk group curves / ",""),IF(AS70="Yes",AU70,"")))),LEN(IF(OR(AS65="",AS66="",AS67="",AS68="",AS69=""),"",IF(CONCATENATE(IF(AS65="Yes","C-Statistic / ",""),IF(AS66="Yes","D-Statistics / ",""),IF(AS67="Yes","AUC graph / ",""),IF(AS68="Yes","Log-rank test / ",""),IF(AS69="Yes","Risk group curves / ",""),IF(AS70="Yes",AU70,""))="","Not evaluated",CONCATENATE(IF(AS65="Yes","C-Statistic / ",""),IF(AS66="Yes","D-Statistics / ",""),IF(AS67="Yes","AUC graph / ",""),IF(AS68="Yes","Log-rank test / ",""),IF(AS69="Yes","Risk group curves / ",""),IF(AS70="Yes",AU70,"")))))-2),IF(OR(AS65="",AS66="",AS67="",AS68="",AS69=""),"",IF(CONCATENATE(IF(AS65="Yes","C-Statistic / ",""),IF(AS66="Yes","D-Statistics / ",""),IF(AS67="Yes","AUC graph / ",""),IF(AS68="Yes","Log-rank test / ",""),IF(AS69="Yes","Risk group curves / ",""),IF(AS70="Yes",AU70,""))="","Not evaluated",CONCATENATE(IF(AS65="Yes","C-Statistic / ",""),IF(AS66="Yes","D-Statistics / ",""),IF(AS67="Yes","AUC graph / ",""),IF(AS68="Yes","Log-rank test / ",""),IF(AS69="Yes","Risk group curves / ",""),IF(AS70="Yes",AU70,"")))))</f>
        <v/>
      </c>
      <c r="AT64" s="306"/>
      <c r="AU64" s="306"/>
      <c r="AV64" s="305" t="str">
        <f>IF(RIGHT(IF(OR(AV65="",AV66="",AV67="",AV68="",AV69=""),"",IF(CONCATENATE(IF(AV65="Yes","C-Statistic / ",""),IF(AV66="Yes","D-Statistics / ",""),IF(AV67="Yes","AUC graph / ",""),IF(AV68="Yes","Log-rank test / ",""),IF(AV69="Yes","Risk group curves / ",""),IF(AV70="Yes",AX70,""))="","Not evaluated",CONCATENATE(IF(AV65="Yes","C-Statistic / ",""),IF(AV66="Yes","D-Statistics / ",""),IF(AV67="Yes","AUC graph / ",""),IF(AV68="Yes","Log-rank test / ",""),IF(AV69="Yes","Risk group curves / ",""),IF(AV70="Yes",AX70,"")))),2)="/ ",LEFT(IF(OR(AV65="",AV66="",AV67="",AV68="",AV69=""),"",IF(CONCATENATE(IF(AV65="Yes","C-Statistic / ",""),IF(AV66="Yes","D-Statistics / ",""),IF(AV67="Yes","AUC graph / ",""),IF(AV68="Yes","Log-rank test / ",""),IF(AV69="Yes","Risk group curves / ",""),IF(AV70="Yes",AX70,""))="","Not evaluated",CONCATENATE(IF(AV65="Yes","C-Statistic / ",""),IF(AV66="Yes","D-Statistics / ",""),IF(AV67="Yes","AUC graph / ",""),IF(AV68="Yes","Log-rank test / ",""),IF(AV69="Yes","Risk group curves / ",""),IF(AV70="Yes",AX70,"")))),LEN(IF(OR(AV65="",AV66="",AV67="",AV68="",AV69=""),"",IF(CONCATENATE(IF(AV65="Yes","C-Statistic / ",""),IF(AV66="Yes","D-Statistics / ",""),IF(AV67="Yes","AUC graph / ",""),IF(AV68="Yes","Log-rank test / ",""),IF(AV69="Yes","Risk group curves / ",""),IF(AV70="Yes",AX70,""))="","Not evaluated",CONCATENATE(IF(AV65="Yes","C-Statistic / ",""),IF(AV66="Yes","D-Statistics / ",""),IF(AV67="Yes","AUC graph / ",""),IF(AV68="Yes","Log-rank test / ",""),IF(AV69="Yes","Risk group curves / ",""),IF(AV70="Yes",AX70,"")))))-2),IF(OR(AV65="",AV66="",AV67="",AV68="",AV69=""),"",IF(CONCATENATE(IF(AV65="Yes","C-Statistic / ",""),IF(AV66="Yes","D-Statistics / ",""),IF(AV67="Yes","AUC graph / ",""),IF(AV68="Yes","Log-rank test / ",""),IF(AV69="Yes","Risk group curves / ",""),IF(AV70="Yes",AX70,""))="","Not evaluated",CONCATENATE(IF(AV65="Yes","C-Statistic / ",""),IF(AV66="Yes","D-Statistics / ",""),IF(AV67="Yes","AUC graph / ",""),IF(AV68="Yes","Log-rank test / ",""),IF(AV69="Yes","Risk group curves / ",""),IF(AV70="Yes",AX70,"")))))</f>
        <v/>
      </c>
      <c r="AW64" s="306"/>
      <c r="AX64" s="306"/>
      <c r="AY64" s="305" t="str">
        <f>IF(RIGHT(IF(OR(AY65="",AY66="",AY67="",AY68="",AY69=""),"",IF(CONCATENATE(IF(AY65="Yes","C-Statistic / ",""),IF(AY66="Yes","D-Statistics / ",""),IF(AY67="Yes","AUC graph / ",""),IF(AY68="Yes","Log-rank test / ",""),IF(AY69="Yes","Risk group curves / ",""),IF(AY70="Yes",BA70,""))="","Not evaluated",CONCATENATE(IF(AY65="Yes","C-Statistic / ",""),IF(AY66="Yes","D-Statistics / ",""),IF(AY67="Yes","AUC graph / ",""),IF(AY68="Yes","Log-rank test / ",""),IF(AY69="Yes","Risk group curves / ",""),IF(AY70="Yes",BA70,"")))),2)="/ ",LEFT(IF(OR(AY65="",AY66="",AY67="",AY68="",AY69=""),"",IF(CONCATENATE(IF(AY65="Yes","C-Statistic / ",""),IF(AY66="Yes","D-Statistics / ",""),IF(AY67="Yes","AUC graph / ",""),IF(AY68="Yes","Log-rank test / ",""),IF(AY69="Yes","Risk group curves / ",""),IF(AY70="Yes",BA70,""))="","Not evaluated",CONCATENATE(IF(AY65="Yes","C-Statistic / ",""),IF(AY66="Yes","D-Statistics / ",""),IF(AY67="Yes","AUC graph / ",""),IF(AY68="Yes","Log-rank test / ",""),IF(AY69="Yes","Risk group curves / ",""),IF(AY70="Yes",BA70,"")))),LEN(IF(OR(AY65="",AY66="",AY67="",AY68="",AY69=""),"",IF(CONCATENATE(IF(AY65="Yes","C-Statistic / ",""),IF(AY66="Yes","D-Statistics / ",""),IF(AY67="Yes","AUC graph / ",""),IF(AY68="Yes","Log-rank test / ",""),IF(AY69="Yes","Risk group curves / ",""),IF(AY70="Yes",BA70,""))="","Not evaluated",CONCATENATE(IF(AY65="Yes","C-Statistic / ",""),IF(AY66="Yes","D-Statistics / ",""),IF(AY67="Yes","AUC graph / ",""),IF(AY68="Yes","Log-rank test / ",""),IF(AY69="Yes","Risk group curves / ",""),IF(AY70="Yes",BA70,"")))))-2),IF(OR(AY65="",AY66="",AY67="",AY68="",AY69=""),"",IF(CONCATENATE(IF(AY65="Yes","C-Statistic / ",""),IF(AY66="Yes","D-Statistics / ",""),IF(AY67="Yes","AUC graph / ",""),IF(AY68="Yes","Log-rank test / ",""),IF(AY69="Yes","Risk group curves / ",""),IF(AY70="Yes",BA70,""))="","Not evaluated",CONCATENATE(IF(AY65="Yes","C-Statistic / ",""),IF(AY66="Yes","D-Statistics / ",""),IF(AY67="Yes","AUC graph / ",""),IF(AY68="Yes","Log-rank test / ",""),IF(AY69="Yes","Risk group curves / ",""),IF(AY70="Yes",BA70,"")))))</f>
        <v/>
      </c>
      <c r="AZ64" s="306"/>
      <c r="BA64" s="306"/>
      <c r="BB64" s="305" t="str">
        <f>IF(RIGHT(IF(OR(BB65="",BB66="",BB67="",BB68="",BB69=""),"",IF(CONCATENATE(IF(BB65="Yes","C-Statistic / ",""),IF(BB66="Yes","D-Statistics / ",""),IF(BB67="Yes","AUC graph / ",""),IF(BB68="Yes","Log-rank test / ",""),IF(BB69="Yes","Risk group curves / ",""),IF(BB70="Yes",BD70,""))="","Not evaluated",CONCATENATE(IF(BB65="Yes","C-Statistic / ",""),IF(BB66="Yes","D-Statistics / ",""),IF(BB67="Yes","AUC graph / ",""),IF(BB68="Yes","Log-rank test / ",""),IF(BB69="Yes","Risk group curves / ",""),IF(BB70="Yes",BD70,"")))),2)="/ ",LEFT(IF(OR(BB65="",BB66="",BB67="",BB68="",BB69=""),"",IF(CONCATENATE(IF(BB65="Yes","C-Statistic / ",""),IF(BB66="Yes","D-Statistics / ",""),IF(BB67="Yes","AUC graph / ",""),IF(BB68="Yes","Log-rank test / ",""),IF(BB69="Yes","Risk group curves / ",""),IF(BB70="Yes",BD70,""))="","Not evaluated",CONCATENATE(IF(BB65="Yes","C-Statistic / ",""),IF(BB66="Yes","D-Statistics / ",""),IF(BB67="Yes","AUC graph / ",""),IF(BB68="Yes","Log-rank test / ",""),IF(BB69="Yes","Risk group curves / ",""),IF(BB70="Yes",BD70,"")))),LEN(IF(OR(BB65="",BB66="",BB67="",BB68="",BB69=""),"",IF(CONCATENATE(IF(BB65="Yes","C-Statistic / ",""),IF(BB66="Yes","D-Statistics / ",""),IF(BB67="Yes","AUC graph / ",""),IF(BB68="Yes","Log-rank test / ",""),IF(BB69="Yes","Risk group curves / ",""),IF(BB70="Yes",BD70,""))="","Not evaluated",CONCATENATE(IF(BB65="Yes","C-Statistic / ",""),IF(BB66="Yes","D-Statistics / ",""),IF(BB67="Yes","AUC graph / ",""),IF(BB68="Yes","Log-rank test / ",""),IF(BB69="Yes","Risk group curves / ",""),IF(BB70="Yes",BD70,"")))))-2),IF(OR(BB65="",BB66="",BB67="",BB68="",BB69=""),"",IF(CONCATENATE(IF(BB65="Yes","C-Statistic / ",""),IF(BB66="Yes","D-Statistics / ",""),IF(BB67="Yes","AUC graph / ",""),IF(BB68="Yes","Log-rank test / ",""),IF(BB69="Yes","Risk group curves / ",""),IF(BB70="Yes",BD70,""))="","Not evaluated",CONCATENATE(IF(BB65="Yes","C-Statistic / ",""),IF(BB66="Yes","D-Statistics / ",""),IF(BB67="Yes","AUC graph / ",""),IF(BB68="Yes","Log-rank test / ",""),IF(BB69="Yes","Risk group curves / ",""),IF(BB70="Yes",BD70,"")))))</f>
        <v/>
      </c>
      <c r="BC64" s="306"/>
      <c r="BD64" s="306"/>
      <c r="BE64" s="305" t="str">
        <f>IF(RIGHT(IF(OR(BE65="",BE66="",BE67="",BE68="",BE69=""),"",IF(CONCATENATE(IF(BE65="Yes","C-Statistic / ",""),IF(BE66="Yes","D-Statistics / ",""),IF(BE67="Yes","AUC graph / ",""),IF(BE68="Yes","Log-rank test / ",""),IF(BE69="Yes","Risk group curves / ",""),IF(BE70="Yes",BG70,""))="","Not evaluated",CONCATENATE(IF(BE65="Yes","C-Statistic / ",""),IF(BE66="Yes","D-Statistics / ",""),IF(BE67="Yes","AUC graph / ",""),IF(BE68="Yes","Log-rank test / ",""),IF(BE69="Yes","Risk group curves / ",""),IF(BE70="Yes",BG70,"")))),2)="/ ",LEFT(IF(OR(BE65="",BE66="",BE67="",BE68="",BE69=""),"",IF(CONCATENATE(IF(BE65="Yes","C-Statistic / ",""),IF(BE66="Yes","D-Statistics / ",""),IF(BE67="Yes","AUC graph / ",""),IF(BE68="Yes","Log-rank test / ",""),IF(BE69="Yes","Risk group curves / ",""),IF(BE70="Yes",BG70,""))="","Not evaluated",CONCATENATE(IF(BE65="Yes","C-Statistic / ",""),IF(BE66="Yes","D-Statistics / ",""),IF(BE67="Yes","AUC graph / ",""),IF(BE68="Yes","Log-rank test / ",""),IF(BE69="Yes","Risk group curves / ",""),IF(BE70="Yes",BG70,"")))),LEN(IF(OR(BE65="",BE66="",BE67="",BE68="",BE69=""),"",IF(CONCATENATE(IF(BE65="Yes","C-Statistic / ",""),IF(BE66="Yes","D-Statistics / ",""),IF(BE67="Yes","AUC graph / ",""),IF(BE68="Yes","Log-rank test / ",""),IF(BE69="Yes","Risk group curves / ",""),IF(BE70="Yes",BG70,""))="","Not evaluated",CONCATENATE(IF(BE65="Yes","C-Statistic / ",""),IF(BE66="Yes","D-Statistics / ",""),IF(BE67="Yes","AUC graph / ",""),IF(BE68="Yes","Log-rank test / ",""),IF(BE69="Yes","Risk group curves / ",""),IF(BE70="Yes",BG70,"")))))-2),IF(OR(BE65="",BE66="",BE67="",BE68="",BE69=""),"",IF(CONCATENATE(IF(BE65="Yes","C-Statistic / ",""),IF(BE66="Yes","D-Statistics / ",""),IF(BE67="Yes","AUC graph / ",""),IF(BE68="Yes","Log-rank test / ",""),IF(BE69="Yes","Risk group curves / ",""),IF(BE70="Yes",BG70,""))="","Not evaluated",CONCATENATE(IF(BE65="Yes","C-Statistic / ",""),IF(BE66="Yes","D-Statistics / ",""),IF(BE67="Yes","AUC graph / ",""),IF(BE68="Yes","Log-rank test / ",""),IF(BE69="Yes","Risk group curves / ",""),IF(BE70="Yes",BG70,"")))))</f>
        <v/>
      </c>
      <c r="BF64" s="306"/>
      <c r="BG64" s="306"/>
      <c r="BH64" s="305" t="str">
        <f>IF(RIGHT(IF(OR(BH65="",BH66="",BH67="",BH68="",BH69=""),"",IF(CONCATENATE(IF(BH65="Yes","C-Statistic / ",""),IF(BH66="Yes","D-Statistics / ",""),IF(BH67="Yes","AUC graph / ",""),IF(BH68="Yes","Log-rank test / ",""),IF(BH69="Yes","Risk group curves / ",""),IF(BH70="Yes",BJ70,""))="","Not evaluated",CONCATENATE(IF(BH65="Yes","C-Statistic / ",""),IF(BH66="Yes","D-Statistics / ",""),IF(BH67="Yes","AUC graph / ",""),IF(BH68="Yes","Log-rank test / ",""),IF(BH69="Yes","Risk group curves / ",""),IF(BH70="Yes",BJ70,"")))),2)="/ ",LEFT(IF(OR(BH65="",BH66="",BH67="",BH68="",BH69=""),"",IF(CONCATENATE(IF(BH65="Yes","C-Statistic / ",""),IF(BH66="Yes","D-Statistics / ",""),IF(BH67="Yes","AUC graph / ",""),IF(BH68="Yes","Log-rank test / ",""),IF(BH69="Yes","Risk group curves / ",""),IF(BH70="Yes",BJ70,""))="","Not evaluated",CONCATENATE(IF(BH65="Yes","C-Statistic / ",""),IF(BH66="Yes","D-Statistics / ",""),IF(BH67="Yes","AUC graph / ",""),IF(BH68="Yes","Log-rank test / ",""),IF(BH69="Yes","Risk group curves / ",""),IF(BH70="Yes",BJ70,"")))),LEN(IF(OR(BH65="",BH66="",BH67="",BH68="",BH69=""),"",IF(CONCATENATE(IF(BH65="Yes","C-Statistic / ",""),IF(BH66="Yes","D-Statistics / ",""),IF(BH67="Yes","AUC graph / ",""),IF(BH68="Yes","Log-rank test / ",""),IF(BH69="Yes","Risk group curves / ",""),IF(BH70="Yes",BJ70,""))="","Not evaluated",CONCATENATE(IF(BH65="Yes","C-Statistic / ",""),IF(BH66="Yes","D-Statistics / ",""),IF(BH67="Yes","AUC graph / ",""),IF(BH68="Yes","Log-rank test / ",""),IF(BH69="Yes","Risk group curves / ",""),IF(BH70="Yes",BJ70,"")))))-2),IF(OR(BH65="",BH66="",BH67="",BH68="",BH69=""),"",IF(CONCATENATE(IF(BH65="Yes","C-Statistic / ",""),IF(BH66="Yes","D-Statistics / ",""),IF(BH67="Yes","AUC graph / ",""),IF(BH68="Yes","Log-rank test / ",""),IF(BH69="Yes","Risk group curves / ",""),IF(BH70="Yes",BJ70,""))="","Not evaluated",CONCATENATE(IF(BH65="Yes","C-Statistic / ",""),IF(BH66="Yes","D-Statistics / ",""),IF(BH67="Yes","AUC graph / ",""),IF(BH68="Yes","Log-rank test / ",""),IF(BH69="Yes","Risk group curves / ",""),IF(BH70="Yes",BJ70,"")))))</f>
        <v/>
      </c>
      <c r="BI64" s="306"/>
      <c r="BJ64" s="306"/>
      <c r="BK64" s="305" t="str">
        <f>IF(RIGHT(IF(OR(BK65="",BK66="",BK67="",BK68="",BK69=""),"",IF(CONCATENATE(IF(BK65="Yes","C-Statistic / ",""),IF(BK66="Yes","D-Statistics / ",""),IF(BK67="Yes","AUC graph / ",""),IF(BK68="Yes","Log-rank test / ",""),IF(BK69="Yes","Risk group curves / ",""),IF(BK70="Yes",BM70,""))="","Not evaluated",CONCATENATE(IF(BK65="Yes","C-Statistic / ",""),IF(BK66="Yes","D-Statistics / ",""),IF(BK67="Yes","AUC graph / ",""),IF(BK68="Yes","Log-rank test / ",""),IF(BK69="Yes","Risk group curves / ",""),IF(BK70="Yes",BM70,"")))),2)="/ ",LEFT(IF(OR(BK65="",BK66="",BK67="",BK68="",BK69=""),"",IF(CONCATENATE(IF(BK65="Yes","C-Statistic / ",""),IF(BK66="Yes","D-Statistics / ",""),IF(BK67="Yes","AUC graph / ",""),IF(BK68="Yes","Log-rank test / ",""),IF(BK69="Yes","Risk group curves / ",""),IF(BK70="Yes",BM70,""))="","Not evaluated",CONCATENATE(IF(BK65="Yes","C-Statistic / ",""),IF(BK66="Yes","D-Statistics / ",""),IF(BK67="Yes","AUC graph / ",""),IF(BK68="Yes","Log-rank test / ",""),IF(BK69="Yes","Risk group curves / ",""),IF(BK70="Yes",BM70,"")))),LEN(IF(OR(BK65="",BK66="",BK67="",BK68="",BK69=""),"",IF(CONCATENATE(IF(BK65="Yes","C-Statistic / ",""),IF(BK66="Yes","D-Statistics / ",""),IF(BK67="Yes","AUC graph / ",""),IF(BK68="Yes","Log-rank test / ",""),IF(BK69="Yes","Risk group curves / ",""),IF(BK70="Yes",BM70,""))="","Not evaluated",CONCATENATE(IF(BK65="Yes","C-Statistic / ",""),IF(BK66="Yes","D-Statistics / ",""),IF(BK67="Yes","AUC graph / ",""),IF(BK68="Yes","Log-rank test / ",""),IF(BK69="Yes","Risk group curves / ",""),IF(BK70="Yes",BM70,"")))))-2),IF(OR(BK65="",BK66="",BK67="",BK68="",BK69=""),"",IF(CONCATENATE(IF(BK65="Yes","C-Statistic / ",""),IF(BK66="Yes","D-Statistics / ",""),IF(BK67="Yes","AUC graph / ",""),IF(BK68="Yes","Log-rank test / ",""),IF(BK69="Yes","Risk group curves / ",""),IF(BK70="Yes",BM70,""))="","Not evaluated",CONCATENATE(IF(BK65="Yes","C-Statistic / ",""),IF(BK66="Yes","D-Statistics / ",""),IF(BK67="Yes","AUC graph / ",""),IF(BK68="Yes","Log-rank test / ",""),IF(BK69="Yes","Risk group curves / ",""),IF(BK70="Yes",BM70,"")))))</f>
        <v/>
      </c>
      <c r="BL64" s="306"/>
      <c r="BM64" s="306"/>
      <c r="BN64" s="305" t="str">
        <f>IF(RIGHT(IF(OR(BN65="",BN66="",BN67="",BN68="",BN69=""),"",IF(CONCATENATE(IF(BN65="Yes","C-Statistic / ",""),IF(BN66="Yes","D-Statistics / ",""),IF(BN67="Yes","AUC graph / ",""),IF(BN68="Yes","Log-rank test / ",""),IF(BN69="Yes","Risk group curves / ",""),IF(BN70="Yes",BP70,""))="","Not evaluated",CONCATENATE(IF(BN65="Yes","C-Statistic / ",""),IF(BN66="Yes","D-Statistics / ",""),IF(BN67="Yes","AUC graph / ",""),IF(BN68="Yes","Log-rank test / ",""),IF(BN69="Yes","Risk group curves / ",""),IF(BN70="Yes",BP70,"")))),2)="/ ",LEFT(IF(OR(BN65="",BN66="",BN67="",BN68="",BN69=""),"",IF(CONCATENATE(IF(BN65="Yes","C-Statistic / ",""),IF(BN66="Yes","D-Statistics / ",""),IF(BN67="Yes","AUC graph / ",""),IF(BN68="Yes","Log-rank test / ",""),IF(BN69="Yes","Risk group curves / ",""),IF(BN70="Yes",BP70,""))="","Not evaluated",CONCATENATE(IF(BN65="Yes","C-Statistic / ",""),IF(BN66="Yes","D-Statistics / ",""),IF(BN67="Yes","AUC graph / ",""),IF(BN68="Yes","Log-rank test / ",""),IF(BN69="Yes","Risk group curves / ",""),IF(BN70="Yes",BP70,"")))),LEN(IF(OR(BN65="",BN66="",BN67="",BN68="",BN69=""),"",IF(CONCATENATE(IF(BN65="Yes","C-Statistic / ",""),IF(BN66="Yes","D-Statistics / ",""),IF(BN67="Yes","AUC graph / ",""),IF(BN68="Yes","Log-rank test / ",""),IF(BN69="Yes","Risk group curves / ",""),IF(BN70="Yes",BP70,""))="","Not evaluated",CONCATENATE(IF(BN65="Yes","C-Statistic / ",""),IF(BN66="Yes","D-Statistics / ",""),IF(BN67="Yes","AUC graph / ",""),IF(BN68="Yes","Log-rank test / ",""),IF(BN69="Yes","Risk group curves / ",""),IF(BN70="Yes",BP70,"")))))-2),IF(OR(BN65="",BN66="",BN67="",BN68="",BN69=""),"",IF(CONCATENATE(IF(BN65="Yes","C-Statistic / ",""),IF(BN66="Yes","D-Statistics / ",""),IF(BN67="Yes","AUC graph / ",""),IF(BN68="Yes","Log-rank test / ",""),IF(BN69="Yes","Risk group curves / ",""),IF(BN70="Yes",BP70,""))="","Not evaluated",CONCATENATE(IF(BN65="Yes","C-Statistic / ",""),IF(BN66="Yes","D-Statistics / ",""),IF(BN67="Yes","AUC graph / ",""),IF(BN68="Yes","Log-rank test / ",""),IF(BN69="Yes","Risk group curves / ",""),IF(BN70="Yes",BP70,"")))))</f>
        <v/>
      </c>
      <c r="BO64" s="306"/>
      <c r="BP64" s="306"/>
      <c r="BQ64" s="305" t="str">
        <f>IF(RIGHT(IF(OR(BQ65="",BQ66="",BQ67="",BQ68="",BQ69=""),"",IF(CONCATENATE(IF(BQ65="Yes","C-Statistic / ",""),IF(BQ66="Yes","D-Statistics / ",""),IF(BQ67="Yes","AUC graph / ",""),IF(BQ68="Yes","Log-rank test / ",""),IF(BQ69="Yes","Risk group curves / ",""),IF(BQ70="Yes",BS70,""))="","Not evaluated",CONCATENATE(IF(BQ65="Yes","C-Statistic / ",""),IF(BQ66="Yes","D-Statistics / ",""),IF(BQ67="Yes","AUC graph / ",""),IF(BQ68="Yes","Log-rank test / ",""),IF(BQ69="Yes","Risk group curves / ",""),IF(BQ70="Yes",BS70,"")))),2)="/ ",LEFT(IF(OR(BQ65="",BQ66="",BQ67="",BQ68="",BQ69=""),"",IF(CONCATENATE(IF(BQ65="Yes","C-Statistic / ",""),IF(BQ66="Yes","D-Statistics / ",""),IF(BQ67="Yes","AUC graph / ",""),IF(BQ68="Yes","Log-rank test / ",""),IF(BQ69="Yes","Risk group curves / ",""),IF(BQ70="Yes",BS70,""))="","Not evaluated",CONCATENATE(IF(BQ65="Yes","C-Statistic / ",""),IF(BQ66="Yes","D-Statistics / ",""),IF(BQ67="Yes","AUC graph / ",""),IF(BQ68="Yes","Log-rank test / ",""),IF(BQ69="Yes","Risk group curves / ",""),IF(BQ70="Yes",BS70,"")))),LEN(IF(OR(BQ65="",BQ66="",BQ67="",BQ68="",BQ69=""),"",IF(CONCATENATE(IF(BQ65="Yes","C-Statistic / ",""),IF(BQ66="Yes","D-Statistics / ",""),IF(BQ67="Yes","AUC graph / ",""),IF(BQ68="Yes","Log-rank test / ",""),IF(BQ69="Yes","Risk group curves / ",""),IF(BQ70="Yes",BS70,""))="","Not evaluated",CONCATENATE(IF(BQ65="Yes","C-Statistic / ",""),IF(BQ66="Yes","D-Statistics / ",""),IF(BQ67="Yes","AUC graph / ",""),IF(BQ68="Yes","Log-rank test / ",""),IF(BQ69="Yes","Risk group curves / ",""),IF(BQ70="Yes",BS70,"")))))-2),IF(OR(BQ65="",BQ66="",BQ67="",BQ68="",BQ69=""),"",IF(CONCATENATE(IF(BQ65="Yes","C-Statistic / ",""),IF(BQ66="Yes","D-Statistics / ",""),IF(BQ67="Yes","AUC graph / ",""),IF(BQ68="Yes","Log-rank test / ",""),IF(BQ69="Yes","Risk group curves / ",""),IF(BQ70="Yes",BS70,""))="","Not evaluated",CONCATENATE(IF(BQ65="Yes","C-Statistic / ",""),IF(BQ66="Yes","D-Statistics / ",""),IF(BQ67="Yes","AUC graph / ",""),IF(BQ68="Yes","Log-rank test / ",""),IF(BQ69="Yes","Risk group curves / ",""),IF(BQ70="Yes",BS70,"")))))</f>
        <v/>
      </c>
      <c r="BR64" s="306"/>
      <c r="BS64" s="306"/>
      <c r="BT64" s="305" t="str">
        <f>IF(RIGHT(IF(OR(BT65="",BT66="",BT67="",BT68="",BT69=""),"",IF(CONCATENATE(IF(BT65="Yes","C-Statistic / ",""),IF(BT66="Yes","D-Statistics / ",""),IF(BT67="Yes","AUC graph / ",""),IF(BT68="Yes","Log-rank test / ",""),IF(BT69="Yes","Risk group curves / ",""),IF(BT70="Yes",BV70,""))="","Not evaluated",CONCATENATE(IF(BT65="Yes","C-Statistic / ",""),IF(BT66="Yes","D-Statistics / ",""),IF(BT67="Yes","AUC graph / ",""),IF(BT68="Yes","Log-rank test / ",""),IF(BT69="Yes","Risk group curves / ",""),IF(BT70="Yes",BV70,"")))),2)="/ ",LEFT(IF(OR(BT65="",BT66="",BT67="",BT68="",BT69=""),"",IF(CONCATENATE(IF(BT65="Yes","C-Statistic / ",""),IF(BT66="Yes","D-Statistics / ",""),IF(BT67="Yes","AUC graph / ",""),IF(BT68="Yes","Log-rank test / ",""),IF(BT69="Yes","Risk group curves / ",""),IF(BT70="Yes",BV70,""))="","Not evaluated",CONCATENATE(IF(BT65="Yes","C-Statistic / ",""),IF(BT66="Yes","D-Statistics / ",""),IF(BT67="Yes","AUC graph / ",""),IF(BT68="Yes","Log-rank test / ",""),IF(BT69="Yes","Risk group curves / ",""),IF(BT70="Yes",BV70,"")))),LEN(IF(OR(BT65="",BT66="",BT67="",BT68="",BT69=""),"",IF(CONCATENATE(IF(BT65="Yes","C-Statistic / ",""),IF(BT66="Yes","D-Statistics / ",""),IF(BT67="Yes","AUC graph / ",""),IF(BT68="Yes","Log-rank test / ",""),IF(BT69="Yes","Risk group curves / ",""),IF(BT70="Yes",BV70,""))="","Not evaluated",CONCATENATE(IF(BT65="Yes","C-Statistic / ",""),IF(BT66="Yes","D-Statistics / ",""),IF(BT67="Yes","AUC graph / ",""),IF(BT68="Yes","Log-rank test / ",""),IF(BT69="Yes","Risk group curves / ",""),IF(BT70="Yes",BV70,"")))))-2),IF(OR(BT65="",BT66="",BT67="",BT68="",BT69=""),"",IF(CONCATENATE(IF(BT65="Yes","C-Statistic / ",""),IF(BT66="Yes","D-Statistics / ",""),IF(BT67="Yes","AUC graph / ",""),IF(BT68="Yes","Log-rank test / ",""),IF(BT69="Yes","Risk group curves / ",""),IF(BT70="Yes",BV70,""))="","Not evaluated",CONCATENATE(IF(BT65="Yes","C-Statistic / ",""),IF(BT66="Yes","D-Statistics / ",""),IF(BT67="Yes","AUC graph / ",""),IF(BT68="Yes","Log-rank test / ",""),IF(BT69="Yes","Risk group curves / ",""),IF(BT70="Yes",BV70,"")))))</f>
        <v/>
      </c>
      <c r="BU64" s="306"/>
      <c r="BV64" s="306"/>
      <c r="BW64" s="305" t="str">
        <f>IF(RIGHT(IF(OR(BW65="",BW66="",BW67="",BW68="",BW69=""),"",IF(CONCATENATE(IF(BW65="Yes","C-Statistic / ",""),IF(BW66="Yes","D-Statistics / ",""),IF(BW67="Yes","AUC graph / ",""),IF(BW68="Yes","Log-rank test / ",""),IF(BW69="Yes","Risk group curves / ",""),IF(BW70="Yes",BY70,""))="","Not evaluated",CONCATENATE(IF(BW65="Yes","C-Statistic / ",""),IF(BW66="Yes","D-Statistics / ",""),IF(BW67="Yes","AUC graph / ",""),IF(BW68="Yes","Log-rank test / ",""),IF(BW69="Yes","Risk group curves / ",""),IF(BW70="Yes",BY70,"")))),2)="/ ",LEFT(IF(OR(BW65="",BW66="",BW67="",BW68="",BW69=""),"",IF(CONCATENATE(IF(BW65="Yes","C-Statistic / ",""),IF(BW66="Yes","D-Statistics / ",""),IF(BW67="Yes","AUC graph / ",""),IF(BW68="Yes","Log-rank test / ",""),IF(BW69="Yes","Risk group curves / ",""),IF(BW70="Yes",BY70,""))="","Not evaluated",CONCATENATE(IF(BW65="Yes","C-Statistic / ",""),IF(BW66="Yes","D-Statistics / ",""),IF(BW67="Yes","AUC graph / ",""),IF(BW68="Yes","Log-rank test / ",""),IF(BW69="Yes","Risk group curves / ",""),IF(BW70="Yes",BY70,"")))),LEN(IF(OR(BW65="",BW66="",BW67="",BW68="",BW69=""),"",IF(CONCATENATE(IF(BW65="Yes","C-Statistic / ",""),IF(BW66="Yes","D-Statistics / ",""),IF(BW67="Yes","AUC graph / ",""),IF(BW68="Yes","Log-rank test / ",""),IF(BW69="Yes","Risk group curves / ",""),IF(BW70="Yes",BY70,""))="","Not evaluated",CONCATENATE(IF(BW65="Yes","C-Statistic / ",""),IF(BW66="Yes","D-Statistics / ",""),IF(BW67="Yes","AUC graph / ",""),IF(BW68="Yes","Log-rank test / ",""),IF(BW69="Yes","Risk group curves / ",""),IF(BW70="Yes",BY70,"")))))-2),IF(OR(BW65="",BW66="",BW67="",BW68="",BW69=""),"",IF(CONCATENATE(IF(BW65="Yes","C-Statistic / ",""),IF(BW66="Yes","D-Statistics / ",""),IF(BW67="Yes","AUC graph / ",""),IF(BW68="Yes","Log-rank test / ",""),IF(BW69="Yes","Risk group curves / ",""),IF(BW70="Yes",BY70,""))="","Not evaluated",CONCATENATE(IF(BW65="Yes","C-Statistic / ",""),IF(BW66="Yes","D-Statistics / ",""),IF(BW67="Yes","AUC graph / ",""),IF(BW68="Yes","Log-rank test / ",""),IF(BW69="Yes","Risk group curves / ",""),IF(BW70="Yes",BY70,"")))))</f>
        <v/>
      </c>
      <c r="BX64" s="306"/>
      <c r="BY64" s="306"/>
      <c r="BZ64" s="305" t="str">
        <f>IF(RIGHT(IF(OR(BZ65="",BZ66="",BZ67="",BZ68="",BZ69=""),"",IF(CONCATENATE(IF(BZ65="Yes","C-Statistic / ",""),IF(BZ66="Yes","D-Statistics / ",""),IF(BZ67="Yes","AUC graph / ",""),IF(BZ68="Yes","Log-rank test / ",""),IF(BZ69="Yes","Risk group curves / ",""),IF(BZ70="Yes",CB70,""))="","Not evaluated",CONCATENATE(IF(BZ65="Yes","C-Statistic / ",""),IF(BZ66="Yes","D-Statistics / ",""),IF(BZ67="Yes","AUC graph / ",""),IF(BZ68="Yes","Log-rank test / ",""),IF(BZ69="Yes","Risk group curves / ",""),IF(BZ70="Yes",CB70,"")))),2)="/ ",LEFT(IF(OR(BZ65="",BZ66="",BZ67="",BZ68="",BZ69=""),"",IF(CONCATENATE(IF(BZ65="Yes","C-Statistic / ",""),IF(BZ66="Yes","D-Statistics / ",""),IF(BZ67="Yes","AUC graph / ",""),IF(BZ68="Yes","Log-rank test / ",""),IF(BZ69="Yes","Risk group curves / ",""),IF(BZ70="Yes",CB70,""))="","Not evaluated",CONCATENATE(IF(BZ65="Yes","C-Statistic / ",""),IF(BZ66="Yes","D-Statistics / ",""),IF(BZ67="Yes","AUC graph / ",""),IF(BZ68="Yes","Log-rank test / ",""),IF(BZ69="Yes","Risk group curves / ",""),IF(BZ70="Yes",CB70,"")))),LEN(IF(OR(BZ65="",BZ66="",BZ67="",BZ68="",BZ69=""),"",IF(CONCATENATE(IF(BZ65="Yes","C-Statistic / ",""),IF(BZ66="Yes","D-Statistics / ",""),IF(BZ67="Yes","AUC graph / ",""),IF(BZ68="Yes","Log-rank test / ",""),IF(BZ69="Yes","Risk group curves / ",""),IF(BZ70="Yes",CB70,""))="","Not evaluated",CONCATENATE(IF(BZ65="Yes","C-Statistic / ",""),IF(BZ66="Yes","D-Statistics / ",""),IF(BZ67="Yes","AUC graph / ",""),IF(BZ68="Yes","Log-rank test / ",""),IF(BZ69="Yes","Risk group curves / ",""),IF(BZ70="Yes",CB70,"")))))-2),IF(OR(BZ65="",BZ66="",BZ67="",BZ68="",BZ69=""),"",IF(CONCATENATE(IF(BZ65="Yes","C-Statistic / ",""),IF(BZ66="Yes","D-Statistics / ",""),IF(BZ67="Yes","AUC graph / ",""),IF(BZ68="Yes","Log-rank test / ",""),IF(BZ69="Yes","Risk group curves / ",""),IF(BZ70="Yes",CB70,""))="","Not evaluated",CONCATENATE(IF(BZ65="Yes","C-Statistic / ",""),IF(BZ66="Yes","D-Statistics / ",""),IF(BZ67="Yes","AUC graph / ",""),IF(BZ68="Yes","Log-rank test / ",""),IF(BZ69="Yes","Risk group curves / ",""),IF(BZ70="Yes",CB70,"")))))</f>
        <v/>
      </c>
      <c r="CA64" s="306"/>
      <c r="CB64" s="306"/>
      <c r="CC64" s="305" t="str">
        <f>IF(RIGHT(IF(OR(CC65="",CC66="",CC67="",CC68="",CC69=""),"",IF(CONCATENATE(IF(CC65="Yes","C-Statistic / ",""),IF(CC66="Yes","D-Statistics / ",""),IF(CC67="Yes","AUC graph / ",""),IF(CC68="Yes","Log-rank test / ",""),IF(CC69="Yes","Risk group curves / ",""),IF(CC70="Yes",CE70,""))="","Not evaluated",CONCATENATE(IF(CC65="Yes","C-Statistic / ",""),IF(CC66="Yes","D-Statistics / ",""),IF(CC67="Yes","AUC graph / ",""),IF(CC68="Yes","Log-rank test / ",""),IF(CC69="Yes","Risk group curves / ",""),IF(CC70="Yes",CE70,"")))),2)="/ ",LEFT(IF(OR(CC65="",CC66="",CC67="",CC68="",CC69=""),"",IF(CONCATENATE(IF(CC65="Yes","C-Statistic / ",""),IF(CC66="Yes","D-Statistics / ",""),IF(CC67="Yes","AUC graph / ",""),IF(CC68="Yes","Log-rank test / ",""),IF(CC69="Yes","Risk group curves / ",""),IF(CC70="Yes",CE70,""))="","Not evaluated",CONCATENATE(IF(CC65="Yes","C-Statistic / ",""),IF(CC66="Yes","D-Statistics / ",""),IF(CC67="Yes","AUC graph / ",""),IF(CC68="Yes","Log-rank test / ",""),IF(CC69="Yes","Risk group curves / ",""),IF(CC70="Yes",CE70,"")))),LEN(IF(OR(CC65="",CC66="",CC67="",CC68="",CC69=""),"",IF(CONCATENATE(IF(CC65="Yes","C-Statistic / ",""),IF(CC66="Yes","D-Statistics / ",""),IF(CC67="Yes","AUC graph / ",""),IF(CC68="Yes","Log-rank test / ",""),IF(CC69="Yes","Risk group curves / ",""),IF(CC70="Yes",CE70,""))="","Not evaluated",CONCATENATE(IF(CC65="Yes","C-Statistic / ",""),IF(CC66="Yes","D-Statistics / ",""),IF(CC67="Yes","AUC graph / ",""),IF(CC68="Yes","Log-rank test / ",""),IF(CC69="Yes","Risk group curves / ",""),IF(CC70="Yes",CE70,"")))))-2),IF(OR(CC65="",CC66="",CC67="",CC68="",CC69=""),"",IF(CONCATENATE(IF(CC65="Yes","C-Statistic / ",""),IF(CC66="Yes","D-Statistics / ",""),IF(CC67="Yes","AUC graph / ",""),IF(CC68="Yes","Log-rank test / ",""),IF(CC69="Yes","Risk group curves / ",""),IF(CC70="Yes",CE70,""))="","Not evaluated",CONCATENATE(IF(CC65="Yes","C-Statistic / ",""),IF(CC66="Yes","D-Statistics / ",""),IF(CC67="Yes","AUC graph / ",""),IF(CC68="Yes","Log-rank test / ",""),IF(CC69="Yes","Risk group curves / ",""),IF(CC70="Yes",CE70,"")))))</f>
        <v/>
      </c>
      <c r="CD64" s="306"/>
      <c r="CE64" s="306"/>
      <c r="CF64" s="305" t="str">
        <f>IF(RIGHT(IF(OR(CF65="",CF66="",CF67="",CF68="",CF69=""),"",IF(CONCATENATE(IF(CF65="Yes","C-Statistic / ",""),IF(CF66="Yes","D-Statistics / ",""),IF(CF67="Yes","AUC graph / ",""),IF(CF68="Yes","Log-rank test / ",""),IF(CF69="Yes","Risk group curves / ",""),IF(CF70="Yes",CH70,""))="","Not evaluated",CONCATENATE(IF(CF65="Yes","C-Statistic / ",""),IF(CF66="Yes","D-Statistics / ",""),IF(CF67="Yes","AUC graph / ",""),IF(CF68="Yes","Log-rank test / ",""),IF(CF69="Yes","Risk group curves / ",""),IF(CF70="Yes",CH70,"")))),2)="/ ",LEFT(IF(OR(CF65="",CF66="",CF67="",CF68="",CF69=""),"",IF(CONCATENATE(IF(CF65="Yes","C-Statistic / ",""),IF(CF66="Yes","D-Statistics / ",""),IF(CF67="Yes","AUC graph / ",""),IF(CF68="Yes","Log-rank test / ",""),IF(CF69="Yes","Risk group curves / ",""),IF(CF70="Yes",CH70,""))="","Not evaluated",CONCATENATE(IF(CF65="Yes","C-Statistic / ",""),IF(CF66="Yes","D-Statistics / ",""),IF(CF67="Yes","AUC graph / ",""),IF(CF68="Yes","Log-rank test / ",""),IF(CF69="Yes","Risk group curves / ",""),IF(CF70="Yes",CH70,"")))),LEN(IF(OR(CF65="",CF66="",CF67="",CF68="",CF69=""),"",IF(CONCATENATE(IF(CF65="Yes","C-Statistic / ",""),IF(CF66="Yes","D-Statistics / ",""),IF(CF67="Yes","AUC graph / ",""),IF(CF68="Yes","Log-rank test / ",""),IF(CF69="Yes","Risk group curves / ",""),IF(CF70="Yes",CH70,""))="","Not evaluated",CONCATENATE(IF(CF65="Yes","C-Statistic / ",""),IF(CF66="Yes","D-Statistics / ",""),IF(CF67="Yes","AUC graph / ",""),IF(CF68="Yes","Log-rank test / ",""),IF(CF69="Yes","Risk group curves / ",""),IF(CF70="Yes",CH70,"")))))-2),IF(OR(CF65="",CF66="",CF67="",CF68="",CF69=""),"",IF(CONCATENATE(IF(CF65="Yes","C-Statistic / ",""),IF(CF66="Yes","D-Statistics / ",""),IF(CF67="Yes","AUC graph / ",""),IF(CF68="Yes","Log-rank test / ",""),IF(CF69="Yes","Risk group curves / ",""),IF(CF70="Yes",CH70,""))="","Not evaluated",CONCATENATE(IF(CF65="Yes","C-Statistic / ",""),IF(CF66="Yes","D-Statistics / ",""),IF(CF67="Yes","AUC graph / ",""),IF(CF68="Yes","Log-rank test / ",""),IF(CF69="Yes","Risk group curves / ",""),IF(CF70="Yes",CH70,"")))))</f>
        <v/>
      </c>
      <c r="CG64" s="306"/>
      <c r="CH64" s="306"/>
      <c r="CI64" s="305" t="str">
        <f>IF(RIGHT(IF(OR(CI65="",CI66="",CI67="",CI68="",CI69=""),"",IF(CONCATENATE(IF(CI65="Yes","C-Statistic / ",""),IF(CI66="Yes","D-Statistics / ",""),IF(CI67="Yes","AUC graph / ",""),IF(CI68="Yes","Log-rank test / ",""),IF(CI69="Yes","Risk group curves / ",""),IF(CI70="Yes",CK70,""))="","Not evaluated",CONCATENATE(IF(CI65="Yes","C-Statistic / ",""),IF(CI66="Yes","D-Statistics / ",""),IF(CI67="Yes","AUC graph / ",""),IF(CI68="Yes","Log-rank test / ",""),IF(CI69="Yes","Risk group curves / ",""),IF(CI70="Yes",CK70,"")))),2)="/ ",LEFT(IF(OR(CI65="",CI66="",CI67="",CI68="",CI69=""),"",IF(CONCATENATE(IF(CI65="Yes","C-Statistic / ",""),IF(CI66="Yes","D-Statistics / ",""),IF(CI67="Yes","AUC graph / ",""),IF(CI68="Yes","Log-rank test / ",""),IF(CI69="Yes","Risk group curves / ",""),IF(CI70="Yes",CK70,""))="","Not evaluated",CONCATENATE(IF(CI65="Yes","C-Statistic / ",""),IF(CI66="Yes","D-Statistics / ",""),IF(CI67="Yes","AUC graph / ",""),IF(CI68="Yes","Log-rank test / ",""),IF(CI69="Yes","Risk group curves / ",""),IF(CI70="Yes",CK70,"")))),LEN(IF(OR(CI65="",CI66="",CI67="",CI68="",CI69=""),"",IF(CONCATENATE(IF(CI65="Yes","C-Statistic / ",""),IF(CI66="Yes","D-Statistics / ",""),IF(CI67="Yes","AUC graph / ",""),IF(CI68="Yes","Log-rank test / ",""),IF(CI69="Yes","Risk group curves / ",""),IF(CI70="Yes",CK70,""))="","Not evaluated",CONCATENATE(IF(CI65="Yes","C-Statistic / ",""),IF(CI66="Yes","D-Statistics / ",""),IF(CI67="Yes","AUC graph / ",""),IF(CI68="Yes","Log-rank test / ",""),IF(CI69="Yes","Risk group curves / ",""),IF(CI70="Yes",CK70,"")))))-2),IF(OR(CI65="",CI66="",CI67="",CI68="",CI69=""),"",IF(CONCATENATE(IF(CI65="Yes","C-Statistic / ",""),IF(CI66="Yes","D-Statistics / ",""),IF(CI67="Yes","AUC graph / ",""),IF(CI68="Yes","Log-rank test / ",""),IF(CI69="Yes","Risk group curves / ",""),IF(CI70="Yes",CK70,""))="","Not evaluated",CONCATENATE(IF(CI65="Yes","C-Statistic / ",""),IF(CI66="Yes","D-Statistics / ",""),IF(CI67="Yes","AUC graph / ",""),IF(CI68="Yes","Log-rank test / ",""),IF(CI69="Yes","Risk group curves / ",""),IF(CI70="Yes",CK70,"")))))</f>
        <v/>
      </c>
      <c r="CJ64" s="306"/>
      <c r="CK64" s="306"/>
      <c r="CL64" s="305" t="str">
        <f>IF(RIGHT(IF(OR(CL65="",CL66="",CL67="",CL68="",CL69=""),"",IF(CONCATENATE(IF(CL65="Yes","C-Statistic / ",""),IF(CL66="Yes","D-Statistics / ",""),IF(CL67="Yes","AUC graph / ",""),IF(CL68="Yes","Log-rank test / ",""),IF(CL69="Yes","Risk group curves / ",""),IF(CL70="Yes",CN70,""))="","Not evaluated",CONCATENATE(IF(CL65="Yes","C-Statistic / ",""),IF(CL66="Yes","D-Statistics / ",""),IF(CL67="Yes","AUC graph / ",""),IF(CL68="Yes","Log-rank test / ",""),IF(CL69="Yes","Risk group curves / ",""),IF(CL70="Yes",CN70,"")))),2)="/ ",LEFT(IF(OR(CL65="",CL66="",CL67="",CL68="",CL69=""),"",IF(CONCATENATE(IF(CL65="Yes","C-Statistic / ",""),IF(CL66="Yes","D-Statistics / ",""),IF(CL67="Yes","AUC graph / ",""),IF(CL68="Yes","Log-rank test / ",""),IF(CL69="Yes","Risk group curves / ",""),IF(CL70="Yes",CN70,""))="","Not evaluated",CONCATENATE(IF(CL65="Yes","C-Statistic / ",""),IF(CL66="Yes","D-Statistics / ",""),IF(CL67="Yes","AUC graph / ",""),IF(CL68="Yes","Log-rank test / ",""),IF(CL69="Yes","Risk group curves / ",""),IF(CL70="Yes",CN70,"")))),LEN(IF(OR(CL65="",CL66="",CL67="",CL68="",CL69=""),"",IF(CONCATENATE(IF(CL65="Yes","C-Statistic / ",""),IF(CL66="Yes","D-Statistics / ",""),IF(CL67="Yes","AUC graph / ",""),IF(CL68="Yes","Log-rank test / ",""),IF(CL69="Yes","Risk group curves / ",""),IF(CL70="Yes",CN70,""))="","Not evaluated",CONCATENATE(IF(CL65="Yes","C-Statistic / ",""),IF(CL66="Yes","D-Statistics / ",""),IF(CL67="Yes","AUC graph / ",""),IF(CL68="Yes","Log-rank test / ",""),IF(CL69="Yes","Risk group curves / ",""),IF(CL70="Yes",CN70,"")))))-2),IF(OR(CL65="",CL66="",CL67="",CL68="",CL69=""),"",IF(CONCATENATE(IF(CL65="Yes","C-Statistic / ",""),IF(CL66="Yes","D-Statistics / ",""),IF(CL67="Yes","AUC graph / ",""),IF(CL68="Yes","Log-rank test / ",""),IF(CL69="Yes","Risk group curves / ",""),IF(CL70="Yes",CN70,""))="","Not evaluated",CONCATENATE(IF(CL65="Yes","C-Statistic / ",""),IF(CL66="Yes","D-Statistics / ",""),IF(CL67="Yes","AUC graph / ",""),IF(CL68="Yes","Log-rank test / ",""),IF(CL69="Yes","Risk group curves / ",""),IF(CL70="Yes",CN70,"")))))</f>
        <v/>
      </c>
      <c r="CM64" s="306"/>
      <c r="CN64" s="306"/>
      <c r="CO64" s="305" t="str">
        <f>IF(RIGHT(IF(OR(CO65="",CO66="",CO67="",CO68="",CO69=""),"",IF(CONCATENATE(IF(CO65="Yes","C-Statistic / ",""),IF(CO66="Yes","D-Statistics / ",""),IF(CO67="Yes","AUC graph / ",""),IF(CO68="Yes","Log-rank test / ",""),IF(CO69="Yes","Risk group curves / ",""),IF(CO70="Yes",CQ70,""))="","Not evaluated",CONCATENATE(IF(CO65="Yes","C-Statistic / ",""),IF(CO66="Yes","D-Statistics / ",""),IF(CO67="Yes","AUC graph / ",""),IF(CO68="Yes","Log-rank test / ",""),IF(CO69="Yes","Risk group curves / ",""),IF(CO70="Yes",CQ70,"")))),2)="/ ",LEFT(IF(OR(CO65="",CO66="",CO67="",CO68="",CO69=""),"",IF(CONCATENATE(IF(CO65="Yes","C-Statistic / ",""),IF(CO66="Yes","D-Statistics / ",""),IF(CO67="Yes","AUC graph / ",""),IF(CO68="Yes","Log-rank test / ",""),IF(CO69="Yes","Risk group curves / ",""),IF(CO70="Yes",CQ70,""))="","Not evaluated",CONCATENATE(IF(CO65="Yes","C-Statistic / ",""),IF(CO66="Yes","D-Statistics / ",""),IF(CO67="Yes","AUC graph / ",""),IF(CO68="Yes","Log-rank test / ",""),IF(CO69="Yes","Risk group curves / ",""),IF(CO70="Yes",CQ70,"")))),LEN(IF(OR(CO65="",CO66="",CO67="",CO68="",CO69=""),"",IF(CONCATENATE(IF(CO65="Yes","C-Statistic / ",""),IF(CO66="Yes","D-Statistics / ",""),IF(CO67="Yes","AUC graph / ",""),IF(CO68="Yes","Log-rank test / ",""),IF(CO69="Yes","Risk group curves / ",""),IF(CO70="Yes",CQ70,""))="","Not evaluated",CONCATENATE(IF(CO65="Yes","C-Statistic / ",""),IF(CO66="Yes","D-Statistics / ",""),IF(CO67="Yes","AUC graph / ",""),IF(CO68="Yes","Log-rank test / ",""),IF(CO69="Yes","Risk group curves / ",""),IF(CO70="Yes",CQ70,"")))))-2),IF(OR(CO65="",CO66="",CO67="",CO68="",CO69=""),"",IF(CONCATENATE(IF(CO65="Yes","C-Statistic / ",""),IF(CO66="Yes","D-Statistics / ",""),IF(CO67="Yes","AUC graph / ",""),IF(CO68="Yes","Log-rank test / ",""),IF(CO69="Yes","Risk group curves / ",""),IF(CO70="Yes",CQ70,""))="","Not evaluated",CONCATENATE(IF(CO65="Yes","C-Statistic / ",""),IF(CO66="Yes","D-Statistics / ",""),IF(CO67="Yes","AUC graph / ",""),IF(CO68="Yes","Log-rank test / ",""),IF(CO69="Yes","Risk group curves / ",""),IF(CO70="Yes",CQ70,"")))))</f>
        <v/>
      </c>
      <c r="CP64" s="306"/>
      <c r="CQ64" s="306"/>
    </row>
    <row r="65" spans="1:95" s="13" customFormat="1" ht="15" customHeight="1" x14ac:dyDescent="0.2">
      <c r="A65" s="62"/>
      <c r="B65" s="62" t="s">
        <v>32</v>
      </c>
      <c r="C65" s="62"/>
      <c r="D65" s="341" t="s">
        <v>111</v>
      </c>
      <c r="E65" s="345"/>
      <c r="F65" s="38" t="s">
        <v>72</v>
      </c>
      <c r="G65" s="52" t="s">
        <v>105</v>
      </c>
      <c r="H65" s="46"/>
      <c r="I65" s="38" t="s">
        <v>67</v>
      </c>
      <c r="J65" s="52" t="s">
        <v>105</v>
      </c>
      <c r="K65" s="46" t="s">
        <v>342</v>
      </c>
      <c r="L65" s="38" t="s">
        <v>67</v>
      </c>
      <c r="M65" s="52" t="s">
        <v>105</v>
      </c>
      <c r="N65" s="46" t="s">
        <v>404</v>
      </c>
      <c r="O65" s="38" t="s">
        <v>67</v>
      </c>
      <c r="P65" s="52" t="s">
        <v>105</v>
      </c>
      <c r="Q65" s="46">
        <v>0.65</v>
      </c>
      <c r="R65" s="38" t="s">
        <v>67</v>
      </c>
      <c r="S65" s="52" t="s">
        <v>105</v>
      </c>
      <c r="T65" s="46">
        <v>0.52</v>
      </c>
      <c r="U65" s="38" t="s">
        <v>72</v>
      </c>
      <c r="V65" s="52" t="s">
        <v>105</v>
      </c>
      <c r="W65" s="46"/>
      <c r="X65" s="38" t="s">
        <v>72</v>
      </c>
      <c r="Y65" s="52" t="s">
        <v>105</v>
      </c>
      <c r="Z65" s="46"/>
      <c r="AA65" s="38" t="s">
        <v>67</v>
      </c>
      <c r="AB65" s="52" t="s">
        <v>105</v>
      </c>
      <c r="AC65" s="46" t="s">
        <v>414</v>
      </c>
      <c r="AD65" s="38" t="s">
        <v>67</v>
      </c>
      <c r="AE65" s="52" t="s">
        <v>105</v>
      </c>
      <c r="AF65" s="46">
        <v>0.68799999999999994</v>
      </c>
      <c r="AG65" s="38" t="s">
        <v>67</v>
      </c>
      <c r="AH65" s="52" t="s">
        <v>105</v>
      </c>
      <c r="AI65" s="46">
        <v>0.61399999999999999</v>
      </c>
      <c r="AJ65" s="38" t="s">
        <v>67</v>
      </c>
      <c r="AK65" s="52" t="s">
        <v>105</v>
      </c>
      <c r="AL65" s="46" t="s">
        <v>468</v>
      </c>
      <c r="AM65" s="38" t="s">
        <v>67</v>
      </c>
      <c r="AN65" s="52" t="s">
        <v>105</v>
      </c>
      <c r="AO65" s="46" t="s">
        <v>482</v>
      </c>
      <c r="AP65" s="38"/>
      <c r="AQ65" s="52" t="s">
        <v>105</v>
      </c>
      <c r="AR65" s="46"/>
      <c r="AS65" s="38"/>
      <c r="AT65" s="52" t="s">
        <v>105</v>
      </c>
      <c r="AU65" s="46"/>
      <c r="AV65" s="38"/>
      <c r="AW65" s="52" t="s">
        <v>105</v>
      </c>
      <c r="AX65" s="46"/>
      <c r="AY65" s="38"/>
      <c r="AZ65" s="52" t="s">
        <v>105</v>
      </c>
      <c r="BA65" s="46"/>
      <c r="BB65" s="38"/>
      <c r="BC65" s="52" t="s">
        <v>105</v>
      </c>
      <c r="BD65" s="46"/>
      <c r="BE65" s="38"/>
      <c r="BF65" s="52" t="s">
        <v>105</v>
      </c>
      <c r="BG65" s="46"/>
      <c r="BH65" s="38"/>
      <c r="BI65" s="52" t="s">
        <v>105</v>
      </c>
      <c r="BJ65" s="46"/>
      <c r="BK65" s="38"/>
      <c r="BL65" s="52" t="s">
        <v>105</v>
      </c>
      <c r="BM65" s="46"/>
      <c r="BN65" s="38"/>
      <c r="BO65" s="52" t="s">
        <v>105</v>
      </c>
      <c r="BP65" s="46"/>
      <c r="BQ65" s="38"/>
      <c r="BR65" s="52" t="s">
        <v>105</v>
      </c>
      <c r="BS65" s="46"/>
      <c r="BT65" s="38"/>
      <c r="BU65" s="52" t="s">
        <v>105</v>
      </c>
      <c r="BV65" s="46"/>
      <c r="BW65" s="38"/>
      <c r="BX65" s="52" t="s">
        <v>105</v>
      </c>
      <c r="BY65" s="46"/>
      <c r="BZ65" s="38"/>
      <c r="CA65" s="52" t="s">
        <v>105</v>
      </c>
      <c r="CB65" s="46"/>
      <c r="CC65" s="38"/>
      <c r="CD65" s="52" t="s">
        <v>105</v>
      </c>
      <c r="CE65" s="46"/>
      <c r="CF65" s="38"/>
      <c r="CG65" s="52" t="s">
        <v>105</v>
      </c>
      <c r="CH65" s="46"/>
      <c r="CI65" s="38"/>
      <c r="CJ65" s="52" t="s">
        <v>105</v>
      </c>
      <c r="CK65" s="46"/>
      <c r="CL65" s="38"/>
      <c r="CM65" s="52" t="s">
        <v>105</v>
      </c>
      <c r="CN65" s="46"/>
      <c r="CO65" s="37"/>
      <c r="CP65" s="52" t="s">
        <v>105</v>
      </c>
      <c r="CQ65" s="46"/>
    </row>
    <row r="66" spans="1:95" s="13" customFormat="1" ht="15" customHeight="1" x14ac:dyDescent="0.2">
      <c r="A66" s="62"/>
      <c r="B66" s="62" t="s">
        <v>32</v>
      </c>
      <c r="C66" s="62"/>
      <c r="D66" s="343" t="s">
        <v>112</v>
      </c>
      <c r="E66" s="344"/>
      <c r="F66" s="38" t="s">
        <v>72</v>
      </c>
      <c r="G66" s="52" t="s">
        <v>105</v>
      </c>
      <c r="H66" s="46"/>
      <c r="I66" s="38" t="s">
        <v>72</v>
      </c>
      <c r="J66" s="52" t="s">
        <v>105</v>
      </c>
      <c r="K66" s="46"/>
      <c r="L66" s="38" t="s">
        <v>72</v>
      </c>
      <c r="M66" s="52" t="s">
        <v>105</v>
      </c>
      <c r="N66" s="46"/>
      <c r="O66" s="38" t="s">
        <v>72</v>
      </c>
      <c r="P66" s="52" t="s">
        <v>105</v>
      </c>
      <c r="Q66" s="46"/>
      <c r="R66" s="38" t="s">
        <v>72</v>
      </c>
      <c r="S66" s="52" t="s">
        <v>105</v>
      </c>
      <c r="T66" s="46"/>
      <c r="U66" s="38" t="s">
        <v>72</v>
      </c>
      <c r="V66" s="52" t="s">
        <v>105</v>
      </c>
      <c r="W66" s="46"/>
      <c r="X66" s="38" t="s">
        <v>72</v>
      </c>
      <c r="Y66" s="52" t="s">
        <v>105</v>
      </c>
      <c r="Z66" s="46"/>
      <c r="AA66" s="38" t="s">
        <v>72</v>
      </c>
      <c r="AB66" s="52" t="s">
        <v>105</v>
      </c>
      <c r="AC66" s="46"/>
      <c r="AD66" s="38" t="s">
        <v>72</v>
      </c>
      <c r="AE66" s="52" t="s">
        <v>105</v>
      </c>
      <c r="AF66" s="46"/>
      <c r="AG66" s="38" t="s">
        <v>72</v>
      </c>
      <c r="AH66" s="52" t="s">
        <v>105</v>
      </c>
      <c r="AI66" s="46"/>
      <c r="AJ66" s="38" t="s">
        <v>72</v>
      </c>
      <c r="AK66" s="52" t="s">
        <v>105</v>
      </c>
      <c r="AL66" s="46"/>
      <c r="AM66" s="38" t="s">
        <v>72</v>
      </c>
      <c r="AN66" s="52" t="s">
        <v>105</v>
      </c>
      <c r="AO66" s="46"/>
      <c r="AP66" s="38"/>
      <c r="AQ66" s="52" t="s">
        <v>105</v>
      </c>
      <c r="AR66" s="46"/>
      <c r="AS66" s="38"/>
      <c r="AT66" s="52" t="s">
        <v>105</v>
      </c>
      <c r="AU66" s="46"/>
      <c r="AV66" s="38"/>
      <c r="AW66" s="52" t="s">
        <v>105</v>
      </c>
      <c r="AX66" s="46"/>
      <c r="AY66" s="38"/>
      <c r="AZ66" s="52" t="s">
        <v>105</v>
      </c>
      <c r="BA66" s="46"/>
      <c r="BB66" s="38"/>
      <c r="BC66" s="52" t="s">
        <v>105</v>
      </c>
      <c r="BD66" s="46"/>
      <c r="BE66" s="38"/>
      <c r="BF66" s="52" t="s">
        <v>105</v>
      </c>
      <c r="BG66" s="46"/>
      <c r="BH66" s="38"/>
      <c r="BI66" s="52" t="s">
        <v>105</v>
      </c>
      <c r="BJ66" s="46"/>
      <c r="BK66" s="38"/>
      <c r="BL66" s="52" t="s">
        <v>105</v>
      </c>
      <c r="BM66" s="46"/>
      <c r="BN66" s="38"/>
      <c r="BO66" s="52" t="s">
        <v>105</v>
      </c>
      <c r="BP66" s="46"/>
      <c r="BQ66" s="38"/>
      <c r="BR66" s="52" t="s">
        <v>105</v>
      </c>
      <c r="BS66" s="46"/>
      <c r="BT66" s="38"/>
      <c r="BU66" s="52" t="s">
        <v>105</v>
      </c>
      <c r="BV66" s="46"/>
      <c r="BW66" s="38"/>
      <c r="BX66" s="52" t="s">
        <v>105</v>
      </c>
      <c r="BY66" s="46"/>
      <c r="BZ66" s="38"/>
      <c r="CA66" s="52" t="s">
        <v>105</v>
      </c>
      <c r="CB66" s="46"/>
      <c r="CC66" s="38"/>
      <c r="CD66" s="52" t="s">
        <v>105</v>
      </c>
      <c r="CE66" s="46"/>
      <c r="CF66" s="38"/>
      <c r="CG66" s="52" t="s">
        <v>105</v>
      </c>
      <c r="CH66" s="46"/>
      <c r="CI66" s="38"/>
      <c r="CJ66" s="52" t="s">
        <v>105</v>
      </c>
      <c r="CK66" s="46"/>
      <c r="CL66" s="38"/>
      <c r="CM66" s="52" t="s">
        <v>105</v>
      </c>
      <c r="CN66" s="46"/>
      <c r="CO66" s="37"/>
      <c r="CP66" s="52" t="s">
        <v>105</v>
      </c>
      <c r="CQ66" s="46"/>
    </row>
    <row r="67" spans="1:95" s="13" customFormat="1" ht="15" customHeight="1" x14ac:dyDescent="0.2">
      <c r="A67" s="62"/>
      <c r="B67" s="62" t="s">
        <v>32</v>
      </c>
      <c r="C67" s="62"/>
      <c r="D67" s="348" t="s">
        <v>113</v>
      </c>
      <c r="E67" s="349"/>
      <c r="F67" s="320" t="s">
        <v>72</v>
      </c>
      <c r="G67" s="321"/>
      <c r="H67" s="321"/>
      <c r="I67" s="320" t="s">
        <v>67</v>
      </c>
      <c r="J67" s="321"/>
      <c r="K67" s="321"/>
      <c r="L67" s="320" t="s">
        <v>67</v>
      </c>
      <c r="M67" s="321"/>
      <c r="N67" s="321"/>
      <c r="O67" s="320" t="s">
        <v>72</v>
      </c>
      <c r="P67" s="321"/>
      <c r="Q67" s="321"/>
      <c r="R67" s="320" t="s">
        <v>72</v>
      </c>
      <c r="S67" s="321"/>
      <c r="T67" s="321"/>
      <c r="U67" s="320" t="s">
        <v>72</v>
      </c>
      <c r="V67" s="321"/>
      <c r="W67" s="321"/>
      <c r="X67" s="320" t="s">
        <v>72</v>
      </c>
      <c r="Y67" s="321"/>
      <c r="Z67" s="321"/>
      <c r="AA67" s="320" t="s">
        <v>67</v>
      </c>
      <c r="AB67" s="321"/>
      <c r="AC67" s="321"/>
      <c r="AD67" s="320" t="s">
        <v>67</v>
      </c>
      <c r="AE67" s="321"/>
      <c r="AF67" s="321"/>
      <c r="AG67" s="320" t="s">
        <v>72</v>
      </c>
      <c r="AH67" s="321"/>
      <c r="AI67" s="321"/>
      <c r="AJ67" s="320" t="s">
        <v>67</v>
      </c>
      <c r="AK67" s="321"/>
      <c r="AL67" s="321"/>
      <c r="AM67" s="320" t="s">
        <v>72</v>
      </c>
      <c r="AN67" s="321"/>
      <c r="AO67" s="321"/>
      <c r="AP67" s="320"/>
      <c r="AQ67" s="321"/>
      <c r="AR67" s="321"/>
      <c r="AS67" s="320"/>
      <c r="AT67" s="321"/>
      <c r="AU67" s="321"/>
      <c r="AV67" s="320"/>
      <c r="AW67" s="321"/>
      <c r="AX67" s="321"/>
      <c r="AY67" s="320"/>
      <c r="AZ67" s="321"/>
      <c r="BA67" s="321"/>
      <c r="BB67" s="320"/>
      <c r="BC67" s="321"/>
      <c r="BD67" s="321"/>
      <c r="BE67" s="320"/>
      <c r="BF67" s="321"/>
      <c r="BG67" s="321"/>
      <c r="BH67" s="320"/>
      <c r="BI67" s="321"/>
      <c r="BJ67" s="321"/>
      <c r="BK67" s="320"/>
      <c r="BL67" s="321"/>
      <c r="BM67" s="321"/>
      <c r="BN67" s="320"/>
      <c r="BO67" s="321"/>
      <c r="BP67" s="321"/>
      <c r="BQ67" s="320"/>
      <c r="BR67" s="321"/>
      <c r="BS67" s="321"/>
      <c r="BT67" s="320"/>
      <c r="BU67" s="321"/>
      <c r="BV67" s="321"/>
      <c r="BW67" s="320"/>
      <c r="BX67" s="321"/>
      <c r="BY67" s="321"/>
      <c r="BZ67" s="320"/>
      <c r="CA67" s="321"/>
      <c r="CB67" s="321"/>
      <c r="CC67" s="320"/>
      <c r="CD67" s="321"/>
      <c r="CE67" s="321"/>
      <c r="CF67" s="320"/>
      <c r="CG67" s="321"/>
      <c r="CH67" s="321"/>
      <c r="CI67" s="320"/>
      <c r="CJ67" s="321"/>
      <c r="CK67" s="321"/>
      <c r="CL67" s="320"/>
      <c r="CM67" s="321"/>
      <c r="CN67" s="321"/>
      <c r="CO67" s="320"/>
      <c r="CP67" s="321"/>
      <c r="CQ67" s="321"/>
    </row>
    <row r="68" spans="1:95" s="13" customFormat="1" ht="15" customHeight="1" x14ac:dyDescent="0.2">
      <c r="A68" s="62"/>
      <c r="B68" s="62" t="s">
        <v>32</v>
      </c>
      <c r="C68" s="62"/>
      <c r="D68" s="341" t="s">
        <v>114</v>
      </c>
      <c r="E68" s="342"/>
      <c r="F68" s="288" t="s">
        <v>115</v>
      </c>
      <c r="G68" s="289"/>
      <c r="H68" s="289"/>
      <c r="I68" s="288" t="s">
        <v>115</v>
      </c>
      <c r="J68" s="289"/>
      <c r="K68" s="289"/>
      <c r="L68" s="288" t="s">
        <v>115</v>
      </c>
      <c r="M68" s="289"/>
      <c r="N68" s="289"/>
      <c r="O68" s="288" t="s">
        <v>115</v>
      </c>
      <c r="P68" s="289"/>
      <c r="Q68" s="289"/>
      <c r="R68" s="288" t="s">
        <v>115</v>
      </c>
      <c r="S68" s="289"/>
      <c r="T68" s="289"/>
      <c r="U68" s="288" t="s">
        <v>115</v>
      </c>
      <c r="V68" s="289"/>
      <c r="W68" s="289"/>
      <c r="X68" s="288" t="s">
        <v>115</v>
      </c>
      <c r="Y68" s="289"/>
      <c r="Z68" s="289"/>
      <c r="AA68" s="288" t="s">
        <v>115</v>
      </c>
      <c r="AB68" s="289"/>
      <c r="AC68" s="289"/>
      <c r="AD68" s="288" t="s">
        <v>115</v>
      </c>
      <c r="AE68" s="289"/>
      <c r="AF68" s="289"/>
      <c r="AG68" s="288" t="s">
        <v>115</v>
      </c>
      <c r="AH68" s="289"/>
      <c r="AI68" s="289"/>
      <c r="AJ68" s="288" t="s">
        <v>115</v>
      </c>
      <c r="AK68" s="289"/>
      <c r="AL68" s="289"/>
      <c r="AM68" s="288" t="s">
        <v>115</v>
      </c>
      <c r="AN68" s="289"/>
      <c r="AO68" s="289"/>
      <c r="AP68" s="288"/>
      <c r="AQ68" s="289"/>
      <c r="AR68" s="289"/>
      <c r="AS68" s="288"/>
      <c r="AT68" s="289"/>
      <c r="AU68" s="289"/>
      <c r="AV68" s="288"/>
      <c r="AW68" s="289"/>
      <c r="AX68" s="289"/>
      <c r="AY68" s="288"/>
      <c r="AZ68" s="289"/>
      <c r="BA68" s="289"/>
      <c r="BB68" s="288"/>
      <c r="BC68" s="289"/>
      <c r="BD68" s="289"/>
      <c r="BE68" s="288"/>
      <c r="BF68" s="289"/>
      <c r="BG68" s="289"/>
      <c r="BH68" s="288"/>
      <c r="BI68" s="289"/>
      <c r="BJ68" s="289"/>
      <c r="BK68" s="288"/>
      <c r="BL68" s="289"/>
      <c r="BM68" s="289"/>
      <c r="BN68" s="288"/>
      <c r="BO68" s="289"/>
      <c r="BP68" s="289"/>
      <c r="BQ68" s="288"/>
      <c r="BR68" s="289"/>
      <c r="BS68" s="289"/>
      <c r="BT68" s="288"/>
      <c r="BU68" s="289"/>
      <c r="BV68" s="289"/>
      <c r="BW68" s="288"/>
      <c r="BX68" s="289"/>
      <c r="BY68" s="289"/>
      <c r="BZ68" s="288"/>
      <c r="CA68" s="289"/>
      <c r="CB68" s="289"/>
      <c r="CC68" s="288"/>
      <c r="CD68" s="289"/>
      <c r="CE68" s="289"/>
      <c r="CF68" s="288"/>
      <c r="CG68" s="289"/>
      <c r="CH68" s="289"/>
      <c r="CI68" s="288"/>
      <c r="CJ68" s="289"/>
      <c r="CK68" s="289"/>
      <c r="CL68" s="288"/>
      <c r="CM68" s="289"/>
      <c r="CN68" s="289"/>
      <c r="CO68" s="288"/>
      <c r="CP68" s="289"/>
      <c r="CQ68" s="289"/>
    </row>
    <row r="69" spans="1:95" s="13" customFormat="1" ht="15" customHeight="1" x14ac:dyDescent="0.2">
      <c r="A69" s="62"/>
      <c r="B69" s="62" t="s">
        <v>32</v>
      </c>
      <c r="C69" s="62"/>
      <c r="D69" s="341" t="s">
        <v>116</v>
      </c>
      <c r="E69" s="342"/>
      <c r="F69" s="288" t="s">
        <v>115</v>
      </c>
      <c r="G69" s="289"/>
      <c r="H69" s="289"/>
      <c r="I69" s="288" t="s">
        <v>115</v>
      </c>
      <c r="J69" s="289"/>
      <c r="K69" s="289"/>
      <c r="L69" s="288" t="s">
        <v>115</v>
      </c>
      <c r="M69" s="289"/>
      <c r="N69" s="289"/>
      <c r="O69" s="288" t="s">
        <v>115</v>
      </c>
      <c r="P69" s="289"/>
      <c r="Q69" s="289"/>
      <c r="R69" s="288" t="s">
        <v>115</v>
      </c>
      <c r="S69" s="289"/>
      <c r="T69" s="289"/>
      <c r="U69" s="288" t="s">
        <v>115</v>
      </c>
      <c r="V69" s="289"/>
      <c r="W69" s="289"/>
      <c r="X69" s="288" t="s">
        <v>115</v>
      </c>
      <c r="Y69" s="289"/>
      <c r="Z69" s="289"/>
      <c r="AA69" s="288" t="s">
        <v>115</v>
      </c>
      <c r="AB69" s="289"/>
      <c r="AC69" s="289"/>
      <c r="AD69" s="288" t="s">
        <v>115</v>
      </c>
      <c r="AE69" s="289"/>
      <c r="AF69" s="289"/>
      <c r="AG69" s="288" t="s">
        <v>115</v>
      </c>
      <c r="AH69" s="289"/>
      <c r="AI69" s="289"/>
      <c r="AJ69" s="288" t="s">
        <v>115</v>
      </c>
      <c r="AK69" s="289"/>
      <c r="AL69" s="289"/>
      <c r="AM69" s="288" t="s">
        <v>115</v>
      </c>
      <c r="AN69" s="289"/>
      <c r="AO69" s="289"/>
      <c r="AP69" s="288"/>
      <c r="AQ69" s="289"/>
      <c r="AR69" s="289"/>
      <c r="AS69" s="288"/>
      <c r="AT69" s="289"/>
      <c r="AU69" s="289"/>
      <c r="AV69" s="288"/>
      <c r="AW69" s="289"/>
      <c r="AX69" s="289"/>
      <c r="AY69" s="288"/>
      <c r="AZ69" s="289"/>
      <c r="BA69" s="289"/>
      <c r="BB69" s="288"/>
      <c r="BC69" s="289"/>
      <c r="BD69" s="289"/>
      <c r="BE69" s="288"/>
      <c r="BF69" s="289"/>
      <c r="BG69" s="289"/>
      <c r="BH69" s="288"/>
      <c r="BI69" s="289"/>
      <c r="BJ69" s="289"/>
      <c r="BK69" s="288"/>
      <c r="BL69" s="289"/>
      <c r="BM69" s="289"/>
      <c r="BN69" s="288"/>
      <c r="BO69" s="289"/>
      <c r="BP69" s="289"/>
      <c r="BQ69" s="288"/>
      <c r="BR69" s="289"/>
      <c r="BS69" s="289"/>
      <c r="BT69" s="288"/>
      <c r="BU69" s="289"/>
      <c r="BV69" s="289"/>
      <c r="BW69" s="288"/>
      <c r="BX69" s="289"/>
      <c r="BY69" s="289"/>
      <c r="BZ69" s="288"/>
      <c r="CA69" s="289"/>
      <c r="CB69" s="289"/>
      <c r="CC69" s="288"/>
      <c r="CD69" s="289"/>
      <c r="CE69" s="289"/>
      <c r="CF69" s="288"/>
      <c r="CG69" s="289"/>
      <c r="CH69" s="289"/>
      <c r="CI69" s="288"/>
      <c r="CJ69" s="289"/>
      <c r="CK69" s="289"/>
      <c r="CL69" s="288"/>
      <c r="CM69" s="289"/>
      <c r="CN69" s="289"/>
      <c r="CO69" s="288"/>
      <c r="CP69" s="289"/>
      <c r="CQ69" s="289"/>
    </row>
    <row r="70" spans="1:95" s="13" customFormat="1" ht="15" customHeight="1" x14ac:dyDescent="0.2">
      <c r="A70" s="62"/>
      <c r="B70" s="62" t="s">
        <v>32</v>
      </c>
      <c r="C70" s="62"/>
      <c r="D70" s="343" t="s">
        <v>117</v>
      </c>
      <c r="E70" s="344"/>
      <c r="F70" s="38" t="s">
        <v>67</v>
      </c>
      <c r="G70" s="53" t="s">
        <v>109</v>
      </c>
      <c r="H70" s="47" t="s">
        <v>486</v>
      </c>
      <c r="I70" s="38" t="s">
        <v>67</v>
      </c>
      <c r="J70" s="53" t="s">
        <v>109</v>
      </c>
      <c r="K70" s="47" t="s">
        <v>490</v>
      </c>
      <c r="L70" s="38" t="s">
        <v>67</v>
      </c>
      <c r="M70" s="53" t="s">
        <v>109</v>
      </c>
      <c r="N70" s="47" t="s">
        <v>491</v>
      </c>
      <c r="O70" s="38" t="s">
        <v>67</v>
      </c>
      <c r="P70" s="53" t="s">
        <v>109</v>
      </c>
      <c r="Q70" s="47" t="s">
        <v>502</v>
      </c>
      <c r="R70" s="38" t="s">
        <v>67</v>
      </c>
      <c r="S70" s="53" t="s">
        <v>109</v>
      </c>
      <c r="T70" s="47" t="s">
        <v>503</v>
      </c>
      <c r="U70" s="38" t="s">
        <v>67</v>
      </c>
      <c r="V70" s="53" t="s">
        <v>109</v>
      </c>
      <c r="W70" s="47" t="s">
        <v>409</v>
      </c>
      <c r="X70" s="38" t="s">
        <v>67</v>
      </c>
      <c r="Y70" s="53" t="s">
        <v>109</v>
      </c>
      <c r="Z70" s="47" t="s">
        <v>412</v>
      </c>
      <c r="AA70" s="38" t="s">
        <v>67</v>
      </c>
      <c r="AB70" s="53" t="s">
        <v>109</v>
      </c>
      <c r="AC70" s="47" t="s">
        <v>489</v>
      </c>
      <c r="AD70" s="38" t="s">
        <v>67</v>
      </c>
      <c r="AE70" s="53" t="s">
        <v>109</v>
      </c>
      <c r="AF70" s="47" t="s">
        <v>493</v>
      </c>
      <c r="AG70" s="38" t="s">
        <v>67</v>
      </c>
      <c r="AH70" s="53" t="s">
        <v>109</v>
      </c>
      <c r="AI70" s="47" t="s">
        <v>494</v>
      </c>
      <c r="AJ70" s="38" t="s">
        <v>72</v>
      </c>
      <c r="AK70" s="53" t="s">
        <v>109</v>
      </c>
      <c r="AL70" s="47"/>
      <c r="AM70" s="38" t="s">
        <v>67</v>
      </c>
      <c r="AN70" s="53" t="s">
        <v>109</v>
      </c>
      <c r="AO70" s="47" t="s">
        <v>483</v>
      </c>
      <c r="AP70" s="38"/>
      <c r="AQ70" s="53" t="s">
        <v>109</v>
      </c>
      <c r="AR70" s="47"/>
      <c r="AS70" s="38"/>
      <c r="AT70" s="53" t="s">
        <v>109</v>
      </c>
      <c r="AU70" s="47"/>
      <c r="AV70" s="38"/>
      <c r="AW70" s="53" t="s">
        <v>109</v>
      </c>
      <c r="AX70" s="47"/>
      <c r="AY70" s="38"/>
      <c r="AZ70" s="53" t="s">
        <v>109</v>
      </c>
      <c r="BA70" s="47"/>
      <c r="BB70" s="38"/>
      <c r="BC70" s="53" t="s">
        <v>109</v>
      </c>
      <c r="BD70" s="47"/>
      <c r="BE70" s="38"/>
      <c r="BF70" s="53" t="s">
        <v>109</v>
      </c>
      <c r="BG70" s="47"/>
      <c r="BH70" s="38"/>
      <c r="BI70" s="53" t="s">
        <v>109</v>
      </c>
      <c r="BJ70" s="47"/>
      <c r="BK70" s="38"/>
      <c r="BL70" s="53" t="s">
        <v>109</v>
      </c>
      <c r="BM70" s="47"/>
      <c r="BN70" s="38"/>
      <c r="BO70" s="53" t="s">
        <v>109</v>
      </c>
      <c r="BP70" s="47"/>
      <c r="BQ70" s="38"/>
      <c r="BR70" s="53" t="s">
        <v>109</v>
      </c>
      <c r="BS70" s="47"/>
      <c r="BT70" s="38"/>
      <c r="BU70" s="53" t="s">
        <v>109</v>
      </c>
      <c r="BV70" s="47"/>
      <c r="BW70" s="38"/>
      <c r="BX70" s="53" t="s">
        <v>109</v>
      </c>
      <c r="BY70" s="47"/>
      <c r="BZ70" s="38"/>
      <c r="CA70" s="53" t="s">
        <v>109</v>
      </c>
      <c r="CB70" s="47"/>
      <c r="CC70" s="38"/>
      <c r="CD70" s="53" t="s">
        <v>109</v>
      </c>
      <c r="CE70" s="47"/>
      <c r="CF70" s="38"/>
      <c r="CG70" s="53" t="s">
        <v>109</v>
      </c>
      <c r="CH70" s="47"/>
      <c r="CI70" s="38"/>
      <c r="CJ70" s="53" t="s">
        <v>109</v>
      </c>
      <c r="CK70" s="47"/>
      <c r="CL70" s="38"/>
      <c r="CM70" s="53" t="s">
        <v>109</v>
      </c>
      <c r="CN70" s="47"/>
      <c r="CO70" s="37"/>
      <c r="CP70" s="53" t="s">
        <v>109</v>
      </c>
      <c r="CQ70" s="47"/>
    </row>
    <row r="71" spans="1:95" s="13" customFormat="1" ht="15" customHeight="1" x14ac:dyDescent="0.2">
      <c r="A71" s="62"/>
      <c r="B71" s="62" t="s">
        <v>32</v>
      </c>
      <c r="C71" s="62"/>
      <c r="D71" s="346" t="s">
        <v>118</v>
      </c>
      <c r="E71" s="347"/>
      <c r="F71" s="305" t="str">
        <f>IF(RIGHT(IF(OR(F72="",F73=""),"",IF(CONCATENATE(IF(F72="Yes","R-squared / ",""),IF(F73="Yes","Brier score / ",""),IF(F74="Yes",H74,""))="","Not evaluated",CONCATENATE(IF(F72="Yes","R-squared / ",""),IF(F73="Yes","Brier score / ",""),IF(F74="Yes",H74,"")))),2)="/ ",LEFT(IF(OR(F72="",F73=""),"",IF(CONCATENATE(IF(F72="Yes","R-squared / ",""),IF(F73="Yes","Brier score / ",""),IF(F74="Yes",H74,""))="","Not evaluated",CONCATENATE(IF(F72="Yes","R-squared / ",""),IF(F73="Yes","Brier score / ",""),IF(F74="Yes",H74,"")))),LEN(IF(OR(F72="",F73=""),"",IF(CONCATENATE(IF(F72="Yes","R-squared / ",""),IF(F73="Yes","Brier score / ",""),IF(F74="Yes",H74,""))="","Not evaluated",CONCATENATE(IF(F72="Yes","R-squared / ",""),IF(F73="Yes","Brier score / ",""),IF(F74="Yes",H74,"")))))-2),IF(OR(F72="",F73=""),"",IF(CONCATENATE(IF(F72="Yes","R-squared / ",""),IF(F73="Yes","Brier score / ",""),IF(F74="Yes",H74,""))="","Not evaluated",CONCATENATE(IF(F72="Yes","R-squared / ",""),IF(F73="Yes","Brier score / ",""),IF(F74="Yes",H74,"")))))</f>
        <v>Not evaluated</v>
      </c>
      <c r="G71" s="306"/>
      <c r="H71" s="306"/>
      <c r="I71" s="305" t="str">
        <f>IF(RIGHT(IF(OR(I72="",I73=""),"",IF(CONCATENATE(IF(I72="Yes","R-squared / ",""),IF(I73="Yes","Brier score / ",""),IF(I74="Yes",K74,""))="","Not evaluated",CONCATENATE(IF(I72="Yes","R-squared / ",""),IF(I73="Yes","Brier score / ",""),IF(I74="Yes",K74,"")))),2)="/ ",LEFT(IF(OR(I72="",I73=""),"",IF(CONCATENATE(IF(I72="Yes","R-squared / ",""),IF(I73="Yes","Brier score / ",""),IF(I74="Yes",K74,""))="","Not evaluated",CONCATENATE(IF(I72="Yes","R-squared / ",""),IF(I73="Yes","Brier score / ",""),IF(I74="Yes",K74,"")))),LEN(IF(OR(I72="",I73=""),"",IF(CONCATENATE(IF(I72="Yes","R-squared / ",""),IF(I73="Yes","Brier score / ",""),IF(I74="Yes",K74,""))="","Not evaluated",CONCATENATE(IF(I72="Yes","R-squared / ",""),IF(I73="Yes","Brier score / ",""),IF(I74="Yes",K74,"")))))-2),IF(OR(I72="",I73=""),"",IF(CONCATENATE(IF(I72="Yes","R-squared / ",""),IF(I73="Yes","Brier score / ",""),IF(I74="Yes",K74,""))="","Not evaluated",CONCATENATE(IF(I72="Yes","R-squared / ",""),IF(I73="Yes","Brier score / ",""),IF(I74="Yes",K74,"")))))</f>
        <v>Not evaluated</v>
      </c>
      <c r="J71" s="306"/>
      <c r="K71" s="306"/>
      <c r="L71" s="305" t="str">
        <f>IF(RIGHT(IF(OR(L72="",L73=""),"",IF(CONCATENATE(IF(L72="Yes","R-squared / ",""),IF(L73="Yes","Brier score / ",""),IF(L74="Yes",N74,""))="","Not evaluated",CONCATENATE(IF(L72="Yes","R-squared / ",""),IF(L73="Yes","Brier score / ",""),IF(L74="Yes",N74,"")))),2)="/ ",LEFT(IF(OR(L72="",L73=""),"",IF(CONCATENATE(IF(L72="Yes","R-squared / ",""),IF(L73="Yes","Brier score / ",""),IF(L74="Yes",N74,""))="","Not evaluated",CONCATENATE(IF(L72="Yes","R-squared / ",""),IF(L73="Yes","Brier score / ",""),IF(L74="Yes",N74,"")))),LEN(IF(OR(L72="",L73=""),"",IF(CONCATENATE(IF(L72="Yes","R-squared / ",""),IF(L73="Yes","Brier score / ",""),IF(L74="Yes",N74,""))="","Not evaluated",CONCATENATE(IF(L72="Yes","R-squared / ",""),IF(L73="Yes","Brier score / ",""),IF(L74="Yes",N74,"")))))-2),IF(OR(L72="",L73=""),"",IF(CONCATENATE(IF(L72="Yes","R-squared / ",""),IF(L73="Yes","Brier score / ",""),IF(L74="Yes",N74,""))="","Not evaluated",CONCATENATE(IF(L72="Yes","R-squared / ",""),IF(L73="Yes","Brier score / ",""),IF(L74="Yes",N74,"")))))</f>
        <v>Not evaluated</v>
      </c>
      <c r="M71" s="306"/>
      <c r="N71" s="306"/>
      <c r="O71" s="305" t="str">
        <f>IF(RIGHT(IF(OR(O72="",O73=""),"",IF(CONCATENATE(IF(O72="Yes","R-squared / ",""),IF(O73="Yes","Brier score / ",""),IF(O74="Yes",Q74,""))="","Not evaluated",CONCATENATE(IF(O72="Yes","R-squared / ",""),IF(O73="Yes","Brier score / ",""),IF(O74="Yes",Q74,"")))),2)="/ ",LEFT(IF(OR(O72="",O73=""),"",IF(CONCATENATE(IF(O72="Yes","R-squared / ",""),IF(O73="Yes","Brier score / ",""),IF(O74="Yes",Q74,""))="","Not evaluated",CONCATENATE(IF(O72="Yes","R-squared / ",""),IF(O73="Yes","Brier score / ",""),IF(O74="Yes",Q74,"")))),LEN(IF(OR(O72="",O73=""),"",IF(CONCATENATE(IF(O72="Yes","R-squared / ",""),IF(O73="Yes","Brier score / ",""),IF(O74="Yes",Q74,""))="","Not evaluated",CONCATENATE(IF(O72="Yes","R-squared / ",""),IF(O73="Yes","Brier score / ",""),IF(O74="Yes",Q74,"")))))-2),IF(OR(O72="",O73=""),"",IF(CONCATENATE(IF(O72="Yes","R-squared / ",""),IF(O73="Yes","Brier score / ",""),IF(O74="Yes",Q74,""))="","Not evaluated",CONCATENATE(IF(O72="Yes","R-squared / ",""),IF(O73="Yes","Brier score / ",""),IF(O74="Yes",Q74,"")))))</f>
        <v>Not evaluated</v>
      </c>
      <c r="P71" s="306"/>
      <c r="Q71" s="306"/>
      <c r="R71" s="305" t="str">
        <f>IF(RIGHT(IF(OR(R72="",R73=""),"",IF(CONCATENATE(IF(R72="Yes","R-squared / ",""),IF(R73="Yes","Brier score / ",""),IF(R74="Yes",T74,""))="","Not evaluated",CONCATENATE(IF(R72="Yes","R-squared / ",""),IF(R73="Yes","Brier score / ",""),IF(R74="Yes",T74,"")))),2)="/ ",LEFT(IF(OR(R72="",R73=""),"",IF(CONCATENATE(IF(R72="Yes","R-squared / ",""),IF(R73="Yes","Brier score / ",""),IF(R74="Yes",T74,""))="","Not evaluated",CONCATENATE(IF(R72="Yes","R-squared / ",""),IF(R73="Yes","Brier score / ",""),IF(R74="Yes",T74,"")))),LEN(IF(OR(R72="",R73=""),"",IF(CONCATENATE(IF(R72="Yes","R-squared / ",""),IF(R73="Yes","Brier score / ",""),IF(R74="Yes",T74,""))="","Not evaluated",CONCATENATE(IF(R72="Yes","R-squared / ",""),IF(R73="Yes","Brier score / ",""),IF(R74="Yes",T74,"")))))-2),IF(OR(R72="",R73=""),"",IF(CONCATENATE(IF(R72="Yes","R-squared / ",""),IF(R73="Yes","Brier score / ",""),IF(R74="Yes",T74,""))="","Not evaluated",CONCATENATE(IF(R72="Yes","R-squared / ",""),IF(R73="Yes","Brier score / ",""),IF(R74="Yes",T74,"")))))</f>
        <v>Not evaluated</v>
      </c>
      <c r="S71" s="306"/>
      <c r="T71" s="306"/>
      <c r="U71" s="305" t="str">
        <f>IF(RIGHT(IF(OR(U72="",U73=""),"",IF(CONCATENATE(IF(U72="Yes","R-squared / ",""),IF(U73="Yes","Brier score / ",""),IF(U74="Yes",W74,""))="","Not evaluated",CONCATENATE(IF(U72="Yes","R-squared / ",""),IF(U73="Yes","Brier score / ",""),IF(U74="Yes",W74,"")))),2)="/ ",LEFT(IF(OR(U72="",U73=""),"",IF(CONCATENATE(IF(U72="Yes","R-squared / ",""),IF(U73="Yes","Brier score / ",""),IF(U74="Yes",W74,""))="","Not evaluated",CONCATENATE(IF(U72="Yes","R-squared / ",""),IF(U73="Yes","Brier score / ",""),IF(U74="Yes",W74,"")))),LEN(IF(OR(U72="",U73=""),"",IF(CONCATENATE(IF(U72="Yes","R-squared / ",""),IF(U73="Yes","Brier score / ",""),IF(U74="Yes",W74,""))="","Not evaluated",CONCATENATE(IF(U72="Yes","R-squared / ",""),IF(U73="Yes","Brier score / ",""),IF(U74="Yes",W74,"")))))-2),IF(OR(U72="",U73=""),"",IF(CONCATENATE(IF(U72="Yes","R-squared / ",""),IF(U73="Yes","Brier score / ",""),IF(U74="Yes",W74,""))="","Not evaluated",CONCATENATE(IF(U72="Yes","R-squared / ",""),IF(U73="Yes","Brier score / ",""),IF(U74="Yes",W74,"")))))</f>
        <v>Not evaluated</v>
      </c>
      <c r="V71" s="306"/>
      <c r="W71" s="306"/>
      <c r="X71" s="305" t="str">
        <f>IF(RIGHT(IF(OR(X72="",X73=""),"",IF(CONCATENATE(IF(X72="Yes","R-squared / ",""),IF(X73="Yes","Brier score / ",""),IF(X74="Yes",Z74,""))="","Not evaluated",CONCATENATE(IF(X72="Yes","R-squared / ",""),IF(X73="Yes","Brier score / ",""),IF(X74="Yes",Z74,"")))),2)="/ ",LEFT(IF(OR(X72="",X73=""),"",IF(CONCATENATE(IF(X72="Yes","R-squared / ",""),IF(X73="Yes","Brier score / ",""),IF(X74="Yes",Z74,""))="","Not evaluated",CONCATENATE(IF(X72="Yes","R-squared / ",""),IF(X73="Yes","Brier score / ",""),IF(X74="Yes",Z74,"")))),LEN(IF(OR(X72="",X73=""),"",IF(CONCATENATE(IF(X72="Yes","R-squared / ",""),IF(X73="Yes","Brier score / ",""),IF(X74="Yes",Z74,""))="","Not evaluated",CONCATENATE(IF(X72="Yes","R-squared / ",""),IF(X73="Yes","Brier score / ",""),IF(X74="Yes",Z74,"")))))-2),IF(OR(X72="",X73=""),"",IF(CONCATENATE(IF(X72="Yes","R-squared / ",""),IF(X73="Yes","Brier score / ",""),IF(X74="Yes",Z74,""))="","Not evaluated",CONCATENATE(IF(X72="Yes","R-squared / ",""),IF(X73="Yes","Brier score / ",""),IF(X74="Yes",Z74,"")))))</f>
        <v>Not evaluated</v>
      </c>
      <c r="Y71" s="306"/>
      <c r="Z71" s="306"/>
      <c r="AA71" s="305" t="str">
        <f>IF(RIGHT(IF(OR(AA72="",AA73=""),"",IF(CONCATENATE(IF(AA72="Yes","R-squared / ",""),IF(AA73="Yes","Brier score / ",""),IF(AA74="Yes",AC74,""))="","Not evaluated",CONCATENATE(IF(AA72="Yes","R-squared / ",""),IF(AA73="Yes","Brier score / ",""),IF(AA74="Yes",AC74,"")))),2)="/ ",LEFT(IF(OR(AA72="",AA73=""),"",IF(CONCATENATE(IF(AA72="Yes","R-squared / ",""),IF(AA73="Yes","Brier score / ",""),IF(AA74="Yes",AC74,""))="","Not evaluated",CONCATENATE(IF(AA72="Yes","R-squared / ",""),IF(AA73="Yes","Brier score / ",""),IF(AA74="Yes",AC74,"")))),LEN(IF(OR(AA72="",AA73=""),"",IF(CONCATENATE(IF(AA72="Yes","R-squared / ",""),IF(AA73="Yes","Brier score / ",""),IF(AA74="Yes",AC74,""))="","Not evaluated",CONCATENATE(IF(AA72="Yes","R-squared / ",""),IF(AA73="Yes","Brier score / ",""),IF(AA74="Yes",AC74,"")))))-2),IF(OR(AA72="",AA73=""),"",IF(CONCATENATE(IF(AA72="Yes","R-squared / ",""),IF(AA73="Yes","Brier score / ",""),IF(AA74="Yes",AC74,""))="","Not evaluated",CONCATENATE(IF(AA72="Yes","R-squared / ",""),IF(AA73="Yes","Brier score / ",""),IF(AA74="Yes",AC74,"")))))</f>
        <v>Not evaluated</v>
      </c>
      <c r="AB71" s="306"/>
      <c r="AC71" s="306"/>
      <c r="AD71" s="305" t="str">
        <f>IF(RIGHT(IF(OR(AD72="",AD73=""),"",IF(CONCATENATE(IF(AD72="Yes","R-squared / ",""),IF(AD73="Yes","Brier score / ",""),IF(AD74="Yes",AF74,""))="","Not evaluated",CONCATENATE(IF(AD72="Yes","R-squared / ",""),IF(AD73="Yes","Brier score / ",""),IF(AD74="Yes",AF74,"")))),2)="/ ",LEFT(IF(OR(AD72="",AD73=""),"",IF(CONCATENATE(IF(AD72="Yes","R-squared / ",""),IF(AD73="Yes","Brier score / ",""),IF(AD74="Yes",AF74,""))="","Not evaluated",CONCATENATE(IF(AD72="Yes","R-squared / ",""),IF(AD73="Yes","Brier score / ",""),IF(AD74="Yes",AF74,"")))),LEN(IF(OR(AD72="",AD73=""),"",IF(CONCATENATE(IF(AD72="Yes","R-squared / ",""),IF(AD73="Yes","Brier score / ",""),IF(AD74="Yes",AF74,""))="","Not evaluated",CONCATENATE(IF(AD72="Yes","R-squared / ",""),IF(AD73="Yes","Brier score / ",""),IF(AD74="Yes",AF74,"")))))-2),IF(OR(AD72="",AD73=""),"",IF(CONCATENATE(IF(AD72="Yes","R-squared / ",""),IF(AD73="Yes","Brier score / ",""),IF(AD74="Yes",AF74,""))="","Not evaluated",CONCATENATE(IF(AD72="Yes","R-squared / ",""),IF(AD73="Yes","Brier score / ",""),IF(AD74="Yes",AF74,"")))))</f>
        <v>Not evaluated</v>
      </c>
      <c r="AE71" s="306"/>
      <c r="AF71" s="306"/>
      <c r="AG71" s="305" t="str">
        <f>IF(RIGHT(IF(OR(AG72="",AG73=""),"",IF(CONCATENATE(IF(AG72="Yes","R-squared / ",""),IF(AG73="Yes","Brier score / ",""),IF(AG74="Yes",AI74,""))="","Not evaluated",CONCATENATE(IF(AG72="Yes","R-squared / ",""),IF(AG73="Yes","Brier score / ",""),IF(AG74="Yes",AI74,"")))),2)="/ ",LEFT(IF(OR(AG72="",AG73=""),"",IF(CONCATENATE(IF(AG72="Yes","R-squared / ",""),IF(AG73="Yes","Brier score / ",""),IF(AG74="Yes",AI74,""))="","Not evaluated",CONCATENATE(IF(AG72="Yes","R-squared / ",""),IF(AG73="Yes","Brier score / ",""),IF(AG74="Yes",AI74,"")))),LEN(IF(OR(AG72="",AG73=""),"",IF(CONCATENATE(IF(AG72="Yes","R-squared / ",""),IF(AG73="Yes","Brier score / ",""),IF(AG74="Yes",AI74,""))="","Not evaluated",CONCATENATE(IF(AG72="Yes","R-squared / ",""),IF(AG73="Yes","Brier score / ",""),IF(AG74="Yes",AI74,"")))))-2),IF(OR(AG72="",AG73=""),"",IF(CONCATENATE(IF(AG72="Yes","R-squared / ",""),IF(AG73="Yes","Brier score / ",""),IF(AG74="Yes",AI74,""))="","Not evaluated",CONCATENATE(IF(AG72="Yes","R-squared / ",""),IF(AG73="Yes","Brier score / ",""),IF(AG74="Yes",AI74,"")))))</f>
        <v>Not evaluated</v>
      </c>
      <c r="AH71" s="306"/>
      <c r="AI71" s="306"/>
      <c r="AJ71" s="305" t="str">
        <f>IF(RIGHT(IF(OR(AJ72="",AJ73=""),"",IF(CONCATENATE(IF(AJ72="Yes","R-squared / ",""),IF(AJ73="Yes","Brier score / ",""),IF(AJ74="Yes",AL74,""))="","Not evaluated",CONCATENATE(IF(AJ72="Yes","R-squared / ",""),IF(AJ73="Yes","Brier score / ",""),IF(AJ74="Yes",AL74,"")))),2)="/ ",LEFT(IF(OR(AJ72="",AJ73=""),"",IF(CONCATENATE(IF(AJ72="Yes","R-squared / ",""),IF(AJ73="Yes","Brier score / ",""),IF(AJ74="Yes",AL74,""))="","Not evaluated",CONCATENATE(IF(AJ72="Yes","R-squared / ",""),IF(AJ73="Yes","Brier score / ",""),IF(AJ74="Yes",AL74,"")))),LEN(IF(OR(AJ72="",AJ73=""),"",IF(CONCATENATE(IF(AJ72="Yes","R-squared / ",""),IF(AJ73="Yes","Brier score / ",""),IF(AJ74="Yes",AL74,""))="","Not evaluated",CONCATENATE(IF(AJ72="Yes","R-squared / ",""),IF(AJ73="Yes","Brier score / ",""),IF(AJ74="Yes",AL74,"")))))-2),IF(OR(AJ72="",AJ73=""),"",IF(CONCATENATE(IF(AJ72="Yes","R-squared / ",""),IF(AJ73="Yes","Brier score / ",""),IF(AJ74="Yes",AL74,""))="","Not evaluated",CONCATENATE(IF(AJ72="Yes","R-squared / ",""),IF(AJ73="Yes","Brier score / ",""),IF(AJ74="Yes",AL74,"")))))</f>
        <v>Not evaluated</v>
      </c>
      <c r="AK71" s="306"/>
      <c r="AL71" s="306"/>
      <c r="AM71" s="305" t="str">
        <f>IF(RIGHT(IF(OR(AM72="",AM73=""),"",IF(CONCATENATE(IF(AM72="Yes","R-squared / ",""),IF(AM73="Yes","Brier score / ",""),IF(AM74="Yes",AO74,""))="","Not evaluated",CONCATENATE(IF(AM72="Yes","R-squared / ",""),IF(AM73="Yes","Brier score / ",""),IF(AM74="Yes",AO74,"")))),2)="/ ",LEFT(IF(OR(AM72="",AM73=""),"",IF(CONCATENATE(IF(AM72="Yes","R-squared / ",""),IF(AM73="Yes","Brier score / ",""),IF(AM74="Yes",AO74,""))="","Not evaluated",CONCATENATE(IF(AM72="Yes","R-squared / ",""),IF(AM73="Yes","Brier score / ",""),IF(AM74="Yes",AO74,"")))),LEN(IF(OR(AM72="",AM73=""),"",IF(CONCATENATE(IF(AM72="Yes","R-squared / ",""),IF(AM73="Yes","Brier score / ",""),IF(AM74="Yes",AO74,""))="","Not evaluated",CONCATENATE(IF(AM72="Yes","R-squared / ",""),IF(AM73="Yes","Brier score / ",""),IF(AM74="Yes",AO74,"")))))-2),IF(OR(AM72="",AM73=""),"",IF(CONCATENATE(IF(AM72="Yes","R-squared / ",""),IF(AM73="Yes","Brier score / ",""),IF(AM74="Yes",AO74,""))="","Not evaluated",CONCATENATE(IF(AM72="Yes","R-squared / ",""),IF(AM73="Yes","Brier score / ",""),IF(AM74="Yes",AO74,"")))))</f>
        <v>Not evaluated</v>
      </c>
      <c r="AN71" s="306"/>
      <c r="AO71" s="306"/>
      <c r="AP71" s="305" t="str">
        <f>IF(RIGHT(IF(OR(AP72="",AP73=""),"",IF(CONCATENATE(IF(AP72="Yes","R-squared / ",""),IF(AP73="Yes","Brier score / ",""),IF(AP74="Yes",AR74,""))="","Not evaluated",CONCATENATE(IF(AP72="Yes","R-squared / ",""),IF(AP73="Yes","Brier score / ",""),IF(AP74="Yes",AR74,"")))),2)="/ ",LEFT(IF(OR(AP72="",AP73=""),"",IF(CONCATENATE(IF(AP72="Yes","R-squared / ",""),IF(AP73="Yes","Brier score / ",""),IF(AP74="Yes",AR74,""))="","Not evaluated",CONCATENATE(IF(AP72="Yes","R-squared / ",""),IF(AP73="Yes","Brier score / ",""),IF(AP74="Yes",AR74,"")))),LEN(IF(OR(AP72="",AP73=""),"",IF(CONCATENATE(IF(AP72="Yes","R-squared / ",""),IF(AP73="Yes","Brier score / ",""),IF(AP74="Yes",AR74,""))="","Not evaluated",CONCATENATE(IF(AP72="Yes","R-squared / ",""),IF(AP73="Yes","Brier score / ",""),IF(AP74="Yes",AR74,"")))))-2),IF(OR(AP72="",AP73=""),"",IF(CONCATENATE(IF(AP72="Yes","R-squared / ",""),IF(AP73="Yes","Brier score / ",""),IF(AP74="Yes",AR74,""))="","Not evaluated",CONCATENATE(IF(AP72="Yes","R-squared / ",""),IF(AP73="Yes","Brier score / ",""),IF(AP74="Yes",AR74,"")))))</f>
        <v/>
      </c>
      <c r="AQ71" s="306"/>
      <c r="AR71" s="306"/>
      <c r="AS71" s="305" t="str">
        <f>IF(RIGHT(IF(OR(AS72="",AS73=""),"",IF(CONCATENATE(IF(AS72="Yes","R-squared / ",""),IF(AS73="Yes","Brier score / ",""),IF(AS74="Yes",AU74,""))="","Not evaluated",CONCATENATE(IF(AS72="Yes","R-squared / ",""),IF(AS73="Yes","Brier score / ",""),IF(AS74="Yes",AU74,"")))),2)="/ ",LEFT(IF(OR(AS72="",AS73=""),"",IF(CONCATENATE(IF(AS72="Yes","R-squared / ",""),IF(AS73="Yes","Brier score / ",""),IF(AS74="Yes",AU74,""))="","Not evaluated",CONCATENATE(IF(AS72="Yes","R-squared / ",""),IF(AS73="Yes","Brier score / ",""),IF(AS74="Yes",AU74,"")))),LEN(IF(OR(AS72="",AS73=""),"",IF(CONCATENATE(IF(AS72="Yes","R-squared / ",""),IF(AS73="Yes","Brier score / ",""),IF(AS74="Yes",AU74,""))="","Not evaluated",CONCATENATE(IF(AS72="Yes","R-squared / ",""),IF(AS73="Yes","Brier score / ",""),IF(AS74="Yes",AU74,"")))))-2),IF(OR(AS72="",AS73=""),"",IF(CONCATENATE(IF(AS72="Yes","R-squared / ",""),IF(AS73="Yes","Brier score / ",""),IF(AS74="Yes",AU74,""))="","Not evaluated",CONCATENATE(IF(AS72="Yes","R-squared / ",""),IF(AS73="Yes","Brier score / ",""),IF(AS74="Yes",AU74,"")))))</f>
        <v/>
      </c>
      <c r="AT71" s="306"/>
      <c r="AU71" s="306"/>
      <c r="AV71" s="305" t="str">
        <f>IF(RIGHT(IF(OR(AV72="",AV73=""),"",IF(CONCATENATE(IF(AV72="Yes","R-squared / ",""),IF(AV73="Yes","Brier score / ",""),IF(AV74="Yes",AX74,""))="","Not evaluated",CONCATENATE(IF(AV72="Yes","R-squared / ",""),IF(AV73="Yes","Brier score / ",""),IF(AV74="Yes",AX74,"")))),2)="/ ",LEFT(IF(OR(AV72="",AV73=""),"",IF(CONCATENATE(IF(AV72="Yes","R-squared / ",""),IF(AV73="Yes","Brier score / ",""),IF(AV74="Yes",AX74,""))="","Not evaluated",CONCATENATE(IF(AV72="Yes","R-squared / ",""),IF(AV73="Yes","Brier score / ",""),IF(AV74="Yes",AX74,"")))),LEN(IF(OR(AV72="",AV73=""),"",IF(CONCATENATE(IF(AV72="Yes","R-squared / ",""),IF(AV73="Yes","Brier score / ",""),IF(AV74="Yes",AX74,""))="","Not evaluated",CONCATENATE(IF(AV72="Yes","R-squared / ",""),IF(AV73="Yes","Brier score / ",""),IF(AV74="Yes",AX74,"")))))-2),IF(OR(AV72="",AV73=""),"",IF(CONCATENATE(IF(AV72="Yes","R-squared / ",""),IF(AV73="Yes","Brier score / ",""),IF(AV74="Yes",AX74,""))="","Not evaluated",CONCATENATE(IF(AV72="Yes","R-squared / ",""),IF(AV73="Yes","Brier score / ",""),IF(AV74="Yes",AX74,"")))))</f>
        <v/>
      </c>
      <c r="AW71" s="306"/>
      <c r="AX71" s="306"/>
      <c r="AY71" s="305" t="str">
        <f>IF(RIGHT(IF(OR(AY72="",AY73=""),"",IF(CONCATENATE(IF(AY72="Yes","R-squared / ",""),IF(AY73="Yes","Brier score / ",""),IF(AY74="Yes",BA74,""))="","Not evaluated",CONCATENATE(IF(AY72="Yes","R-squared / ",""),IF(AY73="Yes","Brier score / ",""),IF(AY74="Yes",BA74,"")))),2)="/ ",LEFT(IF(OR(AY72="",AY73=""),"",IF(CONCATENATE(IF(AY72="Yes","R-squared / ",""),IF(AY73="Yes","Brier score / ",""),IF(AY74="Yes",BA74,""))="","Not evaluated",CONCATENATE(IF(AY72="Yes","R-squared / ",""),IF(AY73="Yes","Brier score / ",""),IF(AY74="Yes",BA74,"")))),LEN(IF(OR(AY72="",AY73=""),"",IF(CONCATENATE(IF(AY72="Yes","R-squared / ",""),IF(AY73="Yes","Brier score / ",""),IF(AY74="Yes",BA74,""))="","Not evaluated",CONCATENATE(IF(AY72="Yes","R-squared / ",""),IF(AY73="Yes","Brier score / ",""),IF(AY74="Yes",BA74,"")))))-2),IF(OR(AY72="",AY73=""),"",IF(CONCATENATE(IF(AY72="Yes","R-squared / ",""),IF(AY73="Yes","Brier score / ",""),IF(AY74="Yes",BA74,""))="","Not evaluated",CONCATENATE(IF(AY72="Yes","R-squared / ",""),IF(AY73="Yes","Brier score / ",""),IF(AY74="Yes",BA74,"")))))</f>
        <v/>
      </c>
      <c r="AZ71" s="306"/>
      <c r="BA71" s="306"/>
      <c r="BB71" s="305" t="str">
        <f>IF(RIGHT(IF(OR(BB72="",BB73=""),"",IF(CONCATENATE(IF(BB72="Yes","R-squared / ",""),IF(BB73="Yes","Brier score / ",""),IF(BB74="Yes",BD74,""))="","Not evaluated",CONCATENATE(IF(BB72="Yes","R-squared / ",""),IF(BB73="Yes","Brier score / ",""),IF(BB74="Yes",BD74,"")))),2)="/ ",LEFT(IF(OR(BB72="",BB73=""),"",IF(CONCATENATE(IF(BB72="Yes","R-squared / ",""),IF(BB73="Yes","Brier score / ",""),IF(BB74="Yes",BD74,""))="","Not evaluated",CONCATENATE(IF(BB72="Yes","R-squared / ",""),IF(BB73="Yes","Brier score / ",""),IF(BB74="Yes",BD74,"")))),LEN(IF(OR(BB72="",BB73=""),"",IF(CONCATENATE(IF(BB72="Yes","R-squared / ",""),IF(BB73="Yes","Brier score / ",""),IF(BB74="Yes",BD74,""))="","Not evaluated",CONCATENATE(IF(BB72="Yes","R-squared / ",""),IF(BB73="Yes","Brier score / ",""),IF(BB74="Yes",BD74,"")))))-2),IF(OR(BB72="",BB73=""),"",IF(CONCATENATE(IF(BB72="Yes","R-squared / ",""),IF(BB73="Yes","Brier score / ",""),IF(BB74="Yes",BD74,""))="","Not evaluated",CONCATENATE(IF(BB72="Yes","R-squared / ",""),IF(BB73="Yes","Brier score / ",""),IF(BB74="Yes",BD74,"")))))</f>
        <v/>
      </c>
      <c r="BC71" s="306"/>
      <c r="BD71" s="306"/>
      <c r="BE71" s="305" t="str">
        <f>IF(RIGHT(IF(OR(BE72="",BE73=""),"",IF(CONCATENATE(IF(BE72="Yes","R-squared / ",""),IF(BE73="Yes","Brier score / ",""),IF(BE74="Yes",BG74,""))="","Not evaluated",CONCATENATE(IF(BE72="Yes","R-squared / ",""),IF(BE73="Yes","Brier score / ",""),IF(BE74="Yes",BG74,"")))),2)="/ ",LEFT(IF(OR(BE72="",BE73=""),"",IF(CONCATENATE(IF(BE72="Yes","R-squared / ",""),IF(BE73="Yes","Brier score / ",""),IF(BE74="Yes",BG74,""))="","Not evaluated",CONCATENATE(IF(BE72="Yes","R-squared / ",""),IF(BE73="Yes","Brier score / ",""),IF(BE74="Yes",BG74,"")))),LEN(IF(OR(BE72="",BE73=""),"",IF(CONCATENATE(IF(BE72="Yes","R-squared / ",""),IF(BE73="Yes","Brier score / ",""),IF(BE74="Yes",BG74,""))="","Not evaluated",CONCATENATE(IF(BE72="Yes","R-squared / ",""),IF(BE73="Yes","Brier score / ",""),IF(BE74="Yes",BG74,"")))))-2),IF(OR(BE72="",BE73=""),"",IF(CONCATENATE(IF(BE72="Yes","R-squared / ",""),IF(BE73="Yes","Brier score / ",""),IF(BE74="Yes",BG74,""))="","Not evaluated",CONCATENATE(IF(BE72="Yes","R-squared / ",""),IF(BE73="Yes","Brier score / ",""),IF(BE74="Yes",BG74,"")))))</f>
        <v/>
      </c>
      <c r="BF71" s="306"/>
      <c r="BG71" s="306"/>
      <c r="BH71" s="305" t="str">
        <f>IF(RIGHT(IF(OR(BH72="",BH73=""),"",IF(CONCATENATE(IF(BH72="Yes","R-squared / ",""),IF(BH73="Yes","Brier score / ",""),IF(BH74="Yes",BJ74,""))="","Not evaluated",CONCATENATE(IF(BH72="Yes","R-squared / ",""),IF(BH73="Yes","Brier score / ",""),IF(BH74="Yes",BJ74,"")))),2)="/ ",LEFT(IF(OR(BH72="",BH73=""),"",IF(CONCATENATE(IF(BH72="Yes","R-squared / ",""),IF(BH73="Yes","Brier score / ",""),IF(BH74="Yes",BJ74,""))="","Not evaluated",CONCATENATE(IF(BH72="Yes","R-squared / ",""),IF(BH73="Yes","Brier score / ",""),IF(BH74="Yes",BJ74,"")))),LEN(IF(OR(BH72="",BH73=""),"",IF(CONCATENATE(IF(BH72="Yes","R-squared / ",""),IF(BH73="Yes","Brier score / ",""),IF(BH74="Yes",BJ74,""))="","Not evaluated",CONCATENATE(IF(BH72="Yes","R-squared / ",""),IF(BH73="Yes","Brier score / ",""),IF(BH74="Yes",BJ74,"")))))-2),IF(OR(BH72="",BH73=""),"",IF(CONCATENATE(IF(BH72="Yes","R-squared / ",""),IF(BH73="Yes","Brier score / ",""),IF(BH74="Yes",BJ74,""))="","Not evaluated",CONCATENATE(IF(BH72="Yes","R-squared / ",""),IF(BH73="Yes","Brier score / ",""),IF(BH74="Yes",BJ74,"")))))</f>
        <v/>
      </c>
      <c r="BI71" s="306"/>
      <c r="BJ71" s="306"/>
      <c r="BK71" s="305" t="str">
        <f>IF(RIGHT(IF(OR(BK72="",BK73=""),"",IF(CONCATENATE(IF(BK72="Yes","R-squared / ",""),IF(BK73="Yes","Brier score / ",""),IF(BK74="Yes",BM74,""))="","Not evaluated",CONCATENATE(IF(BK72="Yes","R-squared / ",""),IF(BK73="Yes","Brier score / ",""),IF(BK74="Yes",BM74,"")))),2)="/ ",LEFT(IF(OR(BK72="",BK73=""),"",IF(CONCATENATE(IF(BK72="Yes","R-squared / ",""),IF(BK73="Yes","Brier score / ",""),IF(BK74="Yes",BM74,""))="","Not evaluated",CONCATENATE(IF(BK72="Yes","R-squared / ",""),IF(BK73="Yes","Brier score / ",""),IF(BK74="Yes",BM74,"")))),LEN(IF(OR(BK72="",BK73=""),"",IF(CONCATENATE(IF(BK72="Yes","R-squared / ",""),IF(BK73="Yes","Brier score / ",""),IF(BK74="Yes",BM74,""))="","Not evaluated",CONCATENATE(IF(BK72="Yes","R-squared / ",""),IF(BK73="Yes","Brier score / ",""),IF(BK74="Yes",BM74,"")))))-2),IF(OR(BK72="",BK73=""),"",IF(CONCATENATE(IF(BK72="Yes","R-squared / ",""),IF(BK73="Yes","Brier score / ",""),IF(BK74="Yes",BM74,""))="","Not evaluated",CONCATENATE(IF(BK72="Yes","R-squared / ",""),IF(BK73="Yes","Brier score / ",""),IF(BK74="Yes",BM74,"")))))</f>
        <v/>
      </c>
      <c r="BL71" s="306"/>
      <c r="BM71" s="306"/>
      <c r="BN71" s="305" t="str">
        <f>IF(RIGHT(IF(OR(BN72="",BN73=""),"",IF(CONCATENATE(IF(BN72="Yes","R-squared / ",""),IF(BN73="Yes","Brier score / ",""),IF(BN74="Yes",BP74,""))="","Not evaluated",CONCATENATE(IF(BN72="Yes","R-squared / ",""),IF(BN73="Yes","Brier score / ",""),IF(BN74="Yes",BP74,"")))),2)="/ ",LEFT(IF(OR(BN72="",BN73=""),"",IF(CONCATENATE(IF(BN72="Yes","R-squared / ",""),IF(BN73="Yes","Brier score / ",""),IF(BN74="Yes",BP74,""))="","Not evaluated",CONCATENATE(IF(BN72="Yes","R-squared / ",""),IF(BN73="Yes","Brier score / ",""),IF(BN74="Yes",BP74,"")))),LEN(IF(OR(BN72="",BN73=""),"",IF(CONCATENATE(IF(BN72="Yes","R-squared / ",""),IF(BN73="Yes","Brier score / ",""),IF(BN74="Yes",BP74,""))="","Not evaluated",CONCATENATE(IF(BN72="Yes","R-squared / ",""),IF(BN73="Yes","Brier score / ",""),IF(BN74="Yes",BP74,"")))))-2),IF(OR(BN72="",BN73=""),"",IF(CONCATENATE(IF(BN72="Yes","R-squared / ",""),IF(BN73="Yes","Brier score / ",""),IF(BN74="Yes",BP74,""))="","Not evaluated",CONCATENATE(IF(BN72="Yes","R-squared / ",""),IF(BN73="Yes","Brier score / ",""),IF(BN74="Yes",BP74,"")))))</f>
        <v/>
      </c>
      <c r="BO71" s="306"/>
      <c r="BP71" s="306"/>
      <c r="BQ71" s="305" t="str">
        <f>IF(RIGHT(IF(OR(BQ72="",BQ73=""),"",IF(CONCATENATE(IF(BQ72="Yes","R-squared / ",""),IF(BQ73="Yes","Brier score / ",""),IF(BQ74="Yes",BS74,""))="","Not evaluated",CONCATENATE(IF(BQ72="Yes","R-squared / ",""),IF(BQ73="Yes","Brier score / ",""),IF(BQ74="Yes",BS74,"")))),2)="/ ",LEFT(IF(OR(BQ72="",BQ73=""),"",IF(CONCATENATE(IF(BQ72="Yes","R-squared / ",""),IF(BQ73="Yes","Brier score / ",""),IF(BQ74="Yes",BS74,""))="","Not evaluated",CONCATENATE(IF(BQ72="Yes","R-squared / ",""),IF(BQ73="Yes","Brier score / ",""),IF(BQ74="Yes",BS74,"")))),LEN(IF(OR(BQ72="",BQ73=""),"",IF(CONCATENATE(IF(BQ72="Yes","R-squared / ",""),IF(BQ73="Yes","Brier score / ",""),IF(BQ74="Yes",BS74,""))="","Not evaluated",CONCATENATE(IF(BQ72="Yes","R-squared / ",""),IF(BQ73="Yes","Brier score / ",""),IF(BQ74="Yes",BS74,"")))))-2),IF(OR(BQ72="",BQ73=""),"",IF(CONCATENATE(IF(BQ72="Yes","R-squared / ",""),IF(BQ73="Yes","Brier score / ",""),IF(BQ74="Yes",BS74,""))="","Not evaluated",CONCATENATE(IF(BQ72="Yes","R-squared / ",""),IF(BQ73="Yes","Brier score / ",""),IF(BQ74="Yes",BS74,"")))))</f>
        <v/>
      </c>
      <c r="BR71" s="306"/>
      <c r="BS71" s="306"/>
      <c r="BT71" s="305" t="str">
        <f>IF(RIGHT(IF(OR(BT72="",BT73=""),"",IF(CONCATENATE(IF(BT72="Yes","R-squared / ",""),IF(BT73="Yes","Brier score / ",""),IF(BT74="Yes",BV74,""))="","Not evaluated",CONCATENATE(IF(BT72="Yes","R-squared / ",""),IF(BT73="Yes","Brier score / ",""),IF(BT74="Yes",BV74,"")))),2)="/ ",LEFT(IF(OR(BT72="",BT73=""),"",IF(CONCATENATE(IF(BT72="Yes","R-squared / ",""),IF(BT73="Yes","Brier score / ",""),IF(BT74="Yes",BV74,""))="","Not evaluated",CONCATENATE(IF(BT72="Yes","R-squared / ",""),IF(BT73="Yes","Brier score / ",""),IF(BT74="Yes",BV74,"")))),LEN(IF(OR(BT72="",BT73=""),"",IF(CONCATENATE(IF(BT72="Yes","R-squared / ",""),IF(BT73="Yes","Brier score / ",""),IF(BT74="Yes",BV74,""))="","Not evaluated",CONCATENATE(IF(BT72="Yes","R-squared / ",""),IF(BT73="Yes","Brier score / ",""),IF(BT74="Yes",BV74,"")))))-2),IF(OR(BT72="",BT73=""),"",IF(CONCATENATE(IF(BT72="Yes","R-squared / ",""),IF(BT73="Yes","Brier score / ",""),IF(BT74="Yes",BV74,""))="","Not evaluated",CONCATENATE(IF(BT72="Yes","R-squared / ",""),IF(BT73="Yes","Brier score / ",""),IF(BT74="Yes",BV74,"")))))</f>
        <v/>
      </c>
      <c r="BU71" s="306"/>
      <c r="BV71" s="306"/>
      <c r="BW71" s="305" t="str">
        <f>IF(RIGHT(IF(OR(BW72="",BW73=""),"",IF(CONCATENATE(IF(BW72="Yes","R-squared / ",""),IF(BW73="Yes","Brier score / ",""),IF(BW74="Yes",BY74,""))="","Not evaluated",CONCATENATE(IF(BW72="Yes","R-squared / ",""),IF(BW73="Yes","Brier score / ",""),IF(BW74="Yes",BY74,"")))),2)="/ ",LEFT(IF(OR(BW72="",BW73=""),"",IF(CONCATENATE(IF(BW72="Yes","R-squared / ",""),IF(BW73="Yes","Brier score / ",""),IF(BW74="Yes",BY74,""))="","Not evaluated",CONCATENATE(IF(BW72="Yes","R-squared / ",""),IF(BW73="Yes","Brier score / ",""),IF(BW74="Yes",BY74,"")))),LEN(IF(OR(BW72="",BW73=""),"",IF(CONCATENATE(IF(BW72="Yes","R-squared / ",""),IF(BW73="Yes","Brier score / ",""),IF(BW74="Yes",BY74,""))="","Not evaluated",CONCATENATE(IF(BW72="Yes","R-squared / ",""),IF(BW73="Yes","Brier score / ",""),IF(BW74="Yes",BY74,"")))))-2),IF(OR(BW72="",BW73=""),"",IF(CONCATENATE(IF(BW72="Yes","R-squared / ",""),IF(BW73="Yes","Brier score / ",""),IF(BW74="Yes",BY74,""))="","Not evaluated",CONCATENATE(IF(BW72="Yes","R-squared / ",""),IF(BW73="Yes","Brier score / ",""),IF(BW74="Yes",BY74,"")))))</f>
        <v/>
      </c>
      <c r="BX71" s="306"/>
      <c r="BY71" s="306"/>
      <c r="BZ71" s="305" t="str">
        <f>IF(RIGHT(IF(OR(BZ72="",BZ73=""),"",IF(CONCATENATE(IF(BZ72="Yes","R-squared / ",""),IF(BZ73="Yes","Brier score / ",""),IF(BZ74="Yes",CB74,""))="","Not evaluated",CONCATENATE(IF(BZ72="Yes","R-squared / ",""),IF(BZ73="Yes","Brier score / ",""),IF(BZ74="Yes",CB74,"")))),2)="/ ",LEFT(IF(OR(BZ72="",BZ73=""),"",IF(CONCATENATE(IF(BZ72="Yes","R-squared / ",""),IF(BZ73="Yes","Brier score / ",""),IF(BZ74="Yes",CB74,""))="","Not evaluated",CONCATENATE(IF(BZ72="Yes","R-squared / ",""),IF(BZ73="Yes","Brier score / ",""),IF(BZ74="Yes",CB74,"")))),LEN(IF(OR(BZ72="",BZ73=""),"",IF(CONCATENATE(IF(BZ72="Yes","R-squared / ",""),IF(BZ73="Yes","Brier score / ",""),IF(BZ74="Yes",CB74,""))="","Not evaluated",CONCATENATE(IF(BZ72="Yes","R-squared / ",""),IF(BZ73="Yes","Brier score / ",""),IF(BZ74="Yes",CB74,"")))))-2),IF(OR(BZ72="",BZ73=""),"",IF(CONCATENATE(IF(BZ72="Yes","R-squared / ",""),IF(BZ73="Yes","Brier score / ",""),IF(BZ74="Yes",CB74,""))="","Not evaluated",CONCATENATE(IF(BZ72="Yes","R-squared / ",""),IF(BZ73="Yes","Brier score / ",""),IF(BZ74="Yes",CB74,"")))))</f>
        <v/>
      </c>
      <c r="CA71" s="306"/>
      <c r="CB71" s="306"/>
      <c r="CC71" s="305" t="str">
        <f>IF(RIGHT(IF(OR(CC72="",CC73=""),"",IF(CONCATENATE(IF(CC72="Yes","R-squared / ",""),IF(CC73="Yes","Brier score / ",""),IF(CC74="Yes",CE74,""))="","Not evaluated",CONCATENATE(IF(CC72="Yes","R-squared / ",""),IF(CC73="Yes","Brier score / ",""),IF(CC74="Yes",CE74,"")))),2)="/ ",LEFT(IF(OR(CC72="",CC73=""),"",IF(CONCATENATE(IF(CC72="Yes","R-squared / ",""),IF(CC73="Yes","Brier score / ",""),IF(CC74="Yes",CE74,""))="","Not evaluated",CONCATENATE(IF(CC72="Yes","R-squared / ",""),IF(CC73="Yes","Brier score / ",""),IF(CC74="Yes",CE74,"")))),LEN(IF(OR(CC72="",CC73=""),"",IF(CONCATENATE(IF(CC72="Yes","R-squared / ",""),IF(CC73="Yes","Brier score / ",""),IF(CC74="Yes",CE74,""))="","Not evaluated",CONCATENATE(IF(CC72="Yes","R-squared / ",""),IF(CC73="Yes","Brier score / ",""),IF(CC74="Yes",CE74,"")))))-2),IF(OR(CC72="",CC73=""),"",IF(CONCATENATE(IF(CC72="Yes","R-squared / ",""),IF(CC73="Yes","Brier score / ",""),IF(CC74="Yes",CE74,""))="","Not evaluated",CONCATENATE(IF(CC72="Yes","R-squared / ",""),IF(CC73="Yes","Brier score / ",""),IF(CC74="Yes",CE74,"")))))</f>
        <v/>
      </c>
      <c r="CD71" s="306"/>
      <c r="CE71" s="306"/>
      <c r="CF71" s="305" t="str">
        <f>IF(RIGHT(IF(OR(CF72="",CF73=""),"",IF(CONCATENATE(IF(CF72="Yes","R-squared / ",""),IF(CF73="Yes","Brier score / ",""),IF(CF74="Yes",CH74,""))="","Not evaluated",CONCATENATE(IF(CF72="Yes","R-squared / ",""),IF(CF73="Yes","Brier score / ",""),IF(CF74="Yes",CH74,"")))),2)="/ ",LEFT(IF(OR(CF72="",CF73=""),"",IF(CONCATENATE(IF(CF72="Yes","R-squared / ",""),IF(CF73="Yes","Brier score / ",""),IF(CF74="Yes",CH74,""))="","Not evaluated",CONCATENATE(IF(CF72="Yes","R-squared / ",""),IF(CF73="Yes","Brier score / ",""),IF(CF74="Yes",CH74,"")))),LEN(IF(OR(CF72="",CF73=""),"",IF(CONCATENATE(IF(CF72="Yes","R-squared / ",""),IF(CF73="Yes","Brier score / ",""),IF(CF74="Yes",CH74,""))="","Not evaluated",CONCATENATE(IF(CF72="Yes","R-squared / ",""),IF(CF73="Yes","Brier score / ",""),IF(CF74="Yes",CH74,"")))))-2),IF(OR(CF72="",CF73=""),"",IF(CONCATENATE(IF(CF72="Yes","R-squared / ",""),IF(CF73="Yes","Brier score / ",""),IF(CF74="Yes",CH74,""))="","Not evaluated",CONCATENATE(IF(CF72="Yes","R-squared / ",""),IF(CF73="Yes","Brier score / ",""),IF(CF74="Yes",CH74,"")))))</f>
        <v/>
      </c>
      <c r="CG71" s="306"/>
      <c r="CH71" s="306"/>
      <c r="CI71" s="305" t="str">
        <f>IF(RIGHT(IF(OR(CI72="",CI73=""),"",IF(CONCATENATE(IF(CI72="Yes","R-squared / ",""),IF(CI73="Yes","Brier score / ",""),IF(CI74="Yes",CK74,""))="","Not evaluated",CONCATENATE(IF(CI72="Yes","R-squared / ",""),IF(CI73="Yes","Brier score / ",""),IF(CI74="Yes",CK74,"")))),2)="/ ",LEFT(IF(OR(CI72="",CI73=""),"",IF(CONCATENATE(IF(CI72="Yes","R-squared / ",""),IF(CI73="Yes","Brier score / ",""),IF(CI74="Yes",CK74,""))="","Not evaluated",CONCATENATE(IF(CI72="Yes","R-squared / ",""),IF(CI73="Yes","Brier score / ",""),IF(CI74="Yes",CK74,"")))),LEN(IF(OR(CI72="",CI73=""),"",IF(CONCATENATE(IF(CI72="Yes","R-squared / ",""),IF(CI73="Yes","Brier score / ",""),IF(CI74="Yes",CK74,""))="","Not evaluated",CONCATENATE(IF(CI72="Yes","R-squared / ",""),IF(CI73="Yes","Brier score / ",""),IF(CI74="Yes",CK74,"")))))-2),IF(OR(CI72="",CI73=""),"",IF(CONCATENATE(IF(CI72="Yes","R-squared / ",""),IF(CI73="Yes","Brier score / ",""),IF(CI74="Yes",CK74,""))="","Not evaluated",CONCATENATE(IF(CI72="Yes","R-squared / ",""),IF(CI73="Yes","Brier score / ",""),IF(CI74="Yes",CK74,"")))))</f>
        <v/>
      </c>
      <c r="CJ71" s="306"/>
      <c r="CK71" s="306"/>
      <c r="CL71" s="305" t="str">
        <f>IF(RIGHT(IF(OR(CL72="",CL73=""),"",IF(CONCATENATE(IF(CL72="Yes","R-squared / ",""),IF(CL73="Yes","Brier score / ",""),IF(CL74="Yes",CN74,""))="","Not evaluated",CONCATENATE(IF(CL72="Yes","R-squared / ",""),IF(CL73="Yes","Brier score / ",""),IF(CL74="Yes",CN74,"")))),2)="/ ",LEFT(IF(OR(CL72="",CL73=""),"",IF(CONCATENATE(IF(CL72="Yes","R-squared / ",""),IF(CL73="Yes","Brier score / ",""),IF(CL74="Yes",CN74,""))="","Not evaluated",CONCATENATE(IF(CL72="Yes","R-squared / ",""),IF(CL73="Yes","Brier score / ",""),IF(CL74="Yes",CN74,"")))),LEN(IF(OR(CL72="",CL73=""),"",IF(CONCATENATE(IF(CL72="Yes","R-squared / ",""),IF(CL73="Yes","Brier score / ",""),IF(CL74="Yes",CN74,""))="","Not evaluated",CONCATENATE(IF(CL72="Yes","R-squared / ",""),IF(CL73="Yes","Brier score / ",""),IF(CL74="Yes",CN74,"")))))-2),IF(OR(CL72="",CL73=""),"",IF(CONCATENATE(IF(CL72="Yes","R-squared / ",""),IF(CL73="Yes","Brier score / ",""),IF(CL74="Yes",CN74,""))="","Not evaluated",CONCATENATE(IF(CL72="Yes","R-squared / ",""),IF(CL73="Yes","Brier score / ",""),IF(CL74="Yes",CN74,"")))))</f>
        <v/>
      </c>
      <c r="CM71" s="306"/>
      <c r="CN71" s="306"/>
      <c r="CO71" s="305" t="str">
        <f>IF(RIGHT(IF(OR(CO72="",CO73=""),"",IF(CONCATENATE(IF(CO72="Yes","R-squared / ",""),IF(CO73="Yes","Brier score / ",""),IF(CO74="Yes",CQ74,""))="","Not evaluated",CONCATENATE(IF(CO72="Yes","R-squared / ",""),IF(CO73="Yes","Brier score / ",""),IF(CO74="Yes",CQ74,"")))),2)="/ ",LEFT(IF(OR(CO72="",CO73=""),"",IF(CONCATENATE(IF(CO72="Yes","R-squared / ",""),IF(CO73="Yes","Brier score / ",""),IF(CO74="Yes",CQ74,""))="","Not evaluated",CONCATENATE(IF(CO72="Yes","R-squared / ",""),IF(CO73="Yes","Brier score / ",""),IF(CO74="Yes",CQ74,"")))),LEN(IF(OR(CO72="",CO73=""),"",IF(CONCATENATE(IF(CO72="Yes","R-squared / ",""),IF(CO73="Yes","Brier score / ",""),IF(CO74="Yes",CQ74,""))="","Not evaluated",CONCATENATE(IF(CO72="Yes","R-squared / ",""),IF(CO73="Yes","Brier score / ",""),IF(CO74="Yes",CQ74,"")))))-2),IF(OR(CO72="",CO73=""),"",IF(CONCATENATE(IF(CO72="Yes","R-squared / ",""),IF(CO73="Yes","Brier score / ",""),IF(CO74="Yes",CQ74,""))="","Not evaluated",CONCATENATE(IF(CO72="Yes","R-squared / ",""),IF(CO73="Yes","Brier score / ",""),IF(CO74="Yes",CQ74,"")))))</f>
        <v/>
      </c>
      <c r="CP71" s="306"/>
      <c r="CQ71" s="306"/>
    </row>
    <row r="72" spans="1:95" s="13" customFormat="1" ht="15" customHeight="1" x14ac:dyDescent="0.2">
      <c r="A72" s="62"/>
      <c r="B72" s="62" t="s">
        <v>32</v>
      </c>
      <c r="C72" s="62"/>
      <c r="D72" s="341" t="s">
        <v>119</v>
      </c>
      <c r="E72" s="345"/>
      <c r="F72" s="38" t="s">
        <v>72</v>
      </c>
      <c r="G72" s="52" t="s">
        <v>105</v>
      </c>
      <c r="H72" s="46"/>
      <c r="I72" s="38" t="s">
        <v>72</v>
      </c>
      <c r="J72" s="52" t="s">
        <v>105</v>
      </c>
      <c r="K72" s="46"/>
      <c r="L72" s="38" t="s">
        <v>72</v>
      </c>
      <c r="M72" s="52" t="s">
        <v>105</v>
      </c>
      <c r="N72" s="46"/>
      <c r="O72" s="38" t="s">
        <v>72</v>
      </c>
      <c r="P72" s="52" t="s">
        <v>105</v>
      </c>
      <c r="Q72" s="46"/>
      <c r="R72" s="38" t="s">
        <v>72</v>
      </c>
      <c r="S72" s="52" t="s">
        <v>105</v>
      </c>
      <c r="T72" s="46"/>
      <c r="U72" s="38" t="s">
        <v>72</v>
      </c>
      <c r="V72" s="52" t="s">
        <v>105</v>
      </c>
      <c r="W72" s="46"/>
      <c r="X72" s="38" t="s">
        <v>72</v>
      </c>
      <c r="Y72" s="52" t="s">
        <v>105</v>
      </c>
      <c r="Z72" s="46"/>
      <c r="AA72" s="38" t="s">
        <v>72</v>
      </c>
      <c r="AB72" s="52" t="s">
        <v>105</v>
      </c>
      <c r="AC72" s="46"/>
      <c r="AD72" s="38" t="s">
        <v>72</v>
      </c>
      <c r="AE72" s="52" t="s">
        <v>105</v>
      </c>
      <c r="AF72" s="46"/>
      <c r="AG72" s="38" t="s">
        <v>72</v>
      </c>
      <c r="AH72" s="52" t="s">
        <v>105</v>
      </c>
      <c r="AI72" s="46"/>
      <c r="AJ72" s="38" t="s">
        <v>72</v>
      </c>
      <c r="AK72" s="52" t="s">
        <v>105</v>
      </c>
      <c r="AL72" s="46"/>
      <c r="AM72" s="38" t="s">
        <v>72</v>
      </c>
      <c r="AN72" s="52" t="s">
        <v>105</v>
      </c>
      <c r="AO72" s="46"/>
      <c r="AP72" s="38"/>
      <c r="AQ72" s="52" t="s">
        <v>105</v>
      </c>
      <c r="AR72" s="46"/>
      <c r="AS72" s="38"/>
      <c r="AT72" s="52" t="s">
        <v>105</v>
      </c>
      <c r="AU72" s="46"/>
      <c r="AV72" s="38"/>
      <c r="AW72" s="52" t="s">
        <v>105</v>
      </c>
      <c r="AX72" s="46"/>
      <c r="AY72" s="38"/>
      <c r="AZ72" s="52" t="s">
        <v>105</v>
      </c>
      <c r="BA72" s="46"/>
      <c r="BB72" s="38"/>
      <c r="BC72" s="52" t="s">
        <v>105</v>
      </c>
      <c r="BD72" s="46"/>
      <c r="BE72" s="38"/>
      <c r="BF72" s="52" t="s">
        <v>105</v>
      </c>
      <c r="BG72" s="46"/>
      <c r="BH72" s="38"/>
      <c r="BI72" s="52" t="s">
        <v>105</v>
      </c>
      <c r="BJ72" s="46"/>
      <c r="BK72" s="38"/>
      <c r="BL72" s="52" t="s">
        <v>105</v>
      </c>
      <c r="BM72" s="46"/>
      <c r="BN72" s="38"/>
      <c r="BO72" s="52" t="s">
        <v>105</v>
      </c>
      <c r="BP72" s="46"/>
      <c r="BQ72" s="38"/>
      <c r="BR72" s="52" t="s">
        <v>105</v>
      </c>
      <c r="BS72" s="46"/>
      <c r="BT72" s="38"/>
      <c r="BU72" s="52" t="s">
        <v>105</v>
      </c>
      <c r="BV72" s="46"/>
      <c r="BW72" s="38"/>
      <c r="BX72" s="52" t="s">
        <v>105</v>
      </c>
      <c r="BY72" s="46"/>
      <c r="BZ72" s="38"/>
      <c r="CA72" s="52" t="s">
        <v>105</v>
      </c>
      <c r="CB72" s="46"/>
      <c r="CC72" s="38"/>
      <c r="CD72" s="52" t="s">
        <v>105</v>
      </c>
      <c r="CE72" s="46"/>
      <c r="CF72" s="38"/>
      <c r="CG72" s="52" t="s">
        <v>105</v>
      </c>
      <c r="CH72" s="46"/>
      <c r="CI72" s="38"/>
      <c r="CJ72" s="52" t="s">
        <v>105</v>
      </c>
      <c r="CK72" s="46"/>
      <c r="CL72" s="38"/>
      <c r="CM72" s="52" t="s">
        <v>105</v>
      </c>
      <c r="CN72" s="46"/>
      <c r="CO72" s="37"/>
      <c r="CP72" s="52" t="s">
        <v>105</v>
      </c>
      <c r="CQ72" s="46"/>
    </row>
    <row r="73" spans="1:95" s="13" customFormat="1" ht="15" customHeight="1" x14ac:dyDescent="0.2">
      <c r="A73" s="62"/>
      <c r="B73" s="62" t="s">
        <v>32</v>
      </c>
      <c r="C73" s="62"/>
      <c r="D73" s="341" t="s">
        <v>120</v>
      </c>
      <c r="E73" s="345"/>
      <c r="F73" s="38" t="s">
        <v>72</v>
      </c>
      <c r="G73" s="52" t="s">
        <v>105</v>
      </c>
      <c r="H73" s="46"/>
      <c r="I73" s="38" t="s">
        <v>72</v>
      </c>
      <c r="J73" s="52" t="s">
        <v>105</v>
      </c>
      <c r="K73" s="46"/>
      <c r="L73" s="38" t="s">
        <v>72</v>
      </c>
      <c r="M73" s="52" t="s">
        <v>105</v>
      </c>
      <c r="N73" s="46"/>
      <c r="O73" s="38" t="s">
        <v>72</v>
      </c>
      <c r="P73" s="52" t="s">
        <v>105</v>
      </c>
      <c r="Q73" s="46"/>
      <c r="R73" s="38" t="s">
        <v>72</v>
      </c>
      <c r="S73" s="52" t="s">
        <v>105</v>
      </c>
      <c r="T73" s="46"/>
      <c r="U73" s="38" t="s">
        <v>72</v>
      </c>
      <c r="V73" s="52" t="s">
        <v>105</v>
      </c>
      <c r="W73" s="46"/>
      <c r="X73" s="38" t="s">
        <v>72</v>
      </c>
      <c r="Y73" s="52" t="s">
        <v>105</v>
      </c>
      <c r="Z73" s="46"/>
      <c r="AA73" s="38" t="s">
        <v>72</v>
      </c>
      <c r="AB73" s="52" t="s">
        <v>105</v>
      </c>
      <c r="AC73" s="46"/>
      <c r="AD73" s="38" t="s">
        <v>72</v>
      </c>
      <c r="AE73" s="52" t="s">
        <v>105</v>
      </c>
      <c r="AF73" s="46"/>
      <c r="AG73" s="38" t="s">
        <v>72</v>
      </c>
      <c r="AH73" s="52" t="s">
        <v>105</v>
      </c>
      <c r="AI73" s="46"/>
      <c r="AJ73" s="38" t="s">
        <v>72</v>
      </c>
      <c r="AK73" s="52" t="s">
        <v>105</v>
      </c>
      <c r="AL73" s="46"/>
      <c r="AM73" s="38" t="s">
        <v>72</v>
      </c>
      <c r="AN73" s="52" t="s">
        <v>105</v>
      </c>
      <c r="AO73" s="46"/>
      <c r="AP73" s="38"/>
      <c r="AQ73" s="52" t="s">
        <v>105</v>
      </c>
      <c r="AR73" s="46"/>
      <c r="AS73" s="38"/>
      <c r="AT73" s="52" t="s">
        <v>105</v>
      </c>
      <c r="AU73" s="46"/>
      <c r="AV73" s="38"/>
      <c r="AW73" s="52" t="s">
        <v>105</v>
      </c>
      <c r="AX73" s="46"/>
      <c r="AY73" s="38"/>
      <c r="AZ73" s="52" t="s">
        <v>105</v>
      </c>
      <c r="BA73" s="46"/>
      <c r="BB73" s="38"/>
      <c r="BC73" s="52" t="s">
        <v>105</v>
      </c>
      <c r="BD73" s="46"/>
      <c r="BE73" s="38"/>
      <c r="BF73" s="52" t="s">
        <v>105</v>
      </c>
      <c r="BG73" s="46"/>
      <c r="BH73" s="38"/>
      <c r="BI73" s="52" t="s">
        <v>105</v>
      </c>
      <c r="BJ73" s="46"/>
      <c r="BK73" s="38"/>
      <c r="BL73" s="52" t="s">
        <v>105</v>
      </c>
      <c r="BM73" s="46"/>
      <c r="BN73" s="38"/>
      <c r="BO73" s="52" t="s">
        <v>105</v>
      </c>
      <c r="BP73" s="46"/>
      <c r="BQ73" s="38"/>
      <c r="BR73" s="52" t="s">
        <v>105</v>
      </c>
      <c r="BS73" s="46"/>
      <c r="BT73" s="38"/>
      <c r="BU73" s="52" t="s">
        <v>105</v>
      </c>
      <c r="BV73" s="46"/>
      <c r="BW73" s="38"/>
      <c r="BX73" s="52" t="s">
        <v>105</v>
      </c>
      <c r="BY73" s="46"/>
      <c r="BZ73" s="38"/>
      <c r="CA73" s="52" t="s">
        <v>105</v>
      </c>
      <c r="CB73" s="46"/>
      <c r="CC73" s="38"/>
      <c r="CD73" s="52" t="s">
        <v>105</v>
      </c>
      <c r="CE73" s="46"/>
      <c r="CF73" s="38"/>
      <c r="CG73" s="52" t="s">
        <v>105</v>
      </c>
      <c r="CH73" s="46"/>
      <c r="CI73" s="38"/>
      <c r="CJ73" s="52" t="s">
        <v>105</v>
      </c>
      <c r="CK73" s="46"/>
      <c r="CL73" s="38"/>
      <c r="CM73" s="52" t="s">
        <v>105</v>
      </c>
      <c r="CN73" s="46"/>
      <c r="CO73" s="37"/>
      <c r="CP73" s="52" t="s">
        <v>105</v>
      </c>
      <c r="CQ73" s="46"/>
    </row>
    <row r="74" spans="1:95" s="13" customFormat="1" ht="15" customHeight="1" x14ac:dyDescent="0.2">
      <c r="A74" s="62"/>
      <c r="B74" s="62" t="s">
        <v>32</v>
      </c>
      <c r="C74" s="62"/>
      <c r="D74" s="343" t="s">
        <v>121</v>
      </c>
      <c r="E74" s="344"/>
      <c r="F74" s="38" t="s">
        <v>72</v>
      </c>
      <c r="G74" s="53" t="s">
        <v>109</v>
      </c>
      <c r="H74" s="47"/>
      <c r="I74" s="38" t="s">
        <v>72</v>
      </c>
      <c r="J74" s="53" t="s">
        <v>109</v>
      </c>
      <c r="K74" s="47"/>
      <c r="L74" s="38" t="s">
        <v>72</v>
      </c>
      <c r="M74" s="53" t="s">
        <v>109</v>
      </c>
      <c r="N74" s="47"/>
      <c r="O74" s="38" t="s">
        <v>72</v>
      </c>
      <c r="P74" s="53" t="s">
        <v>109</v>
      </c>
      <c r="Q74" s="47"/>
      <c r="R74" s="38" t="s">
        <v>72</v>
      </c>
      <c r="S74" s="53" t="s">
        <v>109</v>
      </c>
      <c r="T74" s="47"/>
      <c r="U74" s="38" t="s">
        <v>72</v>
      </c>
      <c r="V74" s="53" t="s">
        <v>109</v>
      </c>
      <c r="W74" s="47"/>
      <c r="X74" s="38" t="s">
        <v>72</v>
      </c>
      <c r="Y74" s="53" t="s">
        <v>109</v>
      </c>
      <c r="Z74" s="47"/>
      <c r="AA74" s="38" t="s">
        <v>72</v>
      </c>
      <c r="AB74" s="53" t="s">
        <v>109</v>
      </c>
      <c r="AC74" s="47"/>
      <c r="AD74" s="38" t="s">
        <v>72</v>
      </c>
      <c r="AE74" s="53" t="s">
        <v>109</v>
      </c>
      <c r="AF74" s="47"/>
      <c r="AG74" s="38" t="s">
        <v>72</v>
      </c>
      <c r="AH74" s="53" t="s">
        <v>109</v>
      </c>
      <c r="AI74" s="47"/>
      <c r="AJ74" s="38" t="s">
        <v>72</v>
      </c>
      <c r="AK74" s="53" t="s">
        <v>109</v>
      </c>
      <c r="AL74" s="47"/>
      <c r="AM74" s="38" t="s">
        <v>72</v>
      </c>
      <c r="AN74" s="53" t="s">
        <v>109</v>
      </c>
      <c r="AO74" s="47"/>
      <c r="AP74" s="38"/>
      <c r="AQ74" s="53" t="s">
        <v>109</v>
      </c>
      <c r="AR74" s="47"/>
      <c r="AS74" s="38"/>
      <c r="AT74" s="53" t="s">
        <v>109</v>
      </c>
      <c r="AU74" s="47"/>
      <c r="AV74" s="38"/>
      <c r="AW74" s="53" t="s">
        <v>109</v>
      </c>
      <c r="AX74" s="47"/>
      <c r="AY74" s="38"/>
      <c r="AZ74" s="53" t="s">
        <v>109</v>
      </c>
      <c r="BA74" s="47"/>
      <c r="BB74" s="38"/>
      <c r="BC74" s="53" t="s">
        <v>109</v>
      </c>
      <c r="BD74" s="47"/>
      <c r="BE74" s="38"/>
      <c r="BF74" s="53" t="s">
        <v>109</v>
      </c>
      <c r="BG74" s="47"/>
      <c r="BH74" s="38"/>
      <c r="BI74" s="53" t="s">
        <v>109</v>
      </c>
      <c r="BJ74" s="47"/>
      <c r="BK74" s="38"/>
      <c r="BL74" s="53" t="s">
        <v>109</v>
      </c>
      <c r="BM74" s="47"/>
      <c r="BN74" s="38"/>
      <c r="BO74" s="53" t="s">
        <v>109</v>
      </c>
      <c r="BP74" s="47"/>
      <c r="BQ74" s="38"/>
      <c r="BR74" s="53" t="s">
        <v>109</v>
      </c>
      <c r="BS74" s="47"/>
      <c r="BT74" s="38"/>
      <c r="BU74" s="53" t="s">
        <v>109</v>
      </c>
      <c r="BV74" s="47"/>
      <c r="BW74" s="38"/>
      <c r="BX74" s="53" t="s">
        <v>109</v>
      </c>
      <c r="BY74" s="47"/>
      <c r="BZ74" s="38"/>
      <c r="CA74" s="53" t="s">
        <v>109</v>
      </c>
      <c r="CB74" s="47"/>
      <c r="CC74" s="38"/>
      <c r="CD74" s="53" t="s">
        <v>109</v>
      </c>
      <c r="CE74" s="47"/>
      <c r="CF74" s="38"/>
      <c r="CG74" s="53" t="s">
        <v>109</v>
      </c>
      <c r="CH74" s="47"/>
      <c r="CI74" s="38"/>
      <c r="CJ74" s="53" t="s">
        <v>109</v>
      </c>
      <c r="CK74" s="47"/>
      <c r="CL74" s="38"/>
      <c r="CM74" s="53" t="s">
        <v>109</v>
      </c>
      <c r="CN74" s="47"/>
      <c r="CO74" s="37"/>
      <c r="CP74" s="53" t="s">
        <v>109</v>
      </c>
      <c r="CQ74" s="47"/>
    </row>
    <row r="75" spans="1:95" s="13" customFormat="1" ht="15" customHeight="1" x14ac:dyDescent="0.2">
      <c r="A75" s="62"/>
      <c r="B75" s="62" t="s">
        <v>32</v>
      </c>
      <c r="C75" s="62"/>
      <c r="D75" s="346" t="s">
        <v>122</v>
      </c>
      <c r="E75" s="347"/>
      <c r="F75" s="357" t="str">
        <f>IF(RIGHT(IF(F76="","",IF(CONCATENATE(IF(F76="Yes","DCA / ",""),IF(F77="Yes",H77,""))="","Not evaluated",CONCATENATE(IF(F76="Yes","DCA / ",""),IF(F77="Yes",H77,"")))),2)="/ ",LEFT(IF(F76="","",IF(CONCATENATE(IF(F76="Yes","DCA / ",""),IF(F77="Yes",H77,""))="","Not evaluated",CONCATENATE(IF(F76="Yes","DCA / ",""),IF(F77="Yes",H77,"")))),LEN(IF(F76="","",IF(CONCATENATE(IF(F76="Yes","DCA / ",""),IF(F77="Yes",H77,""))="","Not evaluated",CONCATENATE(IF(F76="Yes","DCA / ",""),IF(F77="Yes",H77,"")))))-2),IF(F76="","",IF(CONCATENATE(IF(F76="Yes","DCA / ",""),IF(F77="Yes",H77,""))="","Not evaluated",CONCATENATE(IF(F76="Yes","DCA / ",""),IF(F77="Yes",H77,"")))))</f>
        <v>36 (75%) health said tool was useful</v>
      </c>
      <c r="G75" s="358"/>
      <c r="H75" s="358"/>
      <c r="I75" s="358" t="str">
        <f t="shared" ref="I75" si="0">IF(RIGHT(IF(I76="","",IF(CONCATENATE(IF(I76="Yes","DCA / ",""),IF(I77="Yes",K77,""))="","Not evaluated",CONCATENATE(IF(I76="Yes","DCA / ",""),IF(I77="Yes",K77,"")))),2)="/ ",LEFT(IF(I76="","",IF(CONCATENATE(IF(I76="Yes","DCA / ",""),IF(I77="Yes",K77,""))="","Not evaluated",CONCATENATE(IF(I76="Yes","DCA / ",""),IF(I77="Yes",K77,"")))),LEN(IF(I76="","",IF(CONCATENATE(IF(I76="Yes","DCA / ",""),IF(I77="Yes",K77,""))="","Not evaluated",CONCATENATE(IF(I76="Yes","DCA / ",""),IF(I77="Yes",K77,"")))))-2),IF(I76="","",IF(CONCATENATE(IF(I76="Yes","DCA / ",""),IF(I77="Yes",K77,""))="","Not evaluated",CONCATENATE(IF(I76="Yes","DCA / ",""),IF(I77="Yes",K77,"")))))</f>
        <v>Not evaluated</v>
      </c>
      <c r="J75" s="358"/>
      <c r="K75" s="358"/>
      <c r="L75" s="358" t="str">
        <f t="shared" ref="L75" si="1">IF(RIGHT(IF(L76="","",IF(CONCATENATE(IF(L76="Yes","DCA / ",""),IF(L77="Yes",N77,""))="","Not evaluated",CONCATENATE(IF(L76="Yes","DCA / ",""),IF(L77="Yes",N77,"")))),2)="/ ",LEFT(IF(L76="","",IF(CONCATENATE(IF(L76="Yes","DCA / ",""),IF(L77="Yes",N77,""))="","Not evaluated",CONCATENATE(IF(L76="Yes","DCA / ",""),IF(L77="Yes",N77,"")))),LEN(IF(L76="","",IF(CONCATENATE(IF(L76="Yes","DCA / ",""),IF(L77="Yes",N77,""))="","Not evaluated",CONCATENATE(IF(L76="Yes","DCA / ",""),IF(L77="Yes",N77,"")))))-2),IF(L76="","",IF(CONCATENATE(IF(L76="Yes","DCA / ",""),IF(L77="Yes",N77,""))="","Not evaluated",CONCATENATE(IF(L76="Yes","DCA / ",""),IF(L77="Yes",N77,"")))))</f>
        <v>Not evaluated</v>
      </c>
      <c r="M75" s="358"/>
      <c r="N75" s="358"/>
      <c r="O75" s="358" t="str">
        <f t="shared" ref="O75" si="2">IF(RIGHT(IF(O76="","",IF(CONCATENATE(IF(O76="Yes","DCA / ",""),IF(O77="Yes",Q77,""))="","Not evaluated",CONCATENATE(IF(O76="Yes","DCA / ",""),IF(O77="Yes",Q77,"")))),2)="/ ",LEFT(IF(O76="","",IF(CONCATENATE(IF(O76="Yes","DCA / ",""),IF(O77="Yes",Q77,""))="","Not evaluated",CONCATENATE(IF(O76="Yes","DCA / ",""),IF(O77="Yes",Q77,"")))),LEN(IF(O76="","",IF(CONCATENATE(IF(O76="Yes","DCA / ",""),IF(O77="Yes",Q77,""))="","Not evaluated",CONCATENATE(IF(O76="Yes","DCA / ",""),IF(O77="Yes",Q77,"")))))-2),IF(O76="","",IF(CONCATENATE(IF(O76="Yes","DCA / ",""),IF(O77="Yes",Q77,""))="","Not evaluated",CONCATENATE(IF(O76="Yes","DCA / ",""),IF(O77="Yes",Q77,"")))))</f>
        <v>Not evaluated</v>
      </c>
      <c r="P75" s="358"/>
      <c r="Q75" s="358"/>
      <c r="R75" s="358" t="str">
        <f t="shared" ref="R75" si="3">IF(RIGHT(IF(R76="","",IF(CONCATENATE(IF(R76="Yes","DCA / ",""),IF(R77="Yes",T77,""))="","Not evaluated",CONCATENATE(IF(R76="Yes","DCA / ",""),IF(R77="Yes",T77,"")))),2)="/ ",LEFT(IF(R76="","",IF(CONCATENATE(IF(R76="Yes","DCA / ",""),IF(R77="Yes",T77,""))="","Not evaluated",CONCATENATE(IF(R76="Yes","DCA / ",""),IF(R77="Yes",T77,"")))),LEN(IF(R76="","",IF(CONCATENATE(IF(R76="Yes","DCA / ",""),IF(R77="Yes",T77,""))="","Not evaluated",CONCATENATE(IF(R76="Yes","DCA / ",""),IF(R77="Yes",T77,"")))))-2),IF(R76="","",IF(CONCATENATE(IF(R76="Yes","DCA / ",""),IF(R77="Yes",T77,""))="","Not evaluated",CONCATENATE(IF(R76="Yes","DCA / ",""),IF(R77="Yes",T77,"")))))</f>
        <v>Not evaluated</v>
      </c>
      <c r="S75" s="358"/>
      <c r="T75" s="358"/>
      <c r="U75" s="358" t="str">
        <f t="shared" ref="U75" si="4">IF(RIGHT(IF(U76="","",IF(CONCATENATE(IF(U76="Yes","DCA / ",""),IF(U77="Yes",W77,""))="","Not evaluated",CONCATENATE(IF(U76="Yes","DCA / ",""),IF(U77="Yes",W77,"")))),2)="/ ",LEFT(IF(U76="","",IF(CONCATENATE(IF(U76="Yes","DCA / ",""),IF(U77="Yes",W77,""))="","Not evaluated",CONCATENATE(IF(U76="Yes","DCA / ",""),IF(U77="Yes",W77,"")))),LEN(IF(U76="","",IF(CONCATENATE(IF(U76="Yes","DCA / ",""),IF(U77="Yes",W77,""))="","Not evaluated",CONCATENATE(IF(U76="Yes","DCA / ",""),IF(U77="Yes",W77,"")))))-2),IF(U76="","",IF(CONCATENATE(IF(U76="Yes","DCA / ",""),IF(U77="Yes",W77,""))="","Not evaluated",CONCATENATE(IF(U76="Yes","DCA / ",""),IF(U77="Yes",W77,"")))))</f>
        <v>Not evaluated</v>
      </c>
      <c r="V75" s="358"/>
      <c r="W75" s="358"/>
      <c r="X75" s="358" t="str">
        <f t="shared" ref="X75" si="5">IF(RIGHT(IF(X76="","",IF(CONCATENATE(IF(X76="Yes","DCA / ",""),IF(X77="Yes",Z77,""))="","Not evaluated",CONCATENATE(IF(X76="Yes","DCA / ",""),IF(X77="Yes",Z77,"")))),2)="/ ",LEFT(IF(X76="","",IF(CONCATENATE(IF(X76="Yes","DCA / ",""),IF(X77="Yes",Z77,""))="","Not evaluated",CONCATENATE(IF(X76="Yes","DCA / ",""),IF(X77="Yes",Z77,"")))),LEN(IF(X76="","",IF(CONCATENATE(IF(X76="Yes","DCA / ",""),IF(X77="Yes",Z77,""))="","Not evaluated",CONCATENATE(IF(X76="Yes","DCA / ",""),IF(X77="Yes",Z77,"")))))-2),IF(X76="","",IF(CONCATENATE(IF(X76="Yes","DCA / ",""),IF(X77="Yes",Z77,""))="","Not evaluated",CONCATENATE(IF(X76="Yes","DCA / ",""),IF(X77="Yes",Z77,"")))))</f>
        <v>Not evaluated</v>
      </c>
      <c r="Y75" s="358"/>
      <c r="Z75" s="358"/>
      <c r="AA75" s="358" t="str">
        <f t="shared" ref="AA75" si="6">IF(RIGHT(IF(AA76="","",IF(CONCATENATE(IF(AA76="Yes","DCA / ",""),IF(AA77="Yes",AC77,""))="","Not evaluated",CONCATENATE(IF(AA76="Yes","DCA / ",""),IF(AA77="Yes",AC77,"")))),2)="/ ",LEFT(IF(AA76="","",IF(CONCATENATE(IF(AA76="Yes","DCA / ",""),IF(AA77="Yes",AC77,""))="","Not evaluated",CONCATENATE(IF(AA76="Yes","DCA / ",""),IF(AA77="Yes",AC77,"")))),LEN(IF(AA76="","",IF(CONCATENATE(IF(AA76="Yes","DCA / ",""),IF(AA77="Yes",AC77,""))="","Not evaluated",CONCATENATE(IF(AA76="Yes","DCA / ",""),IF(AA77="Yes",AC77,"")))))-2),IF(AA76="","",IF(CONCATENATE(IF(AA76="Yes","DCA / ",""),IF(AA77="Yes",AC77,""))="","Not evaluated",CONCATENATE(IF(AA76="Yes","DCA / ",""),IF(AA77="Yes",AC77,"")))))</f>
        <v>Not evaluated</v>
      </c>
      <c r="AB75" s="358"/>
      <c r="AC75" s="358"/>
      <c r="AD75" s="358" t="str">
        <f t="shared" ref="AD75" si="7">IF(RIGHT(IF(AD76="","",IF(CONCATENATE(IF(AD76="Yes","DCA / ",""),IF(AD77="Yes",AF77,""))="","Not evaluated",CONCATENATE(IF(AD76="Yes","DCA / ",""),IF(AD77="Yes",AF77,"")))),2)="/ ",LEFT(IF(AD76="","",IF(CONCATENATE(IF(AD76="Yes","DCA / ",""),IF(AD77="Yes",AF77,""))="","Not evaluated",CONCATENATE(IF(AD76="Yes","DCA / ",""),IF(AD77="Yes",AF77,"")))),LEN(IF(AD76="","",IF(CONCATENATE(IF(AD76="Yes","DCA / ",""),IF(AD77="Yes",AF77,""))="","Not evaluated",CONCATENATE(IF(AD76="Yes","DCA / ",""),IF(AD77="Yes",AF77,"")))))-2),IF(AD76="","",IF(CONCATENATE(IF(AD76="Yes","DCA / ",""),IF(AD77="Yes",AF77,""))="","Not evaluated",CONCATENATE(IF(AD76="Yes","DCA / ",""),IF(AD77="Yes",AF77,"")))))</f>
        <v>Not evaluated</v>
      </c>
      <c r="AE75" s="358"/>
      <c r="AF75" s="358"/>
      <c r="AG75" s="358" t="str">
        <f t="shared" ref="AG75" si="8">IF(RIGHT(IF(AG76="","",IF(CONCATENATE(IF(AG76="Yes","DCA / ",""),IF(AG77="Yes",AI77,""))="","Not evaluated",CONCATENATE(IF(AG76="Yes","DCA / ",""),IF(AG77="Yes",AI77,"")))),2)="/ ",LEFT(IF(AG76="","",IF(CONCATENATE(IF(AG76="Yes","DCA / ",""),IF(AG77="Yes",AI77,""))="","Not evaluated",CONCATENATE(IF(AG76="Yes","DCA / ",""),IF(AG77="Yes",AI77,"")))),LEN(IF(AG76="","",IF(CONCATENATE(IF(AG76="Yes","DCA / ",""),IF(AG77="Yes",AI77,""))="","Not evaluated",CONCATENATE(IF(AG76="Yes","DCA / ",""),IF(AG77="Yes",AI77,"")))))-2),IF(AG76="","",IF(CONCATENATE(IF(AG76="Yes","DCA / ",""),IF(AG77="Yes",AI77,""))="","Not evaluated",CONCATENATE(IF(AG76="Yes","DCA / ",""),IF(AG77="Yes",AI77,"")))))</f>
        <v>Not evaluated</v>
      </c>
      <c r="AH75" s="358"/>
      <c r="AI75" s="358"/>
      <c r="AJ75" s="358" t="str">
        <f t="shared" ref="AJ75" si="9">IF(RIGHT(IF(AJ76="","",IF(CONCATENATE(IF(AJ76="Yes","DCA / ",""),IF(AJ77="Yes",AL77,""))="","Not evaluated",CONCATENATE(IF(AJ76="Yes","DCA / ",""),IF(AJ77="Yes",AL77,"")))),2)="/ ",LEFT(IF(AJ76="","",IF(CONCATENATE(IF(AJ76="Yes","DCA / ",""),IF(AJ77="Yes",AL77,""))="","Not evaluated",CONCATENATE(IF(AJ76="Yes","DCA / ",""),IF(AJ77="Yes",AL77,"")))),LEN(IF(AJ76="","",IF(CONCATENATE(IF(AJ76="Yes","DCA / ",""),IF(AJ77="Yes",AL77,""))="","Not evaluated",CONCATENATE(IF(AJ76="Yes","DCA / ",""),IF(AJ77="Yes",AL77,"")))))-2),IF(AJ76="","",IF(CONCATENATE(IF(AJ76="Yes","DCA / ",""),IF(AJ77="Yes",AL77,""))="","Not evaluated",CONCATENATE(IF(AJ76="Yes","DCA / ",""),IF(AJ77="Yes",AL77,"")))))</f>
        <v>Not evaluated</v>
      </c>
      <c r="AK75" s="358"/>
      <c r="AL75" s="358"/>
      <c r="AM75" s="358" t="str">
        <f t="shared" ref="AM75" si="10">IF(RIGHT(IF(AM76="","",IF(CONCATENATE(IF(AM76="Yes","DCA / ",""),IF(AM77="Yes",AO77,""))="","Not evaluated",CONCATENATE(IF(AM76="Yes","DCA / ",""),IF(AM77="Yes",AO77,"")))),2)="/ ",LEFT(IF(AM76="","",IF(CONCATENATE(IF(AM76="Yes","DCA / ",""),IF(AM77="Yes",AO77,""))="","Not evaluated",CONCATENATE(IF(AM76="Yes","DCA / ",""),IF(AM77="Yes",AO77,"")))),LEN(IF(AM76="","",IF(CONCATENATE(IF(AM76="Yes","DCA / ",""),IF(AM77="Yes",AO77,""))="","Not evaluated",CONCATENATE(IF(AM76="Yes","DCA / ",""),IF(AM77="Yes",AO77,"")))))-2),IF(AM76="","",IF(CONCATENATE(IF(AM76="Yes","DCA / ",""),IF(AM77="Yes",AO77,""))="","Not evaluated",CONCATENATE(IF(AM76="Yes","DCA / ",""),IF(AM77="Yes",AO77,"")))))</f>
        <v>Not evaluated</v>
      </c>
      <c r="AN75" s="358"/>
      <c r="AO75" s="358"/>
      <c r="AP75" s="358" t="str">
        <f t="shared" ref="AP75" si="11">IF(RIGHT(IF(AP76="","",IF(CONCATENATE(IF(AP76="Yes","DCA / ",""),IF(AP77="Yes",AR77,""))="","Not evaluated",CONCATENATE(IF(AP76="Yes","DCA / ",""),IF(AP77="Yes",AR77,"")))),2)="/ ",LEFT(IF(AP76="","",IF(CONCATENATE(IF(AP76="Yes","DCA / ",""),IF(AP77="Yes",AR77,""))="","Not evaluated",CONCATENATE(IF(AP76="Yes","DCA / ",""),IF(AP77="Yes",AR77,"")))),LEN(IF(AP76="","",IF(CONCATENATE(IF(AP76="Yes","DCA / ",""),IF(AP77="Yes",AR77,""))="","Not evaluated",CONCATENATE(IF(AP76="Yes","DCA / ",""),IF(AP77="Yes",AR77,"")))))-2),IF(AP76="","",IF(CONCATENATE(IF(AP76="Yes","DCA / ",""),IF(AP77="Yes",AR77,""))="","Not evaluated",CONCATENATE(IF(AP76="Yes","DCA / ",""),IF(AP77="Yes",AR77,"")))))</f>
        <v/>
      </c>
      <c r="AQ75" s="358"/>
      <c r="AR75" s="358"/>
      <c r="AS75" s="358" t="str">
        <f t="shared" ref="AS75" si="12">IF(RIGHT(IF(AS76="","",IF(CONCATENATE(IF(AS76="Yes","DCA / ",""),IF(AS77="Yes",AU77,""))="","Not evaluated",CONCATENATE(IF(AS76="Yes","DCA / ",""),IF(AS77="Yes",AU77,"")))),2)="/ ",LEFT(IF(AS76="","",IF(CONCATENATE(IF(AS76="Yes","DCA / ",""),IF(AS77="Yes",AU77,""))="","Not evaluated",CONCATENATE(IF(AS76="Yes","DCA / ",""),IF(AS77="Yes",AU77,"")))),LEN(IF(AS76="","",IF(CONCATENATE(IF(AS76="Yes","DCA / ",""),IF(AS77="Yes",AU77,""))="","Not evaluated",CONCATENATE(IF(AS76="Yes","DCA / ",""),IF(AS77="Yes",AU77,"")))))-2),IF(AS76="","",IF(CONCATENATE(IF(AS76="Yes","DCA / ",""),IF(AS77="Yes",AU77,""))="","Not evaluated",CONCATENATE(IF(AS76="Yes","DCA / ",""),IF(AS77="Yes",AU77,"")))))</f>
        <v/>
      </c>
      <c r="AT75" s="358"/>
      <c r="AU75" s="358"/>
      <c r="AV75" s="358" t="str">
        <f t="shared" ref="AV75" si="13">IF(RIGHT(IF(AV76="","",IF(CONCATENATE(IF(AV76="Yes","DCA / ",""),IF(AV77="Yes",AX77,""))="","Not evaluated",CONCATENATE(IF(AV76="Yes","DCA / ",""),IF(AV77="Yes",AX77,"")))),2)="/ ",LEFT(IF(AV76="","",IF(CONCATENATE(IF(AV76="Yes","DCA / ",""),IF(AV77="Yes",AX77,""))="","Not evaluated",CONCATENATE(IF(AV76="Yes","DCA / ",""),IF(AV77="Yes",AX77,"")))),LEN(IF(AV76="","",IF(CONCATENATE(IF(AV76="Yes","DCA / ",""),IF(AV77="Yes",AX77,""))="","Not evaluated",CONCATENATE(IF(AV76="Yes","DCA / ",""),IF(AV77="Yes",AX77,"")))))-2),IF(AV76="","",IF(CONCATENATE(IF(AV76="Yes","DCA / ",""),IF(AV77="Yes",AX77,""))="","Not evaluated",CONCATENATE(IF(AV76="Yes","DCA / ",""),IF(AV77="Yes",AX77,"")))))</f>
        <v/>
      </c>
      <c r="AW75" s="358"/>
      <c r="AX75" s="358"/>
      <c r="AY75" s="358" t="str">
        <f t="shared" ref="AY75" si="14">IF(RIGHT(IF(AY76="","",IF(CONCATENATE(IF(AY76="Yes","DCA / ",""),IF(AY77="Yes",BA77,""))="","Not evaluated",CONCATENATE(IF(AY76="Yes","DCA / ",""),IF(AY77="Yes",BA77,"")))),2)="/ ",LEFT(IF(AY76="","",IF(CONCATENATE(IF(AY76="Yes","DCA / ",""),IF(AY77="Yes",BA77,""))="","Not evaluated",CONCATENATE(IF(AY76="Yes","DCA / ",""),IF(AY77="Yes",BA77,"")))),LEN(IF(AY76="","",IF(CONCATENATE(IF(AY76="Yes","DCA / ",""),IF(AY77="Yes",BA77,""))="","Not evaluated",CONCATENATE(IF(AY76="Yes","DCA / ",""),IF(AY77="Yes",BA77,"")))))-2),IF(AY76="","",IF(CONCATENATE(IF(AY76="Yes","DCA / ",""),IF(AY77="Yes",BA77,""))="","Not evaluated",CONCATENATE(IF(AY76="Yes","DCA / ",""),IF(AY77="Yes",BA77,"")))))</f>
        <v/>
      </c>
      <c r="AZ75" s="358"/>
      <c r="BA75" s="358"/>
      <c r="BB75" s="358" t="str">
        <f t="shared" ref="BB75" si="15">IF(RIGHT(IF(BB76="","",IF(CONCATENATE(IF(BB76="Yes","DCA / ",""),IF(BB77="Yes",BD77,""))="","Not evaluated",CONCATENATE(IF(BB76="Yes","DCA / ",""),IF(BB77="Yes",BD77,"")))),2)="/ ",LEFT(IF(BB76="","",IF(CONCATENATE(IF(BB76="Yes","DCA / ",""),IF(BB77="Yes",BD77,""))="","Not evaluated",CONCATENATE(IF(BB76="Yes","DCA / ",""),IF(BB77="Yes",BD77,"")))),LEN(IF(BB76="","",IF(CONCATENATE(IF(BB76="Yes","DCA / ",""),IF(BB77="Yes",BD77,""))="","Not evaluated",CONCATENATE(IF(BB76="Yes","DCA / ",""),IF(BB77="Yes",BD77,"")))))-2),IF(BB76="","",IF(CONCATENATE(IF(BB76="Yes","DCA / ",""),IF(BB77="Yes",BD77,""))="","Not evaluated",CONCATENATE(IF(BB76="Yes","DCA / ",""),IF(BB77="Yes",BD77,"")))))</f>
        <v/>
      </c>
      <c r="BC75" s="358"/>
      <c r="BD75" s="358"/>
      <c r="BE75" s="358" t="str">
        <f t="shared" ref="BE75" si="16">IF(RIGHT(IF(BE76="","",IF(CONCATENATE(IF(BE76="Yes","DCA / ",""),IF(BE77="Yes",BG77,""))="","Not evaluated",CONCATENATE(IF(BE76="Yes","DCA / ",""),IF(BE77="Yes",BG77,"")))),2)="/ ",LEFT(IF(BE76="","",IF(CONCATENATE(IF(BE76="Yes","DCA / ",""),IF(BE77="Yes",BG77,""))="","Not evaluated",CONCATENATE(IF(BE76="Yes","DCA / ",""),IF(BE77="Yes",BG77,"")))),LEN(IF(BE76="","",IF(CONCATENATE(IF(BE76="Yes","DCA / ",""),IF(BE77="Yes",BG77,""))="","Not evaluated",CONCATENATE(IF(BE76="Yes","DCA / ",""),IF(BE77="Yes",BG77,"")))))-2),IF(BE76="","",IF(CONCATENATE(IF(BE76="Yes","DCA / ",""),IF(BE77="Yes",BG77,""))="","Not evaluated",CONCATENATE(IF(BE76="Yes","DCA / ",""),IF(BE77="Yes",BG77,"")))))</f>
        <v/>
      </c>
      <c r="BF75" s="358"/>
      <c r="BG75" s="358"/>
      <c r="BH75" s="358" t="str">
        <f t="shared" ref="BH75" si="17">IF(RIGHT(IF(BH76="","",IF(CONCATENATE(IF(BH76="Yes","DCA / ",""),IF(BH77="Yes",BJ77,""))="","Not evaluated",CONCATENATE(IF(BH76="Yes","DCA / ",""),IF(BH77="Yes",BJ77,"")))),2)="/ ",LEFT(IF(BH76="","",IF(CONCATENATE(IF(BH76="Yes","DCA / ",""),IF(BH77="Yes",BJ77,""))="","Not evaluated",CONCATENATE(IF(BH76="Yes","DCA / ",""),IF(BH77="Yes",BJ77,"")))),LEN(IF(BH76="","",IF(CONCATENATE(IF(BH76="Yes","DCA / ",""),IF(BH77="Yes",BJ77,""))="","Not evaluated",CONCATENATE(IF(BH76="Yes","DCA / ",""),IF(BH77="Yes",BJ77,"")))))-2),IF(BH76="","",IF(CONCATENATE(IF(BH76="Yes","DCA / ",""),IF(BH77="Yes",BJ77,""))="","Not evaluated",CONCATENATE(IF(BH76="Yes","DCA / ",""),IF(BH77="Yes",BJ77,"")))))</f>
        <v/>
      </c>
      <c r="BI75" s="358"/>
      <c r="BJ75" s="358"/>
      <c r="BK75" s="358" t="str">
        <f t="shared" ref="BK75" si="18">IF(RIGHT(IF(BK76="","",IF(CONCATENATE(IF(BK76="Yes","DCA / ",""),IF(BK77="Yes",BM77,""))="","Not evaluated",CONCATENATE(IF(BK76="Yes","DCA / ",""),IF(BK77="Yes",BM77,"")))),2)="/ ",LEFT(IF(BK76="","",IF(CONCATENATE(IF(BK76="Yes","DCA / ",""),IF(BK77="Yes",BM77,""))="","Not evaluated",CONCATENATE(IF(BK76="Yes","DCA / ",""),IF(BK77="Yes",BM77,"")))),LEN(IF(BK76="","",IF(CONCATENATE(IF(BK76="Yes","DCA / ",""),IF(BK77="Yes",BM77,""))="","Not evaluated",CONCATENATE(IF(BK76="Yes","DCA / ",""),IF(BK77="Yes",BM77,"")))))-2),IF(BK76="","",IF(CONCATENATE(IF(BK76="Yes","DCA / ",""),IF(BK77="Yes",BM77,""))="","Not evaluated",CONCATENATE(IF(BK76="Yes","DCA / ",""),IF(BK77="Yes",BM77,"")))))</f>
        <v/>
      </c>
      <c r="BL75" s="358"/>
      <c r="BM75" s="358"/>
      <c r="BN75" s="358" t="str">
        <f t="shared" ref="BN75" si="19">IF(RIGHT(IF(BN76="","",IF(CONCATENATE(IF(BN76="Yes","DCA / ",""),IF(BN77="Yes",BP77,""))="","Not evaluated",CONCATENATE(IF(BN76="Yes","DCA / ",""),IF(BN77="Yes",BP77,"")))),2)="/ ",LEFT(IF(BN76="","",IF(CONCATENATE(IF(BN76="Yes","DCA / ",""),IF(BN77="Yes",BP77,""))="","Not evaluated",CONCATENATE(IF(BN76="Yes","DCA / ",""),IF(BN77="Yes",BP77,"")))),LEN(IF(BN76="","",IF(CONCATENATE(IF(BN76="Yes","DCA / ",""),IF(BN77="Yes",BP77,""))="","Not evaluated",CONCATENATE(IF(BN76="Yes","DCA / ",""),IF(BN77="Yes",BP77,"")))))-2),IF(BN76="","",IF(CONCATENATE(IF(BN76="Yes","DCA / ",""),IF(BN77="Yes",BP77,""))="","Not evaluated",CONCATENATE(IF(BN76="Yes","DCA / ",""),IF(BN77="Yes",BP77,"")))))</f>
        <v/>
      </c>
      <c r="BO75" s="358"/>
      <c r="BP75" s="358"/>
      <c r="BQ75" s="358" t="str">
        <f t="shared" ref="BQ75" si="20">IF(RIGHT(IF(BQ76="","",IF(CONCATENATE(IF(BQ76="Yes","DCA / ",""),IF(BQ77="Yes",BS77,""))="","Not evaluated",CONCATENATE(IF(BQ76="Yes","DCA / ",""),IF(BQ77="Yes",BS77,"")))),2)="/ ",LEFT(IF(BQ76="","",IF(CONCATENATE(IF(BQ76="Yes","DCA / ",""),IF(BQ77="Yes",BS77,""))="","Not evaluated",CONCATENATE(IF(BQ76="Yes","DCA / ",""),IF(BQ77="Yes",BS77,"")))),LEN(IF(BQ76="","",IF(CONCATENATE(IF(BQ76="Yes","DCA / ",""),IF(BQ77="Yes",BS77,""))="","Not evaluated",CONCATENATE(IF(BQ76="Yes","DCA / ",""),IF(BQ77="Yes",BS77,"")))))-2),IF(BQ76="","",IF(CONCATENATE(IF(BQ76="Yes","DCA / ",""),IF(BQ77="Yes",BS77,""))="","Not evaluated",CONCATENATE(IF(BQ76="Yes","DCA / ",""),IF(BQ77="Yes",BS77,"")))))</f>
        <v/>
      </c>
      <c r="BR75" s="358"/>
      <c r="BS75" s="358"/>
      <c r="BT75" s="358" t="str">
        <f t="shared" ref="BT75" si="21">IF(RIGHT(IF(BT76="","",IF(CONCATENATE(IF(BT76="Yes","DCA / ",""),IF(BT77="Yes",BV77,""))="","Not evaluated",CONCATENATE(IF(BT76="Yes","DCA / ",""),IF(BT77="Yes",BV77,"")))),2)="/ ",LEFT(IF(BT76="","",IF(CONCATENATE(IF(BT76="Yes","DCA / ",""),IF(BT77="Yes",BV77,""))="","Not evaluated",CONCATENATE(IF(BT76="Yes","DCA / ",""),IF(BT77="Yes",BV77,"")))),LEN(IF(BT76="","",IF(CONCATENATE(IF(BT76="Yes","DCA / ",""),IF(BT77="Yes",BV77,""))="","Not evaluated",CONCATENATE(IF(BT76="Yes","DCA / ",""),IF(BT77="Yes",BV77,"")))))-2),IF(BT76="","",IF(CONCATENATE(IF(BT76="Yes","DCA / ",""),IF(BT77="Yes",BV77,""))="","Not evaluated",CONCATENATE(IF(BT76="Yes","DCA / ",""),IF(BT77="Yes",BV77,"")))))</f>
        <v/>
      </c>
      <c r="BU75" s="358"/>
      <c r="BV75" s="358"/>
      <c r="BW75" s="358" t="str">
        <f t="shared" ref="BW75" si="22">IF(RIGHT(IF(BW76="","",IF(CONCATENATE(IF(BW76="Yes","DCA / ",""),IF(BW77="Yes",BY77,""))="","Not evaluated",CONCATENATE(IF(BW76="Yes","DCA / ",""),IF(BW77="Yes",BY77,"")))),2)="/ ",LEFT(IF(BW76="","",IF(CONCATENATE(IF(BW76="Yes","DCA / ",""),IF(BW77="Yes",BY77,""))="","Not evaluated",CONCATENATE(IF(BW76="Yes","DCA / ",""),IF(BW77="Yes",BY77,"")))),LEN(IF(BW76="","",IF(CONCATENATE(IF(BW76="Yes","DCA / ",""),IF(BW77="Yes",BY77,""))="","Not evaluated",CONCATENATE(IF(BW76="Yes","DCA / ",""),IF(BW77="Yes",BY77,"")))))-2),IF(BW76="","",IF(CONCATENATE(IF(BW76="Yes","DCA / ",""),IF(BW77="Yes",BY77,""))="","Not evaluated",CONCATENATE(IF(BW76="Yes","DCA / ",""),IF(BW77="Yes",BY77,"")))))</f>
        <v/>
      </c>
      <c r="BX75" s="358"/>
      <c r="BY75" s="358"/>
      <c r="BZ75" s="358" t="str">
        <f t="shared" ref="BZ75" si="23">IF(RIGHT(IF(BZ76="","",IF(CONCATENATE(IF(BZ76="Yes","DCA / ",""),IF(BZ77="Yes",CB77,""))="","Not evaluated",CONCATENATE(IF(BZ76="Yes","DCA / ",""),IF(BZ77="Yes",CB77,"")))),2)="/ ",LEFT(IF(BZ76="","",IF(CONCATENATE(IF(BZ76="Yes","DCA / ",""),IF(BZ77="Yes",CB77,""))="","Not evaluated",CONCATENATE(IF(BZ76="Yes","DCA / ",""),IF(BZ77="Yes",CB77,"")))),LEN(IF(BZ76="","",IF(CONCATENATE(IF(BZ76="Yes","DCA / ",""),IF(BZ77="Yes",CB77,""))="","Not evaluated",CONCATENATE(IF(BZ76="Yes","DCA / ",""),IF(BZ77="Yes",CB77,"")))))-2),IF(BZ76="","",IF(CONCATENATE(IF(BZ76="Yes","DCA / ",""),IF(BZ77="Yes",CB77,""))="","Not evaluated",CONCATENATE(IF(BZ76="Yes","DCA / ",""),IF(BZ77="Yes",CB77,"")))))</f>
        <v/>
      </c>
      <c r="CA75" s="358"/>
      <c r="CB75" s="358"/>
      <c r="CC75" s="358" t="str">
        <f t="shared" ref="CC75" si="24">IF(RIGHT(IF(CC76="","",IF(CONCATENATE(IF(CC76="Yes","DCA / ",""),IF(CC77="Yes",CE77,""))="","Not evaluated",CONCATENATE(IF(CC76="Yes","DCA / ",""),IF(CC77="Yes",CE77,"")))),2)="/ ",LEFT(IF(CC76="","",IF(CONCATENATE(IF(CC76="Yes","DCA / ",""),IF(CC77="Yes",CE77,""))="","Not evaluated",CONCATENATE(IF(CC76="Yes","DCA / ",""),IF(CC77="Yes",CE77,"")))),LEN(IF(CC76="","",IF(CONCATENATE(IF(CC76="Yes","DCA / ",""),IF(CC77="Yes",CE77,""))="","Not evaluated",CONCATENATE(IF(CC76="Yes","DCA / ",""),IF(CC77="Yes",CE77,"")))))-2),IF(CC76="","",IF(CONCATENATE(IF(CC76="Yes","DCA / ",""),IF(CC77="Yes",CE77,""))="","Not evaluated",CONCATENATE(IF(CC76="Yes","DCA / ",""),IF(CC77="Yes",CE77,"")))))</f>
        <v/>
      </c>
      <c r="CD75" s="358"/>
      <c r="CE75" s="358"/>
      <c r="CF75" s="358" t="str">
        <f t="shared" ref="CF75" si="25">IF(RIGHT(IF(CF76="","",IF(CONCATENATE(IF(CF76="Yes","DCA / ",""),IF(CF77="Yes",CH77,""))="","Not evaluated",CONCATENATE(IF(CF76="Yes","DCA / ",""),IF(CF77="Yes",CH77,"")))),2)="/ ",LEFT(IF(CF76="","",IF(CONCATENATE(IF(CF76="Yes","DCA / ",""),IF(CF77="Yes",CH77,""))="","Not evaluated",CONCATENATE(IF(CF76="Yes","DCA / ",""),IF(CF77="Yes",CH77,"")))),LEN(IF(CF76="","",IF(CONCATENATE(IF(CF76="Yes","DCA / ",""),IF(CF77="Yes",CH77,""))="","Not evaluated",CONCATENATE(IF(CF76="Yes","DCA / ",""),IF(CF77="Yes",CH77,"")))))-2),IF(CF76="","",IF(CONCATENATE(IF(CF76="Yes","DCA / ",""),IF(CF77="Yes",CH77,""))="","Not evaluated",CONCATENATE(IF(CF76="Yes","DCA / ",""),IF(CF77="Yes",CH77,"")))))</f>
        <v/>
      </c>
      <c r="CG75" s="358"/>
      <c r="CH75" s="358"/>
      <c r="CI75" s="358" t="str">
        <f t="shared" ref="CI75" si="26">IF(RIGHT(IF(CI76="","",IF(CONCATENATE(IF(CI76="Yes","DCA / ",""),IF(CI77="Yes",CK77,""))="","Not evaluated",CONCATENATE(IF(CI76="Yes","DCA / ",""),IF(CI77="Yes",CK77,"")))),2)="/ ",LEFT(IF(CI76="","",IF(CONCATENATE(IF(CI76="Yes","DCA / ",""),IF(CI77="Yes",CK77,""))="","Not evaluated",CONCATENATE(IF(CI76="Yes","DCA / ",""),IF(CI77="Yes",CK77,"")))),LEN(IF(CI76="","",IF(CONCATENATE(IF(CI76="Yes","DCA / ",""),IF(CI77="Yes",CK77,""))="","Not evaluated",CONCATENATE(IF(CI76="Yes","DCA / ",""),IF(CI77="Yes",CK77,"")))))-2),IF(CI76="","",IF(CONCATENATE(IF(CI76="Yes","DCA / ",""),IF(CI77="Yes",CK77,""))="","Not evaluated",CONCATENATE(IF(CI76="Yes","DCA / ",""),IF(CI77="Yes",CK77,"")))))</f>
        <v/>
      </c>
      <c r="CJ75" s="358"/>
      <c r="CK75" s="358"/>
      <c r="CL75" s="358" t="str">
        <f t="shared" ref="CL75" si="27">IF(RIGHT(IF(CL76="","",IF(CONCATENATE(IF(CL76="Yes","DCA / ",""),IF(CL77="Yes",CN77,""))="","Not evaluated",CONCATENATE(IF(CL76="Yes","DCA / ",""),IF(CL77="Yes",CN77,"")))),2)="/ ",LEFT(IF(CL76="","",IF(CONCATENATE(IF(CL76="Yes","DCA / ",""),IF(CL77="Yes",CN77,""))="","Not evaluated",CONCATENATE(IF(CL76="Yes","DCA / ",""),IF(CL77="Yes",CN77,"")))),LEN(IF(CL76="","",IF(CONCATENATE(IF(CL76="Yes","DCA / ",""),IF(CL77="Yes",CN77,""))="","Not evaluated",CONCATENATE(IF(CL76="Yes","DCA / ",""),IF(CL77="Yes",CN77,"")))))-2),IF(CL76="","",IF(CONCATENATE(IF(CL76="Yes","DCA / ",""),IF(CL77="Yes",CN77,""))="","Not evaluated",CONCATENATE(IF(CL76="Yes","DCA / ",""),IF(CL77="Yes",CN77,"")))))</f>
        <v/>
      </c>
      <c r="CM75" s="358"/>
      <c r="CN75" s="359"/>
      <c r="CO75" s="357" t="str">
        <f t="shared" ref="CO75" si="28">IF(RIGHT(IF(CO76="","",IF(CONCATENATE(IF(CO76="Yes","DCA / ",""),IF(CO77="Yes",CQ77,""))="","Not evaluated",CONCATENATE(IF(CO76="Yes","DCA / ",""),IF(CO77="Yes",CQ77,"")))),2)="/ ",LEFT(IF(CO76="","",IF(CONCATENATE(IF(CO76="Yes","DCA / ",""),IF(CO77="Yes",CQ77,""))="","Not evaluated",CONCATENATE(IF(CO76="Yes","DCA / ",""),IF(CO77="Yes",CQ77,"")))),LEN(IF(CO76="","",IF(CONCATENATE(IF(CO76="Yes","DCA / ",""),IF(CO77="Yes",CQ77,""))="","Not evaluated",CONCATENATE(IF(CO76="Yes","DCA / ",""),IF(CO77="Yes",CQ77,"")))))-2),IF(CO76="","",IF(CONCATENATE(IF(CO76="Yes","DCA / ",""),IF(CO77="Yes",CQ77,""))="","Not evaluated",CONCATENATE(IF(CO76="Yes","DCA / ",""),IF(CO77="Yes",CQ77,"")))))</f>
        <v/>
      </c>
      <c r="CP75" s="358"/>
      <c r="CQ75" s="358"/>
    </row>
    <row r="76" spans="1:95" s="13" customFormat="1" ht="15" customHeight="1" x14ac:dyDescent="0.2">
      <c r="A76" s="62"/>
      <c r="B76" s="62" t="s">
        <v>32</v>
      </c>
      <c r="C76" s="62"/>
      <c r="D76" s="341" t="s">
        <v>123</v>
      </c>
      <c r="E76" s="345"/>
      <c r="F76" s="318" t="s">
        <v>72</v>
      </c>
      <c r="G76" s="318"/>
      <c r="H76" s="318"/>
      <c r="I76" s="318" t="s">
        <v>72</v>
      </c>
      <c r="J76" s="318"/>
      <c r="K76" s="318"/>
      <c r="L76" s="318" t="s">
        <v>72</v>
      </c>
      <c r="M76" s="318"/>
      <c r="N76" s="318"/>
      <c r="O76" s="318" t="s">
        <v>72</v>
      </c>
      <c r="P76" s="318"/>
      <c r="Q76" s="318"/>
      <c r="R76" s="318" t="s">
        <v>72</v>
      </c>
      <c r="S76" s="318"/>
      <c r="T76" s="318"/>
      <c r="U76" s="318" t="s">
        <v>72</v>
      </c>
      <c r="V76" s="318"/>
      <c r="W76" s="318"/>
      <c r="X76" s="318" t="s">
        <v>72</v>
      </c>
      <c r="Y76" s="318"/>
      <c r="Z76" s="318"/>
      <c r="AA76" s="318" t="s">
        <v>72</v>
      </c>
      <c r="AB76" s="318"/>
      <c r="AC76" s="318"/>
      <c r="AD76" s="318" t="s">
        <v>72</v>
      </c>
      <c r="AE76" s="318"/>
      <c r="AF76" s="318"/>
      <c r="AG76" s="318" t="s">
        <v>72</v>
      </c>
      <c r="AH76" s="318"/>
      <c r="AI76" s="318"/>
      <c r="AJ76" s="318" t="s">
        <v>72</v>
      </c>
      <c r="AK76" s="318"/>
      <c r="AL76" s="318"/>
      <c r="AM76" s="318" t="s">
        <v>72</v>
      </c>
      <c r="AN76" s="318"/>
      <c r="AO76" s="318"/>
      <c r="AP76" s="318"/>
      <c r="AQ76" s="318"/>
      <c r="AR76" s="318"/>
      <c r="AS76" s="318"/>
      <c r="AT76" s="318"/>
      <c r="AU76" s="318"/>
      <c r="AV76" s="318"/>
      <c r="AW76" s="318"/>
      <c r="AX76" s="318"/>
      <c r="AY76" s="318"/>
      <c r="AZ76" s="318"/>
      <c r="BA76" s="318"/>
      <c r="BB76" s="318"/>
      <c r="BC76" s="318"/>
      <c r="BD76" s="318"/>
      <c r="BE76" s="318"/>
      <c r="BF76" s="318"/>
      <c r="BG76" s="318"/>
      <c r="BH76" s="318"/>
      <c r="BI76" s="318"/>
      <c r="BJ76" s="318"/>
      <c r="BK76" s="318"/>
      <c r="BL76" s="318"/>
      <c r="BM76" s="318"/>
      <c r="BN76" s="318"/>
      <c r="BO76" s="318"/>
      <c r="BP76" s="318"/>
      <c r="BQ76" s="318"/>
      <c r="BR76" s="318"/>
      <c r="BS76" s="318"/>
      <c r="BT76" s="318"/>
      <c r="BU76" s="318"/>
      <c r="BV76" s="318"/>
      <c r="BW76" s="318"/>
      <c r="BX76" s="318"/>
      <c r="BY76" s="318"/>
      <c r="BZ76" s="318"/>
      <c r="CA76" s="318"/>
      <c r="CB76" s="318"/>
      <c r="CC76" s="318"/>
      <c r="CD76" s="318"/>
      <c r="CE76" s="318"/>
      <c r="CF76" s="318"/>
      <c r="CG76" s="318"/>
      <c r="CH76" s="318"/>
      <c r="CI76" s="318"/>
      <c r="CJ76" s="318"/>
      <c r="CK76" s="318"/>
      <c r="CL76" s="318"/>
      <c r="CM76" s="318"/>
      <c r="CN76" s="319"/>
      <c r="CO76" s="317"/>
      <c r="CP76" s="318"/>
      <c r="CQ76" s="318"/>
    </row>
    <row r="77" spans="1:95" s="13" customFormat="1" ht="15" customHeight="1" x14ac:dyDescent="0.2">
      <c r="A77" s="62"/>
      <c r="B77" s="62" t="s">
        <v>32</v>
      </c>
      <c r="C77" s="62"/>
      <c r="D77" s="343" t="s">
        <v>124</v>
      </c>
      <c r="E77" s="344"/>
      <c r="F77" s="38" t="s">
        <v>67</v>
      </c>
      <c r="G77" s="52" t="s">
        <v>109</v>
      </c>
      <c r="H77" s="192" t="s">
        <v>321</v>
      </c>
      <c r="I77" s="191" t="s">
        <v>72</v>
      </c>
      <c r="J77" s="52" t="s">
        <v>109</v>
      </c>
      <c r="K77" s="192"/>
      <c r="L77" s="191" t="s">
        <v>72</v>
      </c>
      <c r="M77" s="52" t="s">
        <v>109</v>
      </c>
      <c r="N77" s="192"/>
      <c r="O77" s="191" t="s">
        <v>72</v>
      </c>
      <c r="P77" s="52" t="s">
        <v>109</v>
      </c>
      <c r="Q77" s="192"/>
      <c r="R77" s="191" t="s">
        <v>72</v>
      </c>
      <c r="S77" s="52" t="s">
        <v>109</v>
      </c>
      <c r="T77" s="192"/>
      <c r="U77" s="191" t="s">
        <v>72</v>
      </c>
      <c r="V77" s="52" t="s">
        <v>109</v>
      </c>
      <c r="W77" s="192"/>
      <c r="X77" s="191" t="s">
        <v>72</v>
      </c>
      <c r="Y77" s="52" t="s">
        <v>109</v>
      </c>
      <c r="Z77" s="192"/>
      <c r="AA77" s="191" t="s">
        <v>72</v>
      </c>
      <c r="AB77" s="52" t="s">
        <v>109</v>
      </c>
      <c r="AC77" s="192"/>
      <c r="AD77" s="191" t="s">
        <v>72</v>
      </c>
      <c r="AE77" s="52" t="s">
        <v>109</v>
      </c>
      <c r="AF77" s="209"/>
      <c r="AG77" s="191" t="s">
        <v>72</v>
      </c>
      <c r="AH77" s="52" t="s">
        <v>109</v>
      </c>
      <c r="AI77" s="192"/>
      <c r="AJ77" s="191" t="s">
        <v>72</v>
      </c>
      <c r="AK77" s="52" t="s">
        <v>109</v>
      </c>
      <c r="AL77" s="192"/>
      <c r="AM77" s="191" t="s">
        <v>72</v>
      </c>
      <c r="AN77" s="52" t="s">
        <v>109</v>
      </c>
      <c r="AO77" s="192"/>
      <c r="AP77" s="191"/>
      <c r="AQ77" s="52" t="s">
        <v>109</v>
      </c>
      <c r="AR77" s="192"/>
      <c r="AS77" s="191"/>
      <c r="AT77" s="52" t="s">
        <v>109</v>
      </c>
      <c r="AU77" s="192"/>
      <c r="AV77" s="191"/>
      <c r="AW77" s="52" t="s">
        <v>109</v>
      </c>
      <c r="AX77" s="192"/>
      <c r="AY77" s="191"/>
      <c r="AZ77" s="52" t="s">
        <v>109</v>
      </c>
      <c r="BA77" s="192"/>
      <c r="BB77" s="191"/>
      <c r="BC77" s="52" t="s">
        <v>109</v>
      </c>
      <c r="BD77" s="192"/>
      <c r="BE77" s="191"/>
      <c r="BF77" s="52" t="s">
        <v>109</v>
      </c>
      <c r="BG77" s="192"/>
      <c r="BH77" s="191"/>
      <c r="BI77" s="52" t="s">
        <v>109</v>
      </c>
      <c r="BJ77" s="192"/>
      <c r="BK77" s="191"/>
      <c r="BL77" s="52" t="s">
        <v>109</v>
      </c>
      <c r="BM77" s="192"/>
      <c r="BN77" s="191"/>
      <c r="BO77" s="52" t="s">
        <v>109</v>
      </c>
      <c r="BP77" s="192"/>
      <c r="BQ77" s="191"/>
      <c r="BR77" s="52" t="s">
        <v>109</v>
      </c>
      <c r="BS77" s="192"/>
      <c r="BT77" s="191"/>
      <c r="BU77" s="52" t="s">
        <v>109</v>
      </c>
      <c r="BV77" s="192"/>
      <c r="BW77" s="191"/>
      <c r="BX77" s="52" t="s">
        <v>109</v>
      </c>
      <c r="BY77" s="192"/>
      <c r="BZ77" s="191"/>
      <c r="CA77" s="52" t="s">
        <v>109</v>
      </c>
      <c r="CB77" s="192"/>
      <c r="CC77" s="191"/>
      <c r="CD77" s="52" t="s">
        <v>109</v>
      </c>
      <c r="CE77" s="192"/>
      <c r="CF77" s="191"/>
      <c r="CG77" s="52" t="s">
        <v>109</v>
      </c>
      <c r="CH77" s="192"/>
      <c r="CI77" s="191"/>
      <c r="CJ77" s="52" t="s">
        <v>109</v>
      </c>
      <c r="CK77" s="192"/>
      <c r="CL77" s="191"/>
      <c r="CM77" s="52" t="s">
        <v>109</v>
      </c>
      <c r="CN77" s="192"/>
      <c r="CO77" s="190"/>
      <c r="CP77" s="52" t="s">
        <v>109</v>
      </c>
      <c r="CQ77" s="192"/>
    </row>
    <row r="78" spans="1:95" s="1" customFormat="1" ht="18.75" customHeight="1" x14ac:dyDescent="0.2">
      <c r="A78" s="335" t="s">
        <v>125</v>
      </c>
      <c r="B78" s="335"/>
      <c r="C78" s="335"/>
      <c r="D78" s="335"/>
      <c r="E78" s="335"/>
      <c r="F78" s="48">
        <f>IF(SUMMARY!$B$7=TRUE,IF(COUNTBLANK(F80:F82)&gt;0,0,1),"")</f>
        <v>1</v>
      </c>
      <c r="G78" s="49"/>
      <c r="H78" s="49"/>
      <c r="I78" s="50">
        <f>IF(SUMMARY!$B$8=TRUE,IF(COUNTBLANK(I80:I82)&gt;0,0,1),"")</f>
        <v>1</v>
      </c>
      <c r="J78" s="49"/>
      <c r="K78" s="49"/>
      <c r="L78" s="50">
        <f>IF(SUMMARY!$B$9=TRUE,IF(COUNTBLANK(L80:L82)&gt;0,0,1),"")</f>
        <v>1</v>
      </c>
      <c r="M78" s="49"/>
      <c r="N78" s="49"/>
      <c r="O78" s="50">
        <f>IF(SUMMARY!$B$10=TRUE,IF(COUNTBLANK(O80:O82)&gt;0,0,1),"")</f>
        <v>1</v>
      </c>
      <c r="P78" s="49"/>
      <c r="Q78" s="49"/>
      <c r="R78" s="50">
        <f>IF(SUMMARY!$B$11=TRUE,IF(COUNTBLANK(R80:R82)&gt;0,0,1),"")</f>
        <v>1</v>
      </c>
      <c r="S78" s="49"/>
      <c r="T78" s="49"/>
      <c r="U78" s="50">
        <f>IF(SUMMARY!$B$12=TRUE,IF(COUNTBLANK(U80:U82)&gt;0,0,1),"")</f>
        <v>1</v>
      </c>
      <c r="V78" s="49"/>
      <c r="W78" s="49"/>
      <c r="X78" s="50">
        <f>IF(SUMMARY!$B$13=TRUE,IF(COUNTBLANK(X80:X82)&gt;0,0,1),"")</f>
        <v>1</v>
      </c>
      <c r="Y78" s="49"/>
      <c r="Z78" s="49"/>
      <c r="AA78" s="50">
        <f>IF(SUMMARY!$B$14=TRUE,IF(COUNTBLANK(AA80:AA82)&gt;0,0,1),"")</f>
        <v>1</v>
      </c>
      <c r="AB78" s="49"/>
      <c r="AC78" s="49"/>
      <c r="AD78" s="50">
        <f>IF(SUMMARY!$B$15=TRUE,IF(COUNTBLANK(AD80:AD82)&gt;0,0,1),"")</f>
        <v>1</v>
      </c>
      <c r="AE78" s="49"/>
      <c r="AF78" s="49"/>
      <c r="AG78" s="50">
        <f>IF(SUMMARY!$B$16=TRUE,IF(COUNTBLANK(AG80:AG82)&gt;0,0,1),"")</f>
        <v>1</v>
      </c>
      <c r="AH78" s="49"/>
      <c r="AI78" s="49"/>
      <c r="AJ78" s="50">
        <f>IF(SUMMARY!$B$17=TRUE,IF(COUNTBLANK(AJ80:AJ82)&gt;0,0,1),"")</f>
        <v>1</v>
      </c>
      <c r="AK78" s="49"/>
      <c r="AL78" s="49"/>
      <c r="AM78" s="50">
        <f>IF(SUMMARY!$B$18=TRUE,IF(COUNTBLANK(AM80:AM82)&gt;0,0,1),"")</f>
        <v>1</v>
      </c>
      <c r="AN78" s="49"/>
      <c r="AO78" s="49"/>
      <c r="AP78" s="50" t="str">
        <f>IF(SUMMARY!$B$19=TRUE,IF(COUNTBLANK(AP80:AP82)&gt;0,0,1),"")</f>
        <v/>
      </c>
      <c r="AQ78" s="49"/>
      <c r="AR78" s="49"/>
      <c r="AS78" s="50" t="str">
        <f>IF(SUMMARY!$B$20=TRUE,IF(COUNTBLANK(AS80:AS82)&gt;0,0,1),"")</f>
        <v/>
      </c>
      <c r="AT78" s="49"/>
      <c r="AU78" s="49"/>
      <c r="AV78" s="50" t="str">
        <f>IF(SUMMARY!$B$21=TRUE,IF(COUNTBLANK(AV80:AV82)&gt;0,0,1),"")</f>
        <v/>
      </c>
      <c r="AW78" s="49"/>
      <c r="AX78" s="49"/>
      <c r="AY78" s="50" t="str">
        <f>IF(SUMMARY!$B$22=TRUE,IF(COUNTBLANK(AY80:AY82)&gt;0,0,1),"")</f>
        <v/>
      </c>
      <c r="AZ78" s="49"/>
      <c r="BA78" s="49"/>
      <c r="BB78" s="50" t="str">
        <f>IF(SUMMARY!$B$23=TRUE,IF(COUNTBLANK(BB80:BB82)&gt;0,0,1),"")</f>
        <v/>
      </c>
      <c r="BC78" s="49"/>
      <c r="BD78" s="49"/>
      <c r="BE78" s="50" t="str">
        <f>IF(SUMMARY!$B$24=TRUE,IF(COUNTBLANK(BE80:BE82)&gt;0,0,1),"")</f>
        <v/>
      </c>
      <c r="BF78" s="49"/>
      <c r="BG78" s="49"/>
      <c r="BH78" s="50" t="str">
        <f>IF(SUMMARY!$B$25=TRUE,IF(COUNTBLANK(BH80:BH82)&gt;0,0,1),"")</f>
        <v/>
      </c>
      <c r="BI78" s="49"/>
      <c r="BJ78" s="49"/>
      <c r="BK78" s="50" t="str">
        <f>IF(SUMMARY!$B$26=TRUE,IF(COUNTBLANK(BK80:BK82)&gt;0,0,1),"")</f>
        <v/>
      </c>
      <c r="BL78" s="49"/>
      <c r="BM78" s="49"/>
      <c r="BN78" s="50" t="str">
        <f>IF(SUMMARY!$B$27=TRUE,IF(COUNTBLANK(BN80:BN82)&gt;0,0,1),"")</f>
        <v/>
      </c>
      <c r="BO78" s="49"/>
      <c r="BP78" s="49"/>
      <c r="BQ78" s="50" t="str">
        <f>IF(SUMMARY!$B$28=TRUE,IF(COUNTBLANK(BQ80:BQ82)&gt;0,0,1),"")</f>
        <v/>
      </c>
      <c r="BR78" s="49"/>
      <c r="BS78" s="49"/>
      <c r="BT78" s="50" t="str">
        <f>IF(SUMMARY!$B$29=TRUE,IF(COUNTBLANK(BT80:BT82)&gt;0,0,1),"")</f>
        <v/>
      </c>
      <c r="BU78" s="49"/>
      <c r="BV78" s="49"/>
      <c r="BW78" s="50" t="str">
        <f>IF(SUMMARY!$B$30=TRUE,IF(COUNTBLANK(BW80:BW82)&gt;0,0,1),"")</f>
        <v/>
      </c>
      <c r="BX78" s="49"/>
      <c r="BY78" s="49"/>
      <c r="BZ78" s="50" t="str">
        <f>IF(SUMMARY!$B$31=TRUE,IF(COUNTBLANK(BZ80:BZ82)&gt;0,0,1),"")</f>
        <v/>
      </c>
      <c r="CA78" s="49"/>
      <c r="CB78" s="49"/>
      <c r="CC78" s="50" t="str">
        <f>IF(SUMMARY!$B$32=TRUE,IF(COUNTBLANK(CC80:CC82)&gt;0,0,1),"")</f>
        <v/>
      </c>
      <c r="CD78" s="49"/>
      <c r="CE78" s="49"/>
      <c r="CF78" s="50" t="str">
        <f>IF(SUMMARY!$B$33=TRUE,IF(COUNTBLANK(CF80:CF82)&gt;0,0,1),"")</f>
        <v/>
      </c>
      <c r="CG78" s="49"/>
      <c r="CH78" s="49"/>
      <c r="CI78" s="50" t="str">
        <f>IF(SUMMARY!$B$34=TRUE,IF(COUNTBLANK(CI80:CI82)&gt;0,0,1),"")</f>
        <v/>
      </c>
      <c r="CJ78" s="49"/>
      <c r="CK78" s="49"/>
      <c r="CL78" s="50" t="str">
        <f>IF(SUMMARY!$B$35=TRUE,IF(COUNTBLANK(CL80:CL82)&gt;0,0,1),"")</f>
        <v/>
      </c>
      <c r="CM78" s="49"/>
      <c r="CN78" s="49"/>
      <c r="CO78" s="51" t="str">
        <f>IF(SUMMARY!$B$36=TRUE,IF(COUNTBLANK(CO80:CO82)&gt;0,0,1),"")</f>
        <v/>
      </c>
      <c r="CP78" s="49"/>
      <c r="CQ78" s="49"/>
    </row>
    <row r="79" spans="1:95" s="13" customFormat="1" ht="15" customHeight="1" x14ac:dyDescent="0.2">
      <c r="A79" s="69"/>
      <c r="B79" s="69"/>
      <c r="C79" s="69" t="s">
        <v>32</v>
      </c>
      <c r="D79" s="329" t="s">
        <v>126</v>
      </c>
      <c r="E79" s="330"/>
      <c r="F79" s="305"/>
      <c r="G79" s="306"/>
      <c r="H79" s="306"/>
      <c r="I79" s="305"/>
      <c r="J79" s="306"/>
      <c r="K79" s="306"/>
      <c r="L79" s="305"/>
      <c r="M79" s="306"/>
      <c r="N79" s="306"/>
      <c r="O79" s="305"/>
      <c r="P79" s="306"/>
      <c r="Q79" s="306"/>
      <c r="R79" s="305"/>
      <c r="S79" s="306"/>
      <c r="T79" s="306"/>
      <c r="U79" s="305"/>
      <c r="V79" s="306"/>
      <c r="W79" s="306"/>
      <c r="X79" s="305"/>
      <c r="Y79" s="306"/>
      <c r="Z79" s="306"/>
      <c r="AA79" s="305"/>
      <c r="AB79" s="306"/>
      <c r="AC79" s="306"/>
      <c r="AD79" s="305"/>
      <c r="AE79" s="306"/>
      <c r="AF79" s="306"/>
      <c r="AG79" s="305"/>
      <c r="AH79" s="306"/>
      <c r="AI79" s="306"/>
      <c r="AJ79" s="305"/>
      <c r="AK79" s="306"/>
      <c r="AL79" s="306"/>
      <c r="AM79" s="305"/>
      <c r="AN79" s="306"/>
      <c r="AO79" s="306"/>
      <c r="AP79" s="305"/>
      <c r="AQ79" s="306"/>
      <c r="AR79" s="306"/>
      <c r="AS79" s="305"/>
      <c r="AT79" s="306"/>
      <c r="AU79" s="306"/>
      <c r="AV79" s="305"/>
      <c r="AW79" s="306"/>
      <c r="AX79" s="306"/>
      <c r="AY79" s="305"/>
      <c r="AZ79" s="306"/>
      <c r="BA79" s="306"/>
      <c r="BB79" s="305"/>
      <c r="BC79" s="306"/>
      <c r="BD79" s="306"/>
      <c r="BE79" s="305"/>
      <c r="BF79" s="306"/>
      <c r="BG79" s="306"/>
      <c r="BH79" s="305"/>
      <c r="BI79" s="306"/>
      <c r="BJ79" s="306"/>
      <c r="BK79" s="305"/>
      <c r="BL79" s="306"/>
      <c r="BM79" s="306"/>
      <c r="BN79" s="305"/>
      <c r="BO79" s="306"/>
      <c r="BP79" s="306"/>
      <c r="BQ79" s="305"/>
      <c r="BR79" s="306"/>
      <c r="BS79" s="306"/>
      <c r="BT79" s="305"/>
      <c r="BU79" s="306"/>
      <c r="BV79" s="306"/>
      <c r="BW79" s="305"/>
      <c r="BX79" s="306"/>
      <c r="BY79" s="306"/>
      <c r="BZ79" s="305"/>
      <c r="CA79" s="306"/>
      <c r="CB79" s="306"/>
      <c r="CC79" s="305"/>
      <c r="CD79" s="306"/>
      <c r="CE79" s="306"/>
      <c r="CF79" s="305"/>
      <c r="CG79" s="306"/>
      <c r="CH79" s="306"/>
      <c r="CI79" s="305"/>
      <c r="CJ79" s="306"/>
      <c r="CK79" s="306"/>
      <c r="CL79" s="305"/>
      <c r="CM79" s="306"/>
      <c r="CN79" s="306"/>
      <c r="CO79" s="305"/>
      <c r="CP79" s="306"/>
      <c r="CQ79" s="306"/>
    </row>
    <row r="80" spans="1:95" s="13" customFormat="1" ht="15" customHeight="1" x14ac:dyDescent="0.2">
      <c r="A80" s="69"/>
      <c r="B80" s="69"/>
      <c r="C80" s="69" t="s">
        <v>32</v>
      </c>
      <c r="D80" s="341" t="s">
        <v>127</v>
      </c>
      <c r="E80" s="342"/>
      <c r="F80" s="288" t="s">
        <v>327</v>
      </c>
      <c r="G80" s="289"/>
      <c r="H80" s="289"/>
      <c r="I80" s="288" t="s">
        <v>128</v>
      </c>
      <c r="J80" s="289"/>
      <c r="K80" s="289"/>
      <c r="L80" s="288" t="s">
        <v>128</v>
      </c>
      <c r="M80" s="289"/>
      <c r="N80" s="289"/>
      <c r="O80" s="288" t="s">
        <v>269</v>
      </c>
      <c r="P80" s="289"/>
      <c r="Q80" s="289"/>
      <c r="R80" s="288" t="s">
        <v>457</v>
      </c>
      <c r="S80" s="289"/>
      <c r="T80" s="289"/>
      <c r="U80" s="288" t="s">
        <v>457</v>
      </c>
      <c r="V80" s="289"/>
      <c r="W80" s="289"/>
      <c r="X80" s="288" t="s">
        <v>128</v>
      </c>
      <c r="Y80" s="289"/>
      <c r="Z80" s="289"/>
      <c r="AA80" s="288" t="s">
        <v>269</v>
      </c>
      <c r="AB80" s="289"/>
      <c r="AC80" s="289"/>
      <c r="AD80" s="288" t="s">
        <v>128</v>
      </c>
      <c r="AE80" s="289"/>
      <c r="AF80" s="289"/>
      <c r="AG80" s="288" t="s">
        <v>128</v>
      </c>
      <c r="AH80" s="289"/>
      <c r="AI80" s="289"/>
      <c r="AJ80" s="288" t="s">
        <v>128</v>
      </c>
      <c r="AK80" s="289"/>
      <c r="AL80" s="289"/>
      <c r="AM80" s="288" t="s">
        <v>327</v>
      </c>
      <c r="AN80" s="289"/>
      <c r="AO80" s="289"/>
      <c r="AP80" s="288"/>
      <c r="AQ80" s="289"/>
      <c r="AR80" s="289"/>
      <c r="AS80" s="288"/>
      <c r="AT80" s="289"/>
      <c r="AU80" s="289"/>
      <c r="AV80" s="288"/>
      <c r="AW80" s="289"/>
      <c r="AX80" s="289"/>
      <c r="AY80" s="288"/>
      <c r="AZ80" s="289"/>
      <c r="BA80" s="289"/>
      <c r="BB80" s="288"/>
      <c r="BC80" s="289"/>
      <c r="BD80" s="289"/>
      <c r="BE80" s="288"/>
      <c r="BF80" s="289"/>
      <c r="BG80" s="289"/>
      <c r="BH80" s="288"/>
      <c r="BI80" s="289"/>
      <c r="BJ80" s="289"/>
      <c r="BK80" s="288"/>
      <c r="BL80" s="289"/>
      <c r="BM80" s="289"/>
      <c r="BN80" s="288"/>
      <c r="BO80" s="289"/>
      <c r="BP80" s="289"/>
      <c r="BQ80" s="288"/>
      <c r="BR80" s="289"/>
      <c r="BS80" s="289"/>
      <c r="BT80" s="288"/>
      <c r="BU80" s="289"/>
      <c r="BV80" s="289"/>
      <c r="BW80" s="288"/>
      <c r="BX80" s="289"/>
      <c r="BY80" s="289"/>
      <c r="BZ80" s="288"/>
      <c r="CA80" s="289"/>
      <c r="CB80" s="289"/>
      <c r="CC80" s="288"/>
      <c r="CD80" s="289"/>
      <c r="CE80" s="289"/>
      <c r="CF80" s="288"/>
      <c r="CG80" s="289"/>
      <c r="CH80" s="289"/>
      <c r="CI80" s="288"/>
      <c r="CJ80" s="289"/>
      <c r="CK80" s="289"/>
      <c r="CL80" s="288"/>
      <c r="CM80" s="289"/>
      <c r="CN80" s="289"/>
      <c r="CO80" s="288"/>
      <c r="CP80" s="289"/>
      <c r="CQ80" s="289"/>
    </row>
    <row r="81" spans="1:95" s="13" customFormat="1" ht="15" customHeight="1" x14ac:dyDescent="0.2">
      <c r="A81" s="69"/>
      <c r="B81" s="69"/>
      <c r="C81" s="69" t="s">
        <v>32</v>
      </c>
      <c r="D81" s="341" t="s">
        <v>131</v>
      </c>
      <c r="E81" s="342"/>
      <c r="F81" s="288" t="s">
        <v>132</v>
      </c>
      <c r="G81" s="289"/>
      <c r="H81" s="289"/>
      <c r="I81" s="288" t="s">
        <v>270</v>
      </c>
      <c r="J81" s="289"/>
      <c r="K81" s="289"/>
      <c r="L81" s="288" t="s">
        <v>270</v>
      </c>
      <c r="M81" s="289"/>
      <c r="N81" s="289"/>
      <c r="O81" s="288" t="s">
        <v>46</v>
      </c>
      <c r="P81" s="289"/>
      <c r="Q81" s="289"/>
      <c r="R81" s="288" t="s">
        <v>46</v>
      </c>
      <c r="S81" s="289"/>
      <c r="T81" s="289"/>
      <c r="U81" s="288" t="s">
        <v>46</v>
      </c>
      <c r="V81" s="289"/>
      <c r="W81" s="289"/>
      <c r="X81" s="288" t="s">
        <v>46</v>
      </c>
      <c r="Y81" s="289"/>
      <c r="Z81" s="289"/>
      <c r="AA81" s="288" t="s">
        <v>46</v>
      </c>
      <c r="AB81" s="289"/>
      <c r="AC81" s="289"/>
      <c r="AD81" s="288" t="s">
        <v>46</v>
      </c>
      <c r="AE81" s="289"/>
      <c r="AF81" s="289"/>
      <c r="AG81" s="288" t="s">
        <v>46</v>
      </c>
      <c r="AH81" s="289"/>
      <c r="AI81" s="289"/>
      <c r="AJ81" s="288" t="s">
        <v>437</v>
      </c>
      <c r="AK81" s="289"/>
      <c r="AL81" s="289"/>
      <c r="AM81" s="288" t="s">
        <v>51</v>
      </c>
      <c r="AN81" s="289"/>
      <c r="AO81" s="289"/>
      <c r="AP81" s="288"/>
      <c r="AQ81" s="289"/>
      <c r="AR81" s="289"/>
      <c r="AS81" s="288"/>
      <c r="AT81" s="289"/>
      <c r="AU81" s="289"/>
      <c r="AV81" s="288"/>
      <c r="AW81" s="289"/>
      <c r="AX81" s="289"/>
      <c r="AY81" s="288"/>
      <c r="AZ81" s="289"/>
      <c r="BA81" s="289"/>
      <c r="BB81" s="288"/>
      <c r="BC81" s="289"/>
      <c r="BD81" s="289"/>
      <c r="BE81" s="288"/>
      <c r="BF81" s="289"/>
      <c r="BG81" s="289"/>
      <c r="BH81" s="288"/>
      <c r="BI81" s="289"/>
      <c r="BJ81" s="289"/>
      <c r="BK81" s="288"/>
      <c r="BL81" s="289"/>
      <c r="BM81" s="289"/>
      <c r="BN81" s="288"/>
      <c r="BO81" s="289"/>
      <c r="BP81" s="289"/>
      <c r="BQ81" s="288"/>
      <c r="BR81" s="289"/>
      <c r="BS81" s="289"/>
      <c r="BT81" s="288"/>
      <c r="BU81" s="289"/>
      <c r="BV81" s="289"/>
      <c r="BW81" s="288"/>
      <c r="BX81" s="289"/>
      <c r="BY81" s="289"/>
      <c r="BZ81" s="288"/>
      <c r="CA81" s="289"/>
      <c r="CB81" s="289"/>
      <c r="CC81" s="288"/>
      <c r="CD81" s="289"/>
      <c r="CE81" s="289"/>
      <c r="CF81" s="288"/>
      <c r="CG81" s="289"/>
      <c r="CH81" s="289"/>
      <c r="CI81" s="288"/>
      <c r="CJ81" s="289"/>
      <c r="CK81" s="289"/>
      <c r="CL81" s="288"/>
      <c r="CM81" s="289"/>
      <c r="CN81" s="289"/>
      <c r="CO81" s="288"/>
      <c r="CP81" s="289"/>
      <c r="CQ81" s="289"/>
    </row>
    <row r="82" spans="1:95" s="13" customFormat="1" ht="15" customHeight="1" x14ac:dyDescent="0.2">
      <c r="A82" s="58"/>
      <c r="B82" s="58" t="s">
        <v>32</v>
      </c>
      <c r="C82" s="58" t="s">
        <v>32</v>
      </c>
      <c r="D82" s="331" t="s">
        <v>134</v>
      </c>
      <c r="E82" s="332"/>
      <c r="F82" s="290" t="s">
        <v>67</v>
      </c>
      <c r="G82" s="291"/>
      <c r="H82" s="291"/>
      <c r="I82" s="290" t="s">
        <v>46</v>
      </c>
      <c r="J82" s="291"/>
      <c r="K82" s="291"/>
      <c r="L82" s="290" t="s">
        <v>46</v>
      </c>
      <c r="M82" s="291"/>
      <c r="N82" s="291"/>
      <c r="O82" s="290" t="s">
        <v>46</v>
      </c>
      <c r="P82" s="291"/>
      <c r="Q82" s="291"/>
      <c r="R82" s="290" t="s">
        <v>46</v>
      </c>
      <c r="S82" s="291"/>
      <c r="T82" s="291"/>
      <c r="U82" s="290" t="s">
        <v>46</v>
      </c>
      <c r="V82" s="291"/>
      <c r="W82" s="291"/>
      <c r="X82" s="290" t="s">
        <v>46</v>
      </c>
      <c r="Y82" s="291"/>
      <c r="Z82" s="291"/>
      <c r="AA82" s="290" t="s">
        <v>46</v>
      </c>
      <c r="AB82" s="291"/>
      <c r="AC82" s="291"/>
      <c r="AD82" s="290" t="s">
        <v>46</v>
      </c>
      <c r="AE82" s="291"/>
      <c r="AF82" s="291"/>
      <c r="AG82" s="290" t="s">
        <v>72</v>
      </c>
      <c r="AH82" s="291"/>
      <c r="AI82" s="291"/>
      <c r="AJ82" s="290" t="s">
        <v>67</v>
      </c>
      <c r="AK82" s="291"/>
      <c r="AL82" s="291"/>
      <c r="AM82" s="290" t="s">
        <v>51</v>
      </c>
      <c r="AN82" s="291"/>
      <c r="AO82" s="291"/>
      <c r="AP82" s="290"/>
      <c r="AQ82" s="291"/>
      <c r="AR82" s="291"/>
      <c r="AS82" s="290"/>
      <c r="AT82" s="291"/>
      <c r="AU82" s="291"/>
      <c r="AV82" s="290"/>
      <c r="AW82" s="291"/>
      <c r="AX82" s="291"/>
      <c r="AY82" s="290"/>
      <c r="AZ82" s="291"/>
      <c r="BA82" s="291"/>
      <c r="BB82" s="290"/>
      <c r="BC82" s="291"/>
      <c r="BD82" s="291"/>
      <c r="BE82" s="290"/>
      <c r="BF82" s="291"/>
      <c r="BG82" s="291"/>
      <c r="BH82" s="290"/>
      <c r="BI82" s="291"/>
      <c r="BJ82" s="291"/>
      <c r="BK82" s="290"/>
      <c r="BL82" s="291"/>
      <c r="BM82" s="291"/>
      <c r="BN82" s="290"/>
      <c r="BO82" s="291"/>
      <c r="BP82" s="291"/>
      <c r="BQ82" s="290"/>
      <c r="BR82" s="291"/>
      <c r="BS82" s="291"/>
      <c r="BT82" s="290"/>
      <c r="BU82" s="291"/>
      <c r="BV82" s="291"/>
      <c r="BW82" s="290"/>
      <c r="BX82" s="291"/>
      <c r="BY82" s="291"/>
      <c r="BZ82" s="290"/>
      <c r="CA82" s="291"/>
      <c r="CB82" s="291"/>
      <c r="CC82" s="290"/>
      <c r="CD82" s="291"/>
      <c r="CE82" s="291"/>
      <c r="CF82" s="290"/>
      <c r="CG82" s="291"/>
      <c r="CH82" s="291"/>
      <c r="CI82" s="290"/>
      <c r="CJ82" s="291"/>
      <c r="CK82" s="291"/>
      <c r="CL82" s="290"/>
      <c r="CM82" s="291"/>
      <c r="CN82" s="291"/>
      <c r="CO82" s="290"/>
      <c r="CP82" s="291"/>
      <c r="CQ82" s="291"/>
    </row>
    <row r="83" spans="1:95" s="1" customFormat="1" ht="21" customHeight="1" x14ac:dyDescent="0.2">
      <c r="A83" s="335" t="s">
        <v>135</v>
      </c>
      <c r="B83" s="335"/>
      <c r="C83" s="335"/>
      <c r="D83" s="335"/>
      <c r="E83" s="335"/>
      <c r="F83" s="48">
        <f>IF(SUMMARY!$B$7=TRUE,IF(COUNTBLANK(F84:F87)&gt;0,0,1),"")</f>
        <v>1</v>
      </c>
      <c r="G83" s="49"/>
      <c r="H83" s="49"/>
      <c r="I83" s="50">
        <f>IF(SUMMARY!$B$8=TRUE,IF(COUNTBLANK(I84:I87)&gt;0,0,1),"")</f>
        <v>1</v>
      </c>
      <c r="J83" s="49"/>
      <c r="K83" s="49"/>
      <c r="L83" s="50">
        <f>IF(SUMMARY!$B$9=TRUE,IF(COUNTBLANK(L84:L87)&gt;0,0,1),"")</f>
        <v>1</v>
      </c>
      <c r="M83" s="49"/>
      <c r="N83" s="49"/>
      <c r="O83" s="50">
        <f>IF(SUMMARY!$B$10=TRUE,IF(COUNTBLANK(O84:O87)&gt;0,0,1),"")</f>
        <v>1</v>
      </c>
      <c r="P83" s="49"/>
      <c r="Q83" s="49"/>
      <c r="R83" s="50">
        <f>IF(SUMMARY!$B$11=TRUE,IF(COUNTBLANK(R84:R87)&gt;0,0,1),"")</f>
        <v>1</v>
      </c>
      <c r="S83" s="49"/>
      <c r="T83" s="49"/>
      <c r="U83" s="50">
        <f>IF(SUMMARY!$B$12=TRUE,IF(COUNTBLANK(U84:U87)&gt;0,0,1),"")</f>
        <v>1</v>
      </c>
      <c r="V83" s="49"/>
      <c r="W83" s="49"/>
      <c r="X83" s="50">
        <f>IF(SUMMARY!$B$13=TRUE,IF(COUNTBLANK(X84:X87)&gt;0,0,1),"")</f>
        <v>1</v>
      </c>
      <c r="Y83" s="49"/>
      <c r="Z83" s="49"/>
      <c r="AA83" s="50">
        <f>IF(SUMMARY!$B$14=TRUE,IF(COUNTBLANK(AA84:AA87)&gt;0,0,1),"")</f>
        <v>1</v>
      </c>
      <c r="AB83" s="49"/>
      <c r="AC83" s="49"/>
      <c r="AD83" s="50">
        <f>IF(SUMMARY!$B$15=TRUE,IF(COUNTBLANK(AD84:AD87)&gt;0,0,1),"")</f>
        <v>1</v>
      </c>
      <c r="AE83" s="49"/>
      <c r="AF83" s="49"/>
      <c r="AG83" s="50">
        <f>IF(SUMMARY!$B$16=TRUE,IF(COUNTBLANK(AG84:AG87)&gt;0,0,1),"")</f>
        <v>1</v>
      </c>
      <c r="AH83" s="49"/>
      <c r="AI83" s="49"/>
      <c r="AJ83" s="50">
        <f>IF(SUMMARY!$B$17=TRUE,IF(COUNTBLANK(AJ84:AJ87)&gt;0,0,1),"")</f>
        <v>1</v>
      </c>
      <c r="AK83" s="49"/>
      <c r="AL83" s="49"/>
      <c r="AM83" s="50">
        <f>IF(SUMMARY!$B$18=TRUE,IF(COUNTBLANK(AM84:AM87)&gt;0,0,1),"")</f>
        <v>1</v>
      </c>
      <c r="AN83" s="49"/>
      <c r="AO83" s="49"/>
      <c r="AP83" s="50" t="str">
        <f>IF(SUMMARY!$B$19=TRUE,IF(COUNTBLANK(AP84:AP87)&gt;0,0,1),"")</f>
        <v/>
      </c>
      <c r="AQ83" s="49"/>
      <c r="AR83" s="49"/>
      <c r="AS83" s="50" t="str">
        <f>IF(SUMMARY!$B$20=TRUE,IF(COUNTBLANK(AS84:AS87)&gt;0,0,1),"")</f>
        <v/>
      </c>
      <c r="AT83" s="49"/>
      <c r="AU83" s="49"/>
      <c r="AV83" s="50" t="str">
        <f>IF(SUMMARY!$B$21=TRUE,IF(COUNTBLANK(AV84:AV87)&gt;0,0,1),"")</f>
        <v/>
      </c>
      <c r="AW83" s="49"/>
      <c r="AX83" s="49"/>
      <c r="AY83" s="50" t="str">
        <f>IF(SUMMARY!$B$22=TRUE,IF(COUNTBLANK(AY84:AY87)&gt;0,0,1),"")</f>
        <v/>
      </c>
      <c r="AZ83" s="49"/>
      <c r="BA83" s="49"/>
      <c r="BB83" s="50" t="str">
        <f>IF(SUMMARY!$B$23=TRUE,IF(COUNTBLANK(BB84:BB87)&gt;0,0,1),"")</f>
        <v/>
      </c>
      <c r="BC83" s="49"/>
      <c r="BD83" s="49"/>
      <c r="BE83" s="50" t="str">
        <f>IF(SUMMARY!$B$24=TRUE,IF(COUNTBLANK(BE84:BE87)&gt;0,0,1),"")</f>
        <v/>
      </c>
      <c r="BF83" s="49"/>
      <c r="BG83" s="49"/>
      <c r="BH83" s="50" t="str">
        <f>IF(SUMMARY!$B$25=TRUE,IF(COUNTBLANK(BH84:BH87)&gt;0,0,1),"")</f>
        <v/>
      </c>
      <c r="BI83" s="49"/>
      <c r="BJ83" s="49"/>
      <c r="BK83" s="50" t="str">
        <f>IF(SUMMARY!$B$26=TRUE,IF(COUNTBLANK(BK84:BK87)&gt;0,0,1),"")</f>
        <v/>
      </c>
      <c r="BL83" s="49"/>
      <c r="BM83" s="49"/>
      <c r="BN83" s="50" t="str">
        <f>IF(SUMMARY!$B$27=TRUE,IF(COUNTBLANK(BN84:BN87)&gt;0,0,1),"")</f>
        <v/>
      </c>
      <c r="BO83" s="49"/>
      <c r="BP83" s="49"/>
      <c r="BQ83" s="50" t="str">
        <f>IF(SUMMARY!$B$28=TRUE,IF(COUNTBLANK(BQ84:BQ87)&gt;0,0,1),"")</f>
        <v/>
      </c>
      <c r="BR83" s="49"/>
      <c r="BS83" s="49"/>
      <c r="BT83" s="50" t="str">
        <f>IF(SUMMARY!$B$29=TRUE,IF(COUNTBLANK(BT84:BT87)&gt;0,0,1),"")</f>
        <v/>
      </c>
      <c r="BU83" s="49"/>
      <c r="BV83" s="49"/>
      <c r="BW83" s="50" t="str">
        <f>IF(SUMMARY!$B$30=TRUE,IF(COUNTBLANK(BW84:BW87)&gt;0,0,1),"")</f>
        <v/>
      </c>
      <c r="BX83" s="49"/>
      <c r="BY83" s="49"/>
      <c r="BZ83" s="50" t="str">
        <f>IF(SUMMARY!$B$31=TRUE,IF(COUNTBLANK(BZ84:BZ87)&gt;0,0,1),"")</f>
        <v/>
      </c>
      <c r="CA83" s="49"/>
      <c r="CB83" s="49"/>
      <c r="CC83" s="50" t="str">
        <f>IF(SUMMARY!$B$32=TRUE,IF(COUNTBLANK(CC84:CC87)&gt;0,0,1),"")</f>
        <v/>
      </c>
      <c r="CD83" s="49"/>
      <c r="CE83" s="49"/>
      <c r="CF83" s="50" t="str">
        <f>IF(SUMMARY!$B$33=TRUE,IF(COUNTBLANK(CF84:CF87)&gt;0,0,1),"")</f>
        <v/>
      </c>
      <c r="CG83" s="49"/>
      <c r="CH83" s="49"/>
      <c r="CI83" s="50" t="str">
        <f>IF(SUMMARY!$B$34=TRUE,IF(COUNTBLANK(CI84:CI87)&gt;0,0,1),"")</f>
        <v/>
      </c>
      <c r="CJ83" s="49"/>
      <c r="CK83" s="49"/>
      <c r="CL83" s="50" t="str">
        <f>IF(SUMMARY!$B$35=TRUE,IF(COUNTBLANK(CL84:CL87)&gt;0,0,1),"")</f>
        <v/>
      </c>
      <c r="CM83" s="49"/>
      <c r="CN83" s="49"/>
      <c r="CO83" s="51" t="str">
        <f>IF(SUMMARY!$B$36=TRUE,IF(COUNTBLANK(CO84:CO87)&gt;0,0,1),"")</f>
        <v/>
      </c>
      <c r="CP83" s="49"/>
      <c r="CQ83" s="49"/>
    </row>
    <row r="84" spans="1:95" s="13" customFormat="1" ht="15" customHeight="1" x14ac:dyDescent="0.2">
      <c r="A84" s="69" t="s">
        <v>32</v>
      </c>
      <c r="B84" s="69"/>
      <c r="C84" s="69"/>
      <c r="D84" s="329" t="s">
        <v>136</v>
      </c>
      <c r="E84" s="330"/>
      <c r="F84" s="294">
        <v>13</v>
      </c>
      <c r="G84" s="295"/>
      <c r="H84" s="295"/>
      <c r="I84" s="294">
        <v>13</v>
      </c>
      <c r="J84" s="295"/>
      <c r="K84" s="295"/>
      <c r="L84" s="294">
        <v>13</v>
      </c>
      <c r="M84" s="295"/>
      <c r="N84" s="295"/>
      <c r="O84" s="294">
        <v>12</v>
      </c>
      <c r="P84" s="295"/>
      <c r="Q84" s="295"/>
      <c r="R84" s="294">
        <v>12</v>
      </c>
      <c r="S84" s="295"/>
      <c r="T84" s="295"/>
      <c r="U84" s="294">
        <v>20</v>
      </c>
      <c r="V84" s="295"/>
      <c r="W84" s="295"/>
      <c r="X84" s="294">
        <v>20</v>
      </c>
      <c r="Y84" s="295"/>
      <c r="Z84" s="295"/>
      <c r="AA84" s="294">
        <v>14</v>
      </c>
      <c r="AB84" s="295"/>
      <c r="AC84" s="295"/>
      <c r="AD84" s="294">
        <v>20</v>
      </c>
      <c r="AE84" s="295"/>
      <c r="AF84" s="295"/>
      <c r="AG84" s="294">
        <v>10</v>
      </c>
      <c r="AH84" s="295"/>
      <c r="AI84" s="295"/>
      <c r="AJ84" s="294">
        <v>11</v>
      </c>
      <c r="AK84" s="295"/>
      <c r="AL84" s="295"/>
      <c r="AM84" s="294">
        <v>22</v>
      </c>
      <c r="AN84" s="295"/>
      <c r="AO84" s="295"/>
      <c r="AP84" s="294"/>
      <c r="AQ84" s="295"/>
      <c r="AR84" s="295"/>
      <c r="AS84" s="294"/>
      <c r="AT84" s="295"/>
      <c r="AU84" s="295"/>
      <c r="AV84" s="294"/>
      <c r="AW84" s="295"/>
      <c r="AX84" s="295"/>
      <c r="AY84" s="294"/>
      <c r="AZ84" s="295"/>
      <c r="BA84" s="295"/>
      <c r="BB84" s="294"/>
      <c r="BC84" s="295"/>
      <c r="BD84" s="295"/>
      <c r="BE84" s="294"/>
      <c r="BF84" s="295"/>
      <c r="BG84" s="295"/>
      <c r="BH84" s="294"/>
      <c r="BI84" s="295"/>
      <c r="BJ84" s="295"/>
      <c r="BK84" s="294"/>
      <c r="BL84" s="295"/>
      <c r="BM84" s="295"/>
      <c r="BN84" s="294"/>
      <c r="BO84" s="295"/>
      <c r="BP84" s="295"/>
      <c r="BQ84" s="294"/>
      <c r="BR84" s="295"/>
      <c r="BS84" s="295"/>
      <c r="BT84" s="294"/>
      <c r="BU84" s="295"/>
      <c r="BV84" s="295"/>
      <c r="BW84" s="294"/>
      <c r="BX84" s="295"/>
      <c r="BY84" s="295"/>
      <c r="BZ84" s="294"/>
      <c r="CA84" s="295"/>
      <c r="CB84" s="295"/>
      <c r="CC84" s="294"/>
      <c r="CD84" s="295"/>
      <c r="CE84" s="295"/>
      <c r="CF84" s="294"/>
      <c r="CG84" s="295"/>
      <c r="CH84" s="295"/>
      <c r="CI84" s="294"/>
      <c r="CJ84" s="295"/>
      <c r="CK84" s="295"/>
      <c r="CL84" s="294"/>
      <c r="CM84" s="295"/>
      <c r="CN84" s="295"/>
      <c r="CO84" s="294"/>
      <c r="CP84" s="295"/>
      <c r="CQ84" s="295"/>
    </row>
    <row r="85" spans="1:95" s="13" customFormat="1" ht="15" customHeight="1" x14ac:dyDescent="0.2">
      <c r="A85" s="62" t="s">
        <v>43</v>
      </c>
      <c r="B85" s="62" t="s">
        <v>32</v>
      </c>
      <c r="C85" s="62"/>
      <c r="D85" s="327" t="s">
        <v>137</v>
      </c>
      <c r="E85" s="328"/>
      <c r="F85" s="288" t="s">
        <v>46</v>
      </c>
      <c r="G85" s="289"/>
      <c r="H85" s="289"/>
      <c r="I85" s="288" t="s">
        <v>139</v>
      </c>
      <c r="J85" s="289"/>
      <c r="K85" s="289"/>
      <c r="L85" s="288" t="s">
        <v>139</v>
      </c>
      <c r="M85" s="289"/>
      <c r="N85" s="289"/>
      <c r="O85" s="288" t="s">
        <v>51</v>
      </c>
      <c r="P85" s="289"/>
      <c r="Q85" s="289"/>
      <c r="R85" s="288" t="s">
        <v>51</v>
      </c>
      <c r="S85" s="289"/>
      <c r="T85" s="289"/>
      <c r="U85" s="288" t="s">
        <v>139</v>
      </c>
      <c r="V85" s="289"/>
      <c r="W85" s="289"/>
      <c r="X85" s="288" t="s">
        <v>139</v>
      </c>
      <c r="Y85" s="289"/>
      <c r="Z85" s="289"/>
      <c r="AA85" s="288" t="s">
        <v>46</v>
      </c>
      <c r="AB85" s="289"/>
      <c r="AC85" s="289"/>
      <c r="AD85" s="288" t="s">
        <v>139</v>
      </c>
      <c r="AE85" s="289"/>
      <c r="AF85" s="289"/>
      <c r="AG85" s="288" t="s">
        <v>139</v>
      </c>
      <c r="AH85" s="289"/>
      <c r="AI85" s="289"/>
      <c r="AJ85" s="288" t="s">
        <v>51</v>
      </c>
      <c r="AK85" s="289"/>
      <c r="AL85" s="289"/>
      <c r="AM85" s="288" t="s">
        <v>132</v>
      </c>
      <c r="AN85" s="289"/>
      <c r="AO85" s="289"/>
      <c r="AP85" s="288"/>
      <c r="AQ85" s="289"/>
      <c r="AR85" s="289"/>
      <c r="AS85" s="288"/>
      <c r="AT85" s="289"/>
      <c r="AU85" s="289"/>
      <c r="AV85" s="288"/>
      <c r="AW85" s="289"/>
      <c r="AX85" s="289"/>
      <c r="AY85" s="288"/>
      <c r="AZ85" s="289"/>
      <c r="BA85" s="289"/>
      <c r="BB85" s="288"/>
      <c r="BC85" s="289"/>
      <c r="BD85" s="289"/>
      <c r="BE85" s="288"/>
      <c r="BF85" s="289"/>
      <c r="BG85" s="289"/>
      <c r="BH85" s="288"/>
      <c r="BI85" s="289"/>
      <c r="BJ85" s="289"/>
      <c r="BK85" s="288"/>
      <c r="BL85" s="289"/>
      <c r="BM85" s="289"/>
      <c r="BN85" s="288"/>
      <c r="BO85" s="289"/>
      <c r="BP85" s="289"/>
      <c r="BQ85" s="288"/>
      <c r="BR85" s="289"/>
      <c r="BS85" s="289"/>
      <c r="BT85" s="288"/>
      <c r="BU85" s="289"/>
      <c r="BV85" s="289"/>
      <c r="BW85" s="288"/>
      <c r="BX85" s="289"/>
      <c r="BY85" s="289"/>
      <c r="BZ85" s="288"/>
      <c r="CA85" s="289"/>
      <c r="CB85" s="289"/>
      <c r="CC85" s="288"/>
      <c r="CD85" s="289"/>
      <c r="CE85" s="289"/>
      <c r="CF85" s="288"/>
      <c r="CG85" s="289"/>
      <c r="CH85" s="289"/>
      <c r="CI85" s="288"/>
      <c r="CJ85" s="289"/>
      <c r="CK85" s="289"/>
      <c r="CL85" s="288"/>
      <c r="CM85" s="289"/>
      <c r="CN85" s="289"/>
      <c r="CO85" s="288"/>
      <c r="CP85" s="289"/>
      <c r="CQ85" s="289"/>
    </row>
    <row r="86" spans="1:95" s="13" customFormat="1" ht="15" customHeight="1" x14ac:dyDescent="0.2">
      <c r="A86" s="62" t="s">
        <v>32</v>
      </c>
      <c r="B86" s="62" t="s">
        <v>32</v>
      </c>
      <c r="C86" s="62"/>
      <c r="D86" s="327" t="s">
        <v>140</v>
      </c>
      <c r="E86" s="328"/>
      <c r="F86" s="288" t="s">
        <v>67</v>
      </c>
      <c r="G86" s="289"/>
      <c r="H86" s="289"/>
      <c r="I86" s="288" t="s">
        <v>46</v>
      </c>
      <c r="J86" s="289"/>
      <c r="K86" s="289"/>
      <c r="L86" s="288" t="s">
        <v>46</v>
      </c>
      <c r="M86" s="289"/>
      <c r="N86" s="289"/>
      <c r="O86" s="288" t="s">
        <v>72</v>
      </c>
      <c r="P86" s="289"/>
      <c r="Q86" s="289"/>
      <c r="R86" s="288" t="s">
        <v>67</v>
      </c>
      <c r="S86" s="289"/>
      <c r="T86" s="289"/>
      <c r="U86" s="288" t="s">
        <v>46</v>
      </c>
      <c r="V86" s="289"/>
      <c r="W86" s="289"/>
      <c r="X86" s="288" t="s">
        <v>46</v>
      </c>
      <c r="Y86" s="289"/>
      <c r="Z86" s="289"/>
      <c r="AA86" s="288" t="s">
        <v>72</v>
      </c>
      <c r="AB86" s="289"/>
      <c r="AC86" s="289"/>
      <c r="AD86" s="288" t="s">
        <v>51</v>
      </c>
      <c r="AE86" s="289"/>
      <c r="AF86" s="289"/>
      <c r="AG86" s="288" t="s">
        <v>72</v>
      </c>
      <c r="AH86" s="289"/>
      <c r="AI86" s="289"/>
      <c r="AJ86" s="288" t="s">
        <v>51</v>
      </c>
      <c r="AK86" s="289"/>
      <c r="AL86" s="289"/>
      <c r="AM86" s="288" t="s">
        <v>72</v>
      </c>
      <c r="AN86" s="289"/>
      <c r="AO86" s="289"/>
      <c r="AP86" s="288"/>
      <c r="AQ86" s="289"/>
      <c r="AR86" s="289"/>
      <c r="AS86" s="288"/>
      <c r="AT86" s="289"/>
      <c r="AU86" s="289"/>
      <c r="AV86" s="288"/>
      <c r="AW86" s="289"/>
      <c r="AX86" s="289"/>
      <c r="AY86" s="288"/>
      <c r="AZ86" s="289"/>
      <c r="BA86" s="289"/>
      <c r="BB86" s="288"/>
      <c r="BC86" s="289"/>
      <c r="BD86" s="289"/>
      <c r="BE86" s="288"/>
      <c r="BF86" s="289"/>
      <c r="BG86" s="289"/>
      <c r="BH86" s="288"/>
      <c r="BI86" s="289"/>
      <c r="BJ86" s="289"/>
      <c r="BK86" s="288"/>
      <c r="BL86" s="289"/>
      <c r="BM86" s="289"/>
      <c r="BN86" s="288"/>
      <c r="BO86" s="289"/>
      <c r="BP86" s="289"/>
      <c r="BQ86" s="288"/>
      <c r="BR86" s="289"/>
      <c r="BS86" s="289"/>
      <c r="BT86" s="288"/>
      <c r="BU86" s="289"/>
      <c r="BV86" s="289"/>
      <c r="BW86" s="288"/>
      <c r="BX86" s="289"/>
      <c r="BY86" s="289"/>
      <c r="BZ86" s="288"/>
      <c r="CA86" s="289"/>
      <c r="CB86" s="289"/>
      <c r="CC86" s="288"/>
      <c r="CD86" s="289"/>
      <c r="CE86" s="289"/>
      <c r="CF86" s="288"/>
      <c r="CG86" s="289"/>
      <c r="CH86" s="289"/>
      <c r="CI86" s="288"/>
      <c r="CJ86" s="289"/>
      <c r="CK86" s="289"/>
      <c r="CL86" s="288"/>
      <c r="CM86" s="289"/>
      <c r="CN86" s="289"/>
      <c r="CO86" s="288"/>
      <c r="CP86" s="289"/>
      <c r="CQ86" s="289"/>
    </row>
    <row r="87" spans="1:95" s="13" customFormat="1" ht="15" customHeight="1" x14ac:dyDescent="0.2">
      <c r="A87" s="58" t="s">
        <v>32</v>
      </c>
      <c r="B87" s="58" t="s">
        <v>43</v>
      </c>
      <c r="C87" s="58"/>
      <c r="D87" s="331" t="s">
        <v>141</v>
      </c>
      <c r="E87" s="332"/>
      <c r="F87" s="290" t="s">
        <v>142</v>
      </c>
      <c r="G87" s="291"/>
      <c r="H87" s="291"/>
      <c r="I87" s="290" t="s">
        <v>132</v>
      </c>
      <c r="J87" s="291"/>
      <c r="K87" s="291"/>
      <c r="L87" s="290" t="s">
        <v>51</v>
      </c>
      <c r="M87" s="291"/>
      <c r="N87" s="291"/>
      <c r="O87" s="290" t="s">
        <v>51</v>
      </c>
      <c r="P87" s="291"/>
      <c r="Q87" s="291"/>
      <c r="R87" s="290" t="s">
        <v>51</v>
      </c>
      <c r="S87" s="291"/>
      <c r="T87" s="291"/>
      <c r="U87" s="290" t="s">
        <v>46</v>
      </c>
      <c r="V87" s="291"/>
      <c r="W87" s="291"/>
      <c r="X87" s="290" t="s">
        <v>46</v>
      </c>
      <c r="Y87" s="291"/>
      <c r="Z87" s="291"/>
      <c r="AA87" s="290" t="s">
        <v>51</v>
      </c>
      <c r="AB87" s="291"/>
      <c r="AC87" s="291"/>
      <c r="AD87" s="290" t="s">
        <v>46</v>
      </c>
      <c r="AE87" s="291"/>
      <c r="AF87" s="291"/>
      <c r="AG87" s="290" t="s">
        <v>447</v>
      </c>
      <c r="AH87" s="291"/>
      <c r="AI87" s="291"/>
      <c r="AJ87" s="290" t="s">
        <v>280</v>
      </c>
      <c r="AK87" s="291"/>
      <c r="AL87" s="291"/>
      <c r="AM87" s="290" t="s">
        <v>142</v>
      </c>
      <c r="AN87" s="291"/>
      <c r="AO87" s="291"/>
      <c r="AP87" s="290"/>
      <c r="AQ87" s="291"/>
      <c r="AR87" s="291"/>
      <c r="AS87" s="290"/>
      <c r="AT87" s="291"/>
      <c r="AU87" s="291"/>
      <c r="AV87" s="290"/>
      <c r="AW87" s="291"/>
      <c r="AX87" s="291"/>
      <c r="AY87" s="290"/>
      <c r="AZ87" s="291"/>
      <c r="BA87" s="291"/>
      <c r="BB87" s="290"/>
      <c r="BC87" s="291"/>
      <c r="BD87" s="291"/>
      <c r="BE87" s="290"/>
      <c r="BF87" s="291"/>
      <c r="BG87" s="291"/>
      <c r="BH87" s="290"/>
      <c r="BI87" s="291"/>
      <c r="BJ87" s="291"/>
      <c r="BK87" s="290"/>
      <c r="BL87" s="291"/>
      <c r="BM87" s="291"/>
      <c r="BN87" s="290"/>
      <c r="BO87" s="291"/>
      <c r="BP87" s="291"/>
      <c r="BQ87" s="290"/>
      <c r="BR87" s="291"/>
      <c r="BS87" s="291"/>
      <c r="BT87" s="290"/>
      <c r="BU87" s="291"/>
      <c r="BV87" s="291"/>
      <c r="BW87" s="290"/>
      <c r="BX87" s="291"/>
      <c r="BY87" s="291"/>
      <c r="BZ87" s="290"/>
      <c r="CA87" s="291"/>
      <c r="CB87" s="291"/>
      <c r="CC87" s="290"/>
      <c r="CD87" s="291"/>
      <c r="CE87" s="291"/>
      <c r="CF87" s="290"/>
      <c r="CG87" s="291"/>
      <c r="CH87" s="291"/>
      <c r="CI87" s="290"/>
      <c r="CJ87" s="291"/>
      <c r="CK87" s="291"/>
      <c r="CL87" s="290"/>
      <c r="CM87" s="291"/>
      <c r="CN87" s="291"/>
      <c r="CO87" s="290"/>
      <c r="CP87" s="291"/>
      <c r="CQ87" s="291"/>
    </row>
    <row r="88" spans="1:95" s="1" customFormat="1" ht="18.75" customHeight="1" x14ac:dyDescent="0.2">
      <c r="A88" s="335" t="s">
        <v>144</v>
      </c>
      <c r="B88" s="335"/>
      <c r="C88" s="335"/>
      <c r="D88" s="335"/>
      <c r="E88" s="335"/>
      <c r="F88" s="48">
        <f>IF(SUMMARY!$B$7=TRUE,IF(COUNTBLANK(F89)&gt;0,0,1),"")</f>
        <v>1</v>
      </c>
      <c r="G88" s="49"/>
      <c r="H88" s="49"/>
      <c r="I88" s="50">
        <f>IF(SUMMARY!$B$8=TRUE,IF(COUNTBLANK(I89)&gt;0,0,1),"")</f>
        <v>1</v>
      </c>
      <c r="J88" s="49"/>
      <c r="K88" s="49"/>
      <c r="L88" s="50">
        <f>IF(SUMMARY!$B$9=TRUE,IF(COUNTBLANK(L89)&gt;0,0,1),"")</f>
        <v>1</v>
      </c>
      <c r="M88" s="49"/>
      <c r="N88" s="49"/>
      <c r="O88" s="50">
        <f>IF(SUMMARY!$B$10=TRUE,IF(COUNTBLANK(O89)&gt;0,0,1),"")</f>
        <v>1</v>
      </c>
      <c r="P88" s="49"/>
      <c r="Q88" s="49"/>
      <c r="R88" s="50">
        <f>IF(SUMMARY!$B$11=TRUE,IF(COUNTBLANK(R89)&gt;0,0,1),"")</f>
        <v>1</v>
      </c>
      <c r="S88" s="49"/>
      <c r="T88" s="49"/>
      <c r="U88" s="50">
        <f>IF(SUMMARY!$B$12=TRUE,IF(COUNTBLANK(U89)&gt;0,0,1),"")</f>
        <v>1</v>
      </c>
      <c r="V88" s="49"/>
      <c r="W88" s="49"/>
      <c r="X88" s="50">
        <f>IF(SUMMARY!$B$13=TRUE,IF(COUNTBLANK(X89)&gt;0,0,1),"")</f>
        <v>1</v>
      </c>
      <c r="Y88" s="49"/>
      <c r="Z88" s="49"/>
      <c r="AA88" s="50">
        <f>IF(SUMMARY!$B$14=TRUE,IF(COUNTBLANK(AA89)&gt;0,0,1),"")</f>
        <v>1</v>
      </c>
      <c r="AB88" s="49"/>
      <c r="AC88" s="49"/>
      <c r="AD88" s="50">
        <f>IF(SUMMARY!$B$15=TRUE,IF(COUNTBLANK(AD89)&gt;0,0,1),"")</f>
        <v>1</v>
      </c>
      <c r="AE88" s="49"/>
      <c r="AF88" s="49"/>
      <c r="AG88" s="50">
        <f>IF(SUMMARY!$B$16=TRUE,IF(COUNTBLANK(AG89)&gt;0,0,1),"")</f>
        <v>1</v>
      </c>
      <c r="AH88" s="49"/>
      <c r="AI88" s="49"/>
      <c r="AJ88" s="50">
        <f>IF(SUMMARY!$B$17=TRUE,IF(COUNTBLANK(AJ89)&gt;0,0,1),"")</f>
        <v>1</v>
      </c>
      <c r="AK88" s="49"/>
      <c r="AL88" s="49"/>
      <c r="AM88" s="50">
        <f>IF(SUMMARY!$B$18=TRUE,IF(COUNTBLANK(AM89)&gt;0,0,1),"")</f>
        <v>1</v>
      </c>
      <c r="AN88" s="49"/>
      <c r="AO88" s="49"/>
      <c r="AP88" s="50" t="str">
        <f>IF(SUMMARY!$B$19=TRUE,IF(COUNTBLANK(AP89)&gt;0,0,1),"")</f>
        <v/>
      </c>
      <c r="AQ88" s="49"/>
      <c r="AR88" s="49"/>
      <c r="AS88" s="50" t="str">
        <f>IF(SUMMARY!$B$20=TRUE,IF(COUNTBLANK(AS89)&gt;0,0,1),"")</f>
        <v/>
      </c>
      <c r="AT88" s="49"/>
      <c r="AU88" s="49"/>
      <c r="AV88" s="50" t="str">
        <f>IF(SUMMARY!$B$21=TRUE,IF(COUNTBLANK(AV89)&gt;0,0,1),"")</f>
        <v/>
      </c>
      <c r="AW88" s="49"/>
      <c r="AX88" s="49"/>
      <c r="AY88" s="50" t="str">
        <f>IF(SUMMARY!$B$22=TRUE,IF(COUNTBLANK(AY89)&gt;0,0,1),"")</f>
        <v/>
      </c>
      <c r="AZ88" s="49"/>
      <c r="BA88" s="49"/>
      <c r="BB88" s="50" t="str">
        <f>IF(SUMMARY!$B$23=TRUE,IF(COUNTBLANK(BB89)&gt;0,0,1),"")</f>
        <v/>
      </c>
      <c r="BC88" s="49"/>
      <c r="BD88" s="49"/>
      <c r="BE88" s="50" t="str">
        <f>IF(SUMMARY!$B$24=TRUE,IF(COUNTBLANK(BE89)&gt;0,0,1),"")</f>
        <v/>
      </c>
      <c r="BF88" s="49"/>
      <c r="BG88" s="49"/>
      <c r="BH88" s="50" t="str">
        <f>IF(SUMMARY!$B$25=TRUE,IF(COUNTBLANK(BH89)&gt;0,0,1),"")</f>
        <v/>
      </c>
      <c r="BI88" s="49"/>
      <c r="BJ88" s="49"/>
      <c r="BK88" s="50" t="str">
        <f>IF(SUMMARY!$B$26=TRUE,IF(COUNTBLANK(BK89)&gt;0,0,1),"")</f>
        <v/>
      </c>
      <c r="BL88" s="49"/>
      <c r="BM88" s="49"/>
      <c r="BN88" s="50" t="str">
        <f>IF(SUMMARY!$B$27=TRUE,IF(COUNTBLANK(BN89)&gt;0,0,1),"")</f>
        <v/>
      </c>
      <c r="BO88" s="49"/>
      <c r="BP88" s="49"/>
      <c r="BQ88" s="50" t="str">
        <f>IF(SUMMARY!$B$28=TRUE,IF(COUNTBLANK(BQ89)&gt;0,0,1),"")</f>
        <v/>
      </c>
      <c r="BR88" s="49"/>
      <c r="BS88" s="49"/>
      <c r="BT88" s="50" t="str">
        <f>IF(SUMMARY!$B$29=TRUE,IF(COUNTBLANK(BT89)&gt;0,0,1),"")</f>
        <v/>
      </c>
      <c r="BU88" s="49"/>
      <c r="BV88" s="49"/>
      <c r="BW88" s="50" t="str">
        <f>IF(SUMMARY!$B$30=TRUE,IF(COUNTBLANK(BW89)&gt;0,0,1),"")</f>
        <v/>
      </c>
      <c r="BX88" s="49"/>
      <c r="BY88" s="49"/>
      <c r="BZ88" s="50" t="str">
        <f>IF(SUMMARY!$B$31=TRUE,IF(COUNTBLANK(BZ89)&gt;0,0,1),"")</f>
        <v/>
      </c>
      <c r="CA88" s="49"/>
      <c r="CB88" s="49"/>
      <c r="CC88" s="50" t="str">
        <f>IF(SUMMARY!$B$32=TRUE,IF(COUNTBLANK(CC89)&gt;0,0,1),"")</f>
        <v/>
      </c>
      <c r="CD88" s="49"/>
      <c r="CE88" s="49"/>
      <c r="CF88" s="50" t="str">
        <f>IF(SUMMARY!$B$33=TRUE,IF(COUNTBLANK(CF89)&gt;0,0,1),"")</f>
        <v/>
      </c>
      <c r="CG88" s="49"/>
      <c r="CH88" s="49"/>
      <c r="CI88" s="50" t="str">
        <f>IF(SUMMARY!$B$34=TRUE,IF(COUNTBLANK(CI89)&gt;0,0,1),"")</f>
        <v/>
      </c>
      <c r="CJ88" s="49"/>
      <c r="CK88" s="49"/>
      <c r="CL88" s="50" t="str">
        <f>IF(SUMMARY!$B$35=TRUE,IF(COUNTBLANK(CL89)&gt;0,0,1),"")</f>
        <v/>
      </c>
      <c r="CM88" s="49"/>
      <c r="CN88" s="49"/>
      <c r="CO88" s="51" t="str">
        <f>IF(SUMMARY!$B$36=TRUE,IF(COUNTBLANK(CO89)&gt;0,0,1),"")</f>
        <v/>
      </c>
      <c r="CP88" s="49"/>
      <c r="CQ88" s="49"/>
    </row>
    <row r="89" spans="1:95" s="14" customFormat="1" ht="75" customHeight="1" x14ac:dyDescent="0.2">
      <c r="A89" s="71" t="s">
        <v>32</v>
      </c>
      <c r="B89" s="72" t="s">
        <v>32</v>
      </c>
      <c r="C89" s="72"/>
      <c r="D89" s="355" t="s">
        <v>145</v>
      </c>
      <c r="E89" s="356"/>
      <c r="F89" s="315" t="s">
        <v>438</v>
      </c>
      <c r="G89" s="316"/>
      <c r="H89" s="316"/>
      <c r="I89" s="315" t="s">
        <v>343</v>
      </c>
      <c r="J89" s="316"/>
      <c r="K89" s="316"/>
      <c r="L89" s="315" t="s">
        <v>405</v>
      </c>
      <c r="M89" s="316"/>
      <c r="N89" s="316"/>
      <c r="O89" s="315" t="s">
        <v>402</v>
      </c>
      <c r="P89" s="316"/>
      <c r="Q89" s="316"/>
      <c r="R89" s="315" t="s">
        <v>407</v>
      </c>
      <c r="S89" s="316"/>
      <c r="T89" s="316"/>
      <c r="U89" s="315" t="s">
        <v>410</v>
      </c>
      <c r="V89" s="316"/>
      <c r="W89" s="316"/>
      <c r="X89" s="315" t="s">
        <v>413</v>
      </c>
      <c r="Y89" s="316"/>
      <c r="Z89" s="316"/>
      <c r="AA89" s="315" t="s">
        <v>415</v>
      </c>
      <c r="AB89" s="316"/>
      <c r="AC89" s="316"/>
      <c r="AD89" s="315" t="s">
        <v>436</v>
      </c>
      <c r="AE89" s="316"/>
      <c r="AF89" s="316"/>
      <c r="AG89" s="315" t="s">
        <v>451</v>
      </c>
      <c r="AH89" s="316"/>
      <c r="AI89" s="316"/>
      <c r="AJ89" s="315" t="s">
        <v>467</v>
      </c>
      <c r="AK89" s="316"/>
      <c r="AL89" s="316"/>
      <c r="AM89" s="315" t="s">
        <v>484</v>
      </c>
      <c r="AN89" s="316"/>
      <c r="AO89" s="316"/>
      <c r="AP89" s="315"/>
      <c r="AQ89" s="316"/>
      <c r="AR89" s="316"/>
      <c r="AS89" s="315"/>
      <c r="AT89" s="316"/>
      <c r="AU89" s="316"/>
      <c r="AV89" s="315"/>
      <c r="AW89" s="316"/>
      <c r="AX89" s="316"/>
      <c r="AY89" s="315"/>
      <c r="AZ89" s="316"/>
      <c r="BA89" s="316"/>
      <c r="BB89" s="315"/>
      <c r="BC89" s="316"/>
      <c r="BD89" s="316"/>
      <c r="BE89" s="315"/>
      <c r="BF89" s="316"/>
      <c r="BG89" s="316"/>
      <c r="BH89" s="315"/>
      <c r="BI89" s="316"/>
      <c r="BJ89" s="316"/>
      <c r="BK89" s="315"/>
      <c r="BL89" s="316"/>
      <c r="BM89" s="316"/>
      <c r="BN89" s="315"/>
      <c r="BO89" s="316"/>
      <c r="BP89" s="316"/>
      <c r="BQ89" s="315"/>
      <c r="BR89" s="316"/>
      <c r="BS89" s="316"/>
      <c r="BT89" s="315"/>
      <c r="BU89" s="316"/>
      <c r="BV89" s="316"/>
      <c r="BW89" s="315"/>
      <c r="BX89" s="316"/>
      <c r="BY89" s="316"/>
      <c r="BZ89" s="315"/>
      <c r="CA89" s="316"/>
      <c r="CB89" s="316"/>
      <c r="CC89" s="315"/>
      <c r="CD89" s="316"/>
      <c r="CE89" s="316"/>
      <c r="CF89" s="315"/>
      <c r="CG89" s="316"/>
      <c r="CH89" s="316"/>
      <c r="CI89" s="315"/>
      <c r="CJ89" s="316"/>
      <c r="CK89" s="316"/>
      <c r="CL89" s="315"/>
      <c r="CM89" s="316"/>
      <c r="CN89" s="316"/>
      <c r="CO89" s="315"/>
      <c r="CP89" s="316"/>
      <c r="CQ89" s="316"/>
    </row>
    <row r="90" spans="1:95" s="1" customFormat="1" ht="18.75" customHeight="1" x14ac:dyDescent="0.2">
      <c r="A90" s="354" t="s">
        <v>146</v>
      </c>
      <c r="B90" s="354"/>
      <c r="C90" s="354"/>
      <c r="D90" s="354"/>
      <c r="E90" s="354"/>
      <c r="F90" s="54">
        <f>IF(SUMMARY!$B$7=TRUE,IF(F91="All information has been successfully registered",1,IF(AND(ISERROR(SEARCH("items",F91))=FALSE,F92&lt;&gt;""),1,0)),"")</f>
        <v>1</v>
      </c>
      <c r="G90" s="55"/>
      <c r="H90" s="55"/>
      <c r="I90" s="54">
        <f>IF(SUMMARY!$B$8=TRUE,IF(I91="All information has been successfully registered",1,IF(AND(ISERROR(SEARCH("items",I91))=FALSE,I92&lt;&gt;""),1,0)),"")</f>
        <v>1</v>
      </c>
      <c r="J90" s="55"/>
      <c r="K90" s="55"/>
      <c r="L90" s="54">
        <f>IF(SUMMARY!$B$9=TRUE,IF(L91="All information has been successfully registered",1,IF(AND(ISERROR(SEARCH("items",L91))=FALSE,L92&lt;&gt;""),1,0)),"")</f>
        <v>1</v>
      </c>
      <c r="M90" s="55"/>
      <c r="N90" s="55"/>
      <c r="O90" s="54">
        <f>IF(SUMMARY!$B$10=TRUE,IF(O91="All information has been successfully registered",1,IF(AND(ISERROR(SEARCH("items",O91))=FALSE,O92&lt;&gt;""),1,0)),"")</f>
        <v>1</v>
      </c>
      <c r="P90" s="55"/>
      <c r="Q90" s="55"/>
      <c r="R90" s="54">
        <f>IF(SUMMARY!$B$11=TRUE,IF(R91="All information has been successfully registered",1,IF(AND(ISERROR(SEARCH("items",R91))=FALSE,R92&lt;&gt;""),1,0)),"")</f>
        <v>1</v>
      </c>
      <c r="S90" s="55"/>
      <c r="T90" s="55"/>
      <c r="U90" s="54">
        <f>IF(SUMMARY!$B$12=TRUE,IF(U91="All information has been successfully registered",1,IF(AND(ISERROR(SEARCH("items",U91))=FALSE,U92&lt;&gt;""),1,0)),"")</f>
        <v>1</v>
      </c>
      <c r="V90" s="55"/>
      <c r="W90" s="55"/>
      <c r="X90" s="54">
        <f>IF(SUMMARY!$B$13=TRUE,IF(X91="All information has been successfully registered",1,IF(AND(ISERROR(SEARCH("items",X91))=FALSE,X92&lt;&gt;""),1,0)),"")</f>
        <v>1</v>
      </c>
      <c r="Y90" s="55"/>
      <c r="Z90" s="55"/>
      <c r="AA90" s="54">
        <f>IF(SUMMARY!$B$14=TRUE,IF(AA91="All information has been successfully registered",1,IF(AND(ISERROR(SEARCH("items",AA91))=FALSE,AA92&lt;&gt;""),1,0)),"")</f>
        <v>1</v>
      </c>
      <c r="AB90" s="55"/>
      <c r="AC90" s="55"/>
      <c r="AD90" s="54">
        <f>IF(SUMMARY!$B$15=TRUE,IF(AD91="All information has been successfully registered",1,IF(AND(ISERROR(SEARCH("items",AD91))=FALSE,AD92&lt;&gt;""),1,0)),"")</f>
        <v>1</v>
      </c>
      <c r="AE90" s="55"/>
      <c r="AF90" s="55"/>
      <c r="AG90" s="54">
        <f>IF(SUMMARY!$B$16=TRUE,IF(AG91="All information has been successfully registered",1,IF(AND(ISERROR(SEARCH("items",AG91))=FALSE,AG92&lt;&gt;""),1,0)),"")</f>
        <v>1</v>
      </c>
      <c r="AH90" s="55"/>
      <c r="AI90" s="55"/>
      <c r="AJ90" s="54">
        <f>IF(SUMMARY!$B$17=TRUE,IF(AJ91="All information has been successfully registered",1,IF(AND(ISERROR(SEARCH("items",AJ91))=FALSE,AJ92&lt;&gt;""),1,0)),"")</f>
        <v>1</v>
      </c>
      <c r="AK90" s="55"/>
      <c r="AL90" s="55"/>
      <c r="AM90" s="54">
        <f>IF(SUMMARY!$B$18=TRUE,IF(AM91="All information has been successfully registered",1,IF(AND(ISERROR(SEARCH("items",AM91))=FALSE,AM92&lt;&gt;""),1,0)),"")</f>
        <v>1</v>
      </c>
      <c r="AN90" s="55"/>
      <c r="AO90" s="55"/>
      <c r="AP90" s="54" t="str">
        <f>IF(SUMMARY!$B$19=TRUE,IF(AP91="All information has been successfully registered",1,IF(AND(ISERROR(SEARCH("items",AP91))=FALSE,AP92&lt;&gt;""),1,0)),"")</f>
        <v/>
      </c>
      <c r="AQ90" s="55"/>
      <c r="AR90" s="55"/>
      <c r="AS90" s="54" t="str">
        <f>IF(SUMMARY!$B$20=TRUE,IF(AS91="All information has been successfully registered",1,IF(AND(ISERROR(SEARCH("items",AS91))=FALSE,AS92&lt;&gt;""),1,0)),"")</f>
        <v/>
      </c>
      <c r="AT90" s="55"/>
      <c r="AU90" s="55"/>
      <c r="AV90" s="54" t="str">
        <f>IF(SUMMARY!$B$21=TRUE,IF(AV91="All information has been successfully registered",1,IF(AND(ISERROR(SEARCH("items",AV91))=FALSE,AV92&lt;&gt;""),1,0)),"")</f>
        <v/>
      </c>
      <c r="AW90" s="55"/>
      <c r="AX90" s="55"/>
      <c r="AY90" s="54" t="str">
        <f>IF(SUMMARY!$B$22=TRUE,IF(AY91="All information has been successfully registered",1,IF(AND(ISERROR(SEARCH("items",AY91))=FALSE,AY92&lt;&gt;""),1,0)),"")</f>
        <v/>
      </c>
      <c r="AZ90" s="55"/>
      <c r="BA90" s="55"/>
      <c r="BB90" s="54" t="str">
        <f>IF(SUMMARY!$B$23=TRUE,IF(BB91="All information has been successfully registered",1,IF(AND(ISERROR(SEARCH("items",BB91))=FALSE,BB92&lt;&gt;""),1,0)),"")</f>
        <v/>
      </c>
      <c r="BC90" s="55"/>
      <c r="BD90" s="55"/>
      <c r="BE90" s="54" t="str">
        <f>IF(SUMMARY!$B$24=TRUE,IF(BE91="All information has been successfully registered",1,IF(AND(ISERROR(SEARCH("items",BE91))=FALSE,BE92&lt;&gt;""),1,0)),"")</f>
        <v/>
      </c>
      <c r="BF90" s="55"/>
      <c r="BG90" s="55"/>
      <c r="BH90" s="54" t="str">
        <f>IF(SUMMARY!$B$25=TRUE,IF(BH91="All information has been successfully registered",1,IF(AND(ISERROR(SEARCH("items",BH91))=FALSE,BH92&lt;&gt;""),1,0)),"")</f>
        <v/>
      </c>
      <c r="BI90" s="55"/>
      <c r="BJ90" s="55"/>
      <c r="BK90" s="54" t="str">
        <f>IF(SUMMARY!$B$26=TRUE,IF(BK91="All information has been successfully registered",1,IF(AND(ISERROR(SEARCH("items",BK91))=FALSE,BK92&lt;&gt;""),1,0)),"")</f>
        <v/>
      </c>
      <c r="BL90" s="55"/>
      <c r="BM90" s="55"/>
      <c r="BN90" s="54" t="str">
        <f>IF(SUMMARY!$B$27=TRUE,IF(BN91="All information has been successfully registered",1,IF(AND(ISERROR(SEARCH("items",BN91))=FALSE,BN92&lt;&gt;""),1,0)),"")</f>
        <v/>
      </c>
      <c r="BO90" s="55"/>
      <c r="BP90" s="55"/>
      <c r="BQ90" s="54" t="str">
        <f>IF(SUMMARY!$B$28=TRUE,IF(BQ91="All information has been successfully registered",1,IF(AND(ISERROR(SEARCH("items",BQ91))=FALSE,BQ92&lt;&gt;""),1,0)),"")</f>
        <v/>
      </c>
      <c r="BR90" s="55"/>
      <c r="BS90" s="55"/>
      <c r="BT90" s="54" t="str">
        <f>IF(SUMMARY!$B$29=TRUE,IF(BT91="All information has been successfully registered",1,IF(AND(ISERROR(SEARCH("items",BT91))=FALSE,BT92&lt;&gt;""),1,0)),"")</f>
        <v/>
      </c>
      <c r="BU90" s="55"/>
      <c r="BV90" s="55"/>
      <c r="BW90" s="54" t="str">
        <f>IF(SUMMARY!$B$30=TRUE,IF(BW91="All information has been successfully registered",1,IF(AND(ISERROR(SEARCH("items",BW91))=FALSE,BW92&lt;&gt;""),1,0)),"")</f>
        <v/>
      </c>
      <c r="BX90" s="55"/>
      <c r="BY90" s="55"/>
      <c r="BZ90" s="54" t="str">
        <f>IF(SUMMARY!$B$31=TRUE,IF(BZ91="All information has been successfully registered",1,IF(AND(ISERROR(SEARCH("items",BZ91))=FALSE,BZ92&lt;&gt;""),1,0)),"")</f>
        <v/>
      </c>
      <c r="CA90" s="55"/>
      <c r="CB90" s="55"/>
      <c r="CC90" s="54" t="str">
        <f>IF(SUMMARY!$B$32=TRUE,IF(CC91="All information has been successfully registered",1,IF(AND(ISERROR(SEARCH("items",CC91))=FALSE,CC92&lt;&gt;""),1,0)),"")</f>
        <v/>
      </c>
      <c r="CD90" s="55"/>
      <c r="CE90" s="55"/>
      <c r="CF90" s="54" t="str">
        <f>IF(SUMMARY!$B$33=TRUE,IF(CF91="All information has been successfully registered",1,IF(AND(ISERROR(SEARCH("items",CF91))=FALSE,CF92&lt;&gt;""),1,0)),"")</f>
        <v/>
      </c>
      <c r="CG90" s="55"/>
      <c r="CH90" s="55"/>
      <c r="CI90" s="54" t="str">
        <f>IF(SUMMARY!$B$34=TRUE,IF(CI91="All information has been successfully registered",1,IF(AND(ISERROR(SEARCH("items",CI91))=FALSE,CI92&lt;&gt;""),1,0)),"")</f>
        <v/>
      </c>
      <c r="CJ90" s="55"/>
      <c r="CK90" s="55"/>
      <c r="CL90" s="54" t="str">
        <f>IF(SUMMARY!$B$35=TRUE,IF(CL91="All information has been successfully registered",1,IF(AND(ISERROR(SEARCH("items",CL91))=FALSE,CL92&lt;&gt;""),1,0)),"")</f>
        <v/>
      </c>
      <c r="CM90" s="55"/>
      <c r="CN90" s="55"/>
      <c r="CO90" s="56" t="str">
        <f>IF(SUMMARY!$B$36=TRUE,IF(CO91="All information has been successfully registered",1,IF(AND(ISERROR(SEARCH("items",CO91))=FALSE,CO92&lt;&gt;""),1,0)),"")</f>
        <v/>
      </c>
      <c r="CP90" s="55"/>
      <c r="CQ90" s="55"/>
    </row>
    <row r="91" spans="1:95" s="14" customFormat="1" ht="15" customHeight="1" x14ac:dyDescent="0.2">
      <c r="A91" s="73"/>
      <c r="B91" s="74"/>
      <c r="C91" s="74"/>
      <c r="D91" s="352" t="s">
        <v>147</v>
      </c>
      <c r="E91" s="353"/>
      <c r="F91" s="277" t="str">
        <f>IF(OR(F13=0,F15=0,F29=0,F37=0,F44=0,F49=0,F52=0,F57=0,F78=0,F83=0,F88=0)=TRUE,"Incomplete data extraction","All information has been successfully registered")</f>
        <v>All information has been successfully registered</v>
      </c>
      <c r="G91" s="278"/>
      <c r="H91" s="279"/>
      <c r="I91" s="277" t="str">
        <f>IF(OR(I13=0,I15=0,I29=0,I37=0,I44=0,I49=0,I52=0,I57=0,I78=0,I83=0,I88=0)=TRUE,"Incomplete data extraction","All information has been successfully registered")</f>
        <v>All information has been successfully registered</v>
      </c>
      <c r="J91" s="278"/>
      <c r="K91" s="279"/>
      <c r="L91" s="277" t="str">
        <f>IF(OR(L13=0,L15=0,L29=0,L37=0,L44=0,L49=0,L52=0,L57=0,L78=0,L83=0,L88=0)=TRUE,"Incomplete data extraction","All information has been successfully registered")</f>
        <v>All information has been successfully registered</v>
      </c>
      <c r="M91" s="278"/>
      <c r="N91" s="279"/>
      <c r="O91" s="277" t="str">
        <f>IF(OR(O13=0,O15=0,O29=0,O37=0,O44=0,O49=0,O52=0,O57=0,O78=0,O83=0,O88=0)=TRUE,"Incomplete data extraction","All information has been successfully registered")</f>
        <v>All information has been successfully registered</v>
      </c>
      <c r="P91" s="278"/>
      <c r="Q91" s="279"/>
      <c r="R91" s="277" t="str">
        <f>IF(OR(R13=0,R15=0,R29=0,R37=0,R44=0,R49=0,R52=0,R57=0,R78=0,R83=0,R88=0)=TRUE,"Incomplete data extraction","All information has been successfully registered")</f>
        <v>All information has been successfully registered</v>
      </c>
      <c r="S91" s="278"/>
      <c r="T91" s="279"/>
      <c r="U91" s="277" t="str">
        <f>IF(OR(U13=0,U15=0,U29=0,U37=0,U44=0,U49=0,U52=0,U57=0,U78=0,U83=0,U88=0)=TRUE,"Incomplete data extraction","All information has been successfully registered")</f>
        <v>All information has been successfully registered</v>
      </c>
      <c r="V91" s="278"/>
      <c r="W91" s="279"/>
      <c r="X91" s="277" t="str">
        <f>IF(OR(X13=0,X15=0,X29=0,X37=0,X44=0,X49=0,X52=0,X57=0,X78=0,X83=0,X88=0)=TRUE,"Incomplete data extraction","All information has been successfully registered")</f>
        <v>All information has been successfully registered</v>
      </c>
      <c r="Y91" s="278"/>
      <c r="Z91" s="279"/>
      <c r="AA91" s="277" t="str">
        <f>IF(OR(AA13=0,AA15=0,AA29=0,AA37=0,AA44=0,AA49=0,AA52=0,AA57=0,AA78=0,AA83=0,AA88=0)=TRUE,"Incomplete data extraction","All information has been successfully registered")</f>
        <v>All information has been successfully registered</v>
      </c>
      <c r="AB91" s="278"/>
      <c r="AC91" s="279"/>
      <c r="AD91" s="277" t="str">
        <f>IF(OR(AD13=0,AD15=0,AD29=0,AD37=0,AD44=0,AD49=0,AD52=0,AD57=0,AD78=0,AD83=0,AD88=0)=TRUE,"Incomplete data extraction","All information has been successfully registered")</f>
        <v>All information has been successfully registered</v>
      </c>
      <c r="AE91" s="278"/>
      <c r="AF91" s="279"/>
      <c r="AG91" s="277" t="str">
        <f>IF(OR(AG13=0,AG15=0,AG29=0,AG37=0,AG44=0,AG49=0,AG52=0,AG57=0,AG78=0,AG83=0,AG88=0)=TRUE,"Incomplete data extraction","All information has been successfully registered")</f>
        <v>All information has been successfully registered</v>
      </c>
      <c r="AH91" s="278"/>
      <c r="AI91" s="279"/>
      <c r="AJ91" s="277" t="str">
        <f>IF(OR(AJ13=0,AJ15=0,AJ29=0,AJ37=0,AJ44=0,AJ49=0,AJ52=0,AJ57=0,AJ78=0,AJ83=0,AJ88=0)=TRUE,"Incomplete data extraction","All information has been successfully registered")</f>
        <v>All information has been successfully registered</v>
      </c>
      <c r="AK91" s="278"/>
      <c r="AL91" s="279"/>
      <c r="AM91" s="277" t="str">
        <f>IF(OR(AM13=0,AM15=0,AM29=0,AM37=0,AM44=0,AM49=0,AM52=0,AM57=0,AM78=0,AM83=0,AM88=0)=TRUE,"Incomplete data extraction","All information has been successfully registered")</f>
        <v>All information has been successfully registered</v>
      </c>
      <c r="AN91" s="278"/>
      <c r="AO91" s="279"/>
      <c r="AP91" s="277" t="str">
        <f>IF(OR(AP13=0,AP15=0,AP29=0,AP37=0,AP44=0,AP49=0,AP52=0,AP57=0,AP78=0,AP83=0,AP88=0)=TRUE,"Incomplete data extraction","All information has been successfully registered")</f>
        <v>All information has been successfully registered</v>
      </c>
      <c r="AQ91" s="278"/>
      <c r="AR91" s="279"/>
      <c r="AS91" s="277" t="str">
        <f>IF(OR(AS13=0,AS15=0,AS29=0,AS37=0,AS44=0,AS49=0,AS52=0,AS57=0,AS78=0,AS83=0,AS88=0)=TRUE,"Incomplete data extraction","All information has been successfully registered")</f>
        <v>All information has been successfully registered</v>
      </c>
      <c r="AT91" s="278"/>
      <c r="AU91" s="279"/>
      <c r="AV91" s="277" t="str">
        <f>IF(OR(AV13=0,AV15=0,AV29=0,AV37=0,AV44=0,AV49=0,AV52=0,AV57=0,AV78=0,AV83=0,AV88=0)=TRUE,"Incomplete data extraction","All information has been successfully registered")</f>
        <v>All information has been successfully registered</v>
      </c>
      <c r="AW91" s="278"/>
      <c r="AX91" s="279"/>
      <c r="AY91" s="277" t="str">
        <f>IF(OR(AY13=0,AY15=0,AY29=0,AY37=0,AY44=0,AY49=0,AY52=0,AY57=0,AY78=0,AY83=0,AY88=0)=TRUE,"Incomplete data extraction","All information has been successfully registered")</f>
        <v>All information has been successfully registered</v>
      </c>
      <c r="AZ91" s="278"/>
      <c r="BA91" s="279"/>
      <c r="BB91" s="277" t="str">
        <f>IF(OR(BB13=0,BB15=0,BB29=0,BB37=0,BB44=0,BB49=0,BB52=0,BB57=0,BB78=0,BB83=0,BB88=0)=TRUE,"Incomplete data extraction","All information has been successfully registered")</f>
        <v>All information has been successfully registered</v>
      </c>
      <c r="BC91" s="278"/>
      <c r="BD91" s="279"/>
      <c r="BE91" s="277" t="str">
        <f>IF(OR(BE13=0,BE15=0,BE29=0,BE37=0,BE44=0,BE49=0,BE52=0,BE57=0,BE78=0,BE83=0,BE88=0)=TRUE,"Incomplete data extraction","All information has been successfully registered")</f>
        <v>All information has been successfully registered</v>
      </c>
      <c r="BF91" s="278"/>
      <c r="BG91" s="279"/>
      <c r="BH91" s="277" t="str">
        <f>IF(OR(BH13=0,BH15=0,BH29=0,BH37=0,BH44=0,BH49=0,BH52=0,BH57=0,BH78=0,BH83=0,BH88=0)=TRUE,"Incomplete data extraction","All information has been successfully registered")</f>
        <v>All information has been successfully registered</v>
      </c>
      <c r="BI91" s="278"/>
      <c r="BJ91" s="279"/>
      <c r="BK91" s="277" t="str">
        <f>IF(OR(BK13=0,BK15=0,BK29=0,BK37=0,BK44=0,BK49=0,BK52=0,BK57=0,BK78=0,BK83=0,BK88=0)=TRUE,"Incomplete data extraction","All information has been successfully registered")</f>
        <v>All information has been successfully registered</v>
      </c>
      <c r="BL91" s="278"/>
      <c r="BM91" s="279"/>
      <c r="BN91" s="277" t="str">
        <f>IF(OR(BN13=0,BN15=0,BN29=0,BN37=0,BN44=0,BN49=0,BN52=0,BN57=0,BN78=0,BN83=0,BN88=0)=TRUE,"Incomplete data extraction","All information has been successfully registered")</f>
        <v>All information has been successfully registered</v>
      </c>
      <c r="BO91" s="278"/>
      <c r="BP91" s="279"/>
      <c r="BQ91" s="277" t="str">
        <f>IF(OR(BQ13=0,BQ15=0,BQ29=0,BQ37=0,BQ44=0,BQ49=0,BQ52=0,BQ57=0,BQ78=0,BQ83=0,BQ88=0)=TRUE,"Incomplete data extraction","All information has been successfully registered")</f>
        <v>All information has been successfully registered</v>
      </c>
      <c r="BR91" s="278"/>
      <c r="BS91" s="279"/>
      <c r="BT91" s="277" t="str">
        <f>IF(OR(BT13=0,BT15=0,BT29=0,BT37=0,BT44=0,BT49=0,BT52=0,BT57=0,BT78=0,BT83=0,BT88=0)=TRUE,"Incomplete data extraction","All information has been successfully registered")</f>
        <v>All information has been successfully registered</v>
      </c>
      <c r="BU91" s="278"/>
      <c r="BV91" s="279"/>
      <c r="BW91" s="277" t="str">
        <f>IF(OR(BW13=0,BW15=0,BW29=0,BW37=0,BW44=0,BW49=0,BW52=0,BW57=0,BW78=0,BW83=0,BW88=0)=TRUE,"Incomplete data extraction","All information has been successfully registered")</f>
        <v>All information has been successfully registered</v>
      </c>
      <c r="BX91" s="278"/>
      <c r="BY91" s="279"/>
      <c r="BZ91" s="277" t="str">
        <f>IF(OR(BZ13=0,BZ15=0,BZ29=0,BZ37=0,BZ44=0,BZ49=0,BZ52=0,BZ57=0,BZ78=0,BZ83=0,BZ88=0)=TRUE,"Incomplete data extraction","All information has been successfully registered")</f>
        <v>All information has been successfully registered</v>
      </c>
      <c r="CA91" s="278"/>
      <c r="CB91" s="279"/>
      <c r="CC91" s="277" t="str">
        <f>IF(OR(CC13=0,CC15=0,CC29=0,CC37=0,CC44=0,CC49=0,CC52=0,CC57=0,CC78=0,CC83=0,CC88=0)=TRUE,"Incomplete data extraction","All information has been successfully registered")</f>
        <v>All information has been successfully registered</v>
      </c>
      <c r="CD91" s="278"/>
      <c r="CE91" s="279"/>
      <c r="CF91" s="277" t="str">
        <f>IF(OR(CF13=0,CF15=0,CF29=0,CF37=0,CF44=0,CF49=0,CF52=0,CF57=0,CF78=0,CF83=0,CF88=0)=TRUE,"Incomplete data extraction","All information has been successfully registered")</f>
        <v>All information has been successfully registered</v>
      </c>
      <c r="CG91" s="278"/>
      <c r="CH91" s="279"/>
      <c r="CI91" s="277" t="str">
        <f>IF(OR(CI13=0,CI15=0,CI29=0,CI37=0,CI44=0,CI49=0,CI52=0,CI57=0,CI78=0,CI83=0,CI88=0)=TRUE,"Incomplete data extraction","All information has been successfully registered")</f>
        <v>All information has been successfully registered</v>
      </c>
      <c r="CJ91" s="278"/>
      <c r="CK91" s="279"/>
      <c r="CL91" s="277" t="str">
        <f>IF(OR(CL13=0,CL15=0,CL29=0,CL37=0,CL44=0,CL49=0,CL52=0,CL57=0,CL78=0,CL83=0,CL88=0)=TRUE,"Incomplete data extraction","All information has been successfully registered")</f>
        <v>All information has been successfully registered</v>
      </c>
      <c r="CM91" s="278"/>
      <c r="CN91" s="279"/>
      <c r="CO91" s="277" t="str">
        <f>IF(OR(CO13=0,CO15=0,CO29=0,CO37=0,CO44=0,CO49=0,CO52=0,CO57=0,CO78=0,CO83=0,CO88=0)=TRUE,"Incomplete data extraction","All information has been successfully registered")</f>
        <v>All information has been successfully registered</v>
      </c>
      <c r="CP91" s="278"/>
      <c r="CQ91" s="278"/>
    </row>
    <row r="92" spans="1:95" s="14" customFormat="1" ht="90" customHeight="1" thickBot="1" x14ac:dyDescent="0.25">
      <c r="A92" s="75"/>
      <c r="B92" s="76"/>
      <c r="C92" s="76"/>
      <c r="D92" s="350" t="s">
        <v>148</v>
      </c>
      <c r="E92" s="351"/>
      <c r="F92" s="324" t="s">
        <v>328</v>
      </c>
      <c r="G92" s="325"/>
      <c r="H92" s="326"/>
      <c r="I92" s="324" t="s">
        <v>344</v>
      </c>
      <c r="J92" s="325"/>
      <c r="K92" s="326"/>
      <c r="L92" s="324" t="s">
        <v>406</v>
      </c>
      <c r="M92" s="325"/>
      <c r="N92" s="326"/>
      <c r="O92" s="324" t="s">
        <v>403</v>
      </c>
      <c r="P92" s="325"/>
      <c r="Q92" s="326"/>
      <c r="R92" s="324" t="s">
        <v>408</v>
      </c>
      <c r="S92" s="325"/>
      <c r="T92" s="326"/>
      <c r="U92" s="324" t="s">
        <v>411</v>
      </c>
      <c r="V92" s="325"/>
      <c r="W92" s="326"/>
      <c r="X92" s="324"/>
      <c r="Y92" s="325"/>
      <c r="Z92" s="326"/>
      <c r="AA92" s="324"/>
      <c r="AB92" s="325"/>
      <c r="AC92" s="326"/>
      <c r="AD92" s="324"/>
      <c r="AE92" s="325"/>
      <c r="AF92" s="326"/>
      <c r="AG92" s="324"/>
      <c r="AH92" s="325"/>
      <c r="AI92" s="326"/>
      <c r="AJ92" s="324"/>
      <c r="AK92" s="325"/>
      <c r="AL92" s="326"/>
      <c r="AM92" s="324"/>
      <c r="AN92" s="325"/>
      <c r="AO92" s="326"/>
      <c r="AP92" s="324"/>
      <c r="AQ92" s="325"/>
      <c r="AR92" s="326"/>
      <c r="AS92" s="324"/>
      <c r="AT92" s="325"/>
      <c r="AU92" s="326"/>
      <c r="AV92" s="324"/>
      <c r="AW92" s="325"/>
      <c r="AX92" s="326"/>
      <c r="AY92" s="324"/>
      <c r="AZ92" s="325"/>
      <c r="BA92" s="326"/>
      <c r="BB92" s="324"/>
      <c r="BC92" s="325"/>
      <c r="BD92" s="326"/>
      <c r="BE92" s="324"/>
      <c r="BF92" s="325"/>
      <c r="BG92" s="326"/>
      <c r="BH92" s="324"/>
      <c r="BI92" s="325"/>
      <c r="BJ92" s="326"/>
      <c r="BK92" s="324"/>
      <c r="BL92" s="325"/>
      <c r="BM92" s="326"/>
      <c r="BN92" s="324"/>
      <c r="BO92" s="325"/>
      <c r="BP92" s="326"/>
      <c r="BQ92" s="324"/>
      <c r="BR92" s="325"/>
      <c r="BS92" s="326"/>
      <c r="BT92" s="324"/>
      <c r="BU92" s="325"/>
      <c r="BV92" s="326"/>
      <c r="BW92" s="324"/>
      <c r="BX92" s="325"/>
      <c r="BY92" s="326"/>
      <c r="BZ92" s="324"/>
      <c r="CA92" s="325"/>
      <c r="CB92" s="326"/>
      <c r="CC92" s="324"/>
      <c r="CD92" s="325"/>
      <c r="CE92" s="326"/>
      <c r="CF92" s="324"/>
      <c r="CG92" s="325"/>
      <c r="CH92" s="326"/>
      <c r="CI92" s="324"/>
      <c r="CJ92" s="325"/>
      <c r="CK92" s="326"/>
      <c r="CL92" s="324"/>
      <c r="CM92" s="325"/>
      <c r="CN92" s="326"/>
      <c r="CO92" s="324"/>
      <c r="CP92" s="325"/>
      <c r="CQ92" s="325"/>
    </row>
    <row r="93" spans="1:95" s="82" customFormat="1" x14ac:dyDescent="0.2">
      <c r="A93" s="77" t="s">
        <v>149</v>
      </c>
      <c r="B93" s="78"/>
      <c r="C93" s="77"/>
      <c r="D93" s="77"/>
      <c r="E93" s="77"/>
      <c r="F93" s="81"/>
      <c r="G93" s="81"/>
      <c r="H93" s="81"/>
      <c r="I93" s="81"/>
      <c r="J93" s="81"/>
      <c r="K93" s="81"/>
      <c r="L93" s="81"/>
      <c r="M93" s="81"/>
      <c r="N93" s="81"/>
      <c r="O93" s="81"/>
      <c r="P93" s="81"/>
      <c r="Q93" s="81"/>
      <c r="R93" s="81"/>
      <c r="S93" s="81"/>
      <c r="T93" s="81"/>
      <c r="U93" s="81"/>
      <c r="V93" s="81"/>
      <c r="W93" s="81"/>
      <c r="X93" s="81"/>
      <c r="Y93" s="81"/>
      <c r="Z93" s="81"/>
      <c r="AA93" s="81"/>
      <c r="AB93" s="81"/>
      <c r="AC93" s="81"/>
      <c r="AD93" s="81"/>
      <c r="AE93" s="81"/>
      <c r="AF93" s="81"/>
      <c r="AG93" s="81"/>
      <c r="AH93" s="81"/>
      <c r="AI93" s="81"/>
      <c r="AJ93" s="81"/>
      <c r="AK93" s="81"/>
      <c r="AL93" s="81"/>
      <c r="AM93" s="81"/>
      <c r="AN93" s="81"/>
      <c r="AO93" s="81"/>
      <c r="AP93" s="81"/>
      <c r="AQ93" s="81"/>
      <c r="AR93" s="81"/>
      <c r="AS93" s="81"/>
      <c r="AT93" s="81"/>
      <c r="AU93" s="81"/>
      <c r="AV93" s="81"/>
      <c r="AW93" s="81"/>
      <c r="AX93" s="81"/>
      <c r="AY93" s="81"/>
      <c r="AZ93" s="81"/>
      <c r="BA93" s="81"/>
      <c r="BB93" s="81"/>
      <c r="BC93" s="81"/>
      <c r="BD93" s="81"/>
      <c r="BE93" s="81"/>
      <c r="BF93" s="81"/>
      <c r="BG93" s="81"/>
      <c r="BH93" s="81"/>
      <c r="BI93" s="81"/>
      <c r="BJ93" s="81"/>
      <c r="BK93" s="81"/>
      <c r="BL93" s="81"/>
      <c r="BM93" s="81"/>
      <c r="BN93" s="81"/>
      <c r="BO93" s="81"/>
      <c r="BP93" s="81"/>
      <c r="BQ93" s="81"/>
      <c r="BR93" s="81"/>
      <c r="BS93" s="81"/>
      <c r="BT93" s="81"/>
      <c r="BU93" s="81"/>
      <c r="BV93" s="81"/>
      <c r="BW93" s="81"/>
      <c r="BX93" s="81"/>
      <c r="BY93" s="81"/>
      <c r="BZ93" s="81"/>
      <c r="CA93" s="81"/>
      <c r="CB93" s="81"/>
      <c r="CC93" s="81"/>
      <c r="CD93" s="81"/>
      <c r="CE93" s="81"/>
      <c r="CF93" s="81"/>
      <c r="CG93" s="81"/>
      <c r="CH93" s="81"/>
      <c r="CI93" s="81"/>
      <c r="CJ93" s="81"/>
      <c r="CK93" s="81"/>
      <c r="CL93" s="81"/>
      <c r="CM93" s="81"/>
      <c r="CN93" s="81"/>
      <c r="CO93" s="81"/>
      <c r="CP93" s="81"/>
      <c r="CQ93" s="81"/>
    </row>
    <row r="94" spans="1:95" s="82" customFormat="1" x14ac:dyDescent="0.2">
      <c r="A94" s="83"/>
      <c r="B94" s="83"/>
      <c r="C94" s="84"/>
      <c r="D94" s="84"/>
      <c r="E94" s="84"/>
    </row>
    <row r="95" spans="1:95" s="87" customFormat="1" ht="15" customHeight="1" x14ac:dyDescent="0.2">
      <c r="A95" s="85"/>
      <c r="B95" s="85"/>
      <c r="C95" s="86"/>
      <c r="D95" s="86"/>
      <c r="E95" s="86"/>
      <c r="F95" s="87">
        <f>IF(F8="","NA",COUNTBLANK(F8:F12)+COUNTBLANK(F14)+COUNTBLANK(F16:F22)+COUNTBLANK(F30:F36)+COUNTBLANK(F38:F43)+COUNTBLANK(F45:F48)+COUNTBLANK(F50:F51)+COUNTBLANK(F53:F56)+COUNTBLANK(F58:F74)+COUNTBLANK(F79:F82)+COUNTBLANK(F84:F87)+COUNTBLANK(F89))</f>
        <v>1</v>
      </c>
      <c r="I95" s="87">
        <f>IF(I8="","NA",COUNTBLANK(I8:I12)+COUNTBLANK(I14)+COUNTBLANK(I16:I22)+COUNTBLANK(I30:I36)+COUNTBLANK(I38:I43)+COUNTBLANK(I45:I48)+COUNTBLANK(I50:I51)+COUNTBLANK(I53:I56)+COUNTBLANK(I58:I74)+COUNTBLANK(I79:I82)+COUNTBLANK(I84:I87)+COUNTBLANK(I89))</f>
        <v>1</v>
      </c>
      <c r="L95" s="87">
        <f>IF(L8="","NA",COUNTBLANK(L8:L12)+COUNTBLANK(L14)+COUNTBLANK(L16:L22)+COUNTBLANK(L30:L36)+COUNTBLANK(L38:L43)+COUNTBLANK(L45:L48)+COUNTBLANK(L50:L51)+COUNTBLANK(L53:L56)+COUNTBLANK(L58:L74)+COUNTBLANK(L79:L82)+COUNTBLANK(L84:L87)+COUNTBLANK(L89))</f>
        <v>1</v>
      </c>
      <c r="O95" s="87">
        <f>IF(O8="","NA",COUNTBLANK(O8:O12)+COUNTBLANK(O14)+COUNTBLANK(O16:O22)+COUNTBLANK(O30:O36)+COUNTBLANK(O38:O43)+COUNTBLANK(O45:O48)+COUNTBLANK(O50:O51)+COUNTBLANK(O53:O56)+COUNTBLANK(O58:O74)+COUNTBLANK(O79:O82)+COUNTBLANK(O84:O87)+COUNTBLANK(O89))</f>
        <v>1</v>
      </c>
      <c r="R95" s="87">
        <f>IF(R8="","NA",COUNTBLANK(R8:R12)+COUNTBLANK(R14)+COUNTBLANK(R16:R22)+COUNTBLANK(R30:R36)+COUNTBLANK(R38:R43)+COUNTBLANK(R45:R48)+COUNTBLANK(R50:R51)+COUNTBLANK(R53:R56)+COUNTBLANK(R58:R74)+COUNTBLANK(R79:R82)+COUNTBLANK(R84:R87)+COUNTBLANK(R89))</f>
        <v>1</v>
      </c>
      <c r="U95" s="87">
        <f>IF(U8="","NA",COUNTBLANK(U8:U12)+COUNTBLANK(U14)+COUNTBLANK(U16:U22)+COUNTBLANK(U30:U36)+COUNTBLANK(U38:U43)+COUNTBLANK(U45:U48)+COUNTBLANK(U50:U51)+COUNTBLANK(U53:U56)+COUNTBLANK(U58:U74)+COUNTBLANK(U79:U82)+COUNTBLANK(U84:U87)+COUNTBLANK(U89))</f>
        <v>1</v>
      </c>
      <c r="X95" s="87">
        <f>IF(X8="","NA",COUNTBLANK(X8:X12)+COUNTBLANK(X14)+COUNTBLANK(X16:X22)+COUNTBLANK(X30:X36)+COUNTBLANK(X38:X43)+COUNTBLANK(X45:X48)+COUNTBLANK(X50:X51)+COUNTBLANK(X53:X56)+COUNTBLANK(X58:X74)+COUNTBLANK(X79:X82)+COUNTBLANK(X84:X87)+COUNTBLANK(X89))</f>
        <v>1</v>
      </c>
      <c r="AA95" s="87">
        <f>IF(AA8="","NA",COUNTBLANK(AA8:AA12)+COUNTBLANK(AA14)+COUNTBLANK(AA16:AA22)+COUNTBLANK(AA30:AA36)+COUNTBLANK(AA38:AA43)+COUNTBLANK(AA45:AA48)+COUNTBLANK(AA50:AA51)+COUNTBLANK(AA53:AA56)+COUNTBLANK(AA58:AA74)+COUNTBLANK(AA79:AA82)+COUNTBLANK(AA84:AA87)+COUNTBLANK(AA89))</f>
        <v>1</v>
      </c>
      <c r="AD95" s="87">
        <f>IF(AD8="","NA",COUNTBLANK(AD8:AD12)+COUNTBLANK(AD14)+COUNTBLANK(AD16:AD22)+COUNTBLANK(AD30:AD36)+COUNTBLANK(AD38:AD43)+COUNTBLANK(AD45:AD48)+COUNTBLANK(AD50:AD51)+COUNTBLANK(AD53:AD56)+COUNTBLANK(AD58:AD74)+COUNTBLANK(AD79:AD82)+COUNTBLANK(AD84:AD87)+COUNTBLANK(AD89))</f>
        <v>1</v>
      </c>
      <c r="AG95" s="87">
        <f>IF(AG8="","NA",COUNTBLANK(AG8:AG12)+COUNTBLANK(AG14)+COUNTBLANK(AG16:AG22)+COUNTBLANK(AG30:AG36)+COUNTBLANK(AG38:AG43)+COUNTBLANK(AG45:AG48)+COUNTBLANK(AG50:AG51)+COUNTBLANK(AG53:AG56)+COUNTBLANK(AG58:AG74)+COUNTBLANK(AG79:AG82)+COUNTBLANK(AG84:AG87)+COUNTBLANK(AG89))</f>
        <v>1</v>
      </c>
      <c r="AJ95" s="87">
        <f>IF(AJ8="","NA",COUNTBLANK(AJ8:AJ12)+COUNTBLANK(AJ14)+COUNTBLANK(AJ16:AJ22)+COUNTBLANK(AJ30:AJ36)+COUNTBLANK(AJ38:AJ43)+COUNTBLANK(AJ45:AJ48)+COUNTBLANK(AJ50:AJ51)+COUNTBLANK(AJ53:AJ56)+COUNTBLANK(AJ58:AJ74)+COUNTBLANK(AJ79:AJ82)+COUNTBLANK(AJ84:AJ87)+COUNTBLANK(AJ89))</f>
        <v>1</v>
      </c>
      <c r="AM95" s="87">
        <f>IF(AM8="","NA",COUNTBLANK(AM8:AM12)+COUNTBLANK(AM14)+COUNTBLANK(AM16:AM22)+COUNTBLANK(AM30:AM36)+COUNTBLANK(AM38:AM43)+COUNTBLANK(AM45:AM48)+COUNTBLANK(AM50:AM51)+COUNTBLANK(AM53:AM56)+COUNTBLANK(AM58:AM74)+COUNTBLANK(AM79:AM82)+COUNTBLANK(AM84:AM87)+COUNTBLANK(AM89))</f>
        <v>1</v>
      </c>
      <c r="AP95" s="87" t="str">
        <f>IF(AP8="","NA",COUNTBLANK(AP8:AP12)+COUNTBLANK(AP14)+COUNTBLANK(AP16:AP22)+COUNTBLANK(AP30:AP36)+COUNTBLANK(AP38:AP43)+COUNTBLANK(AP45:AP48)+COUNTBLANK(AP50:AP51)+COUNTBLANK(AP53:AP56)+COUNTBLANK(AP58:AP74)+COUNTBLANK(AP79:AP82)+COUNTBLANK(AP84:AP87)+COUNTBLANK(AP89))</f>
        <v>NA</v>
      </c>
      <c r="AS95" s="87" t="str">
        <f>IF(AS8="","NA",COUNTBLANK(AS8:AS12)+COUNTBLANK(AS14)+COUNTBLANK(AS16:AS22)+COUNTBLANK(AS30:AS36)+COUNTBLANK(AS38:AS43)+COUNTBLANK(AS45:AS48)+COUNTBLANK(AS50:AS51)+COUNTBLANK(AS53:AS56)+COUNTBLANK(AS58:AS74)+COUNTBLANK(AS79:AS82)+COUNTBLANK(AS84:AS87)+COUNTBLANK(AS89))</f>
        <v>NA</v>
      </c>
      <c r="AV95" s="87" t="str">
        <f>IF(AV8="","NA",COUNTBLANK(AV8:AV12)+COUNTBLANK(AV14)+COUNTBLANK(AV16:AV22)+COUNTBLANK(AV30:AV36)+COUNTBLANK(AV38:AV43)+COUNTBLANK(AV45:AV48)+COUNTBLANK(AV50:AV51)+COUNTBLANK(AV53:AV56)+COUNTBLANK(AV58:AV74)+COUNTBLANK(AV79:AV82)+COUNTBLANK(AV84:AV87)+COUNTBLANK(AV89))</f>
        <v>NA</v>
      </c>
      <c r="AY95" s="87" t="str">
        <f>IF(AY8="","NA",COUNTBLANK(AY8:AY12)+COUNTBLANK(AY14)+COUNTBLANK(AY16:AY22)+COUNTBLANK(AY30:AY36)+COUNTBLANK(AY38:AY43)+COUNTBLANK(AY45:AY48)+COUNTBLANK(AY50:AY51)+COUNTBLANK(AY53:AY56)+COUNTBLANK(AY58:AY74)+COUNTBLANK(AY79:AY82)+COUNTBLANK(AY84:AY87)+COUNTBLANK(AY89))</f>
        <v>NA</v>
      </c>
      <c r="BB95" s="87" t="str">
        <f>IF(BB8="","NA",COUNTBLANK(BB8:BB12)+COUNTBLANK(BB14)+COUNTBLANK(BB16:BB22)+COUNTBLANK(BB30:BB36)+COUNTBLANK(BB38:BB43)+COUNTBLANK(BB45:BB48)+COUNTBLANK(BB50:BB51)+COUNTBLANK(BB53:BB56)+COUNTBLANK(BB58:BB74)+COUNTBLANK(BB79:BB82)+COUNTBLANK(BB84:BB87)+COUNTBLANK(BB89))</f>
        <v>NA</v>
      </c>
      <c r="BE95" s="87" t="str">
        <f>IF(BE8="","NA",COUNTBLANK(BE8:BE12)+COUNTBLANK(BE14)+COUNTBLANK(BE16:BE22)+COUNTBLANK(BE30:BE36)+COUNTBLANK(BE38:BE43)+COUNTBLANK(BE45:BE48)+COUNTBLANK(BE50:BE51)+COUNTBLANK(BE53:BE56)+COUNTBLANK(BE58:BE74)+COUNTBLANK(BE79:BE82)+COUNTBLANK(BE84:BE87)+COUNTBLANK(BE89))</f>
        <v>NA</v>
      </c>
      <c r="BH95" s="87" t="str">
        <f>IF(BH8="","NA",COUNTBLANK(BH8:BH12)+COUNTBLANK(BH14)+COUNTBLANK(BH16:BH22)+COUNTBLANK(BH30:BH36)+COUNTBLANK(BH38:BH43)+COUNTBLANK(BH45:BH48)+COUNTBLANK(BH50:BH51)+COUNTBLANK(BH53:BH56)+COUNTBLANK(BH58:BH74)+COUNTBLANK(BH79:BH82)+COUNTBLANK(BH84:BH87)+COUNTBLANK(BH89))</f>
        <v>NA</v>
      </c>
      <c r="BK95" s="87" t="str">
        <f>IF(BK8="","NA",COUNTBLANK(BK8:BK12)+COUNTBLANK(BK14)+COUNTBLANK(BK16:BK22)+COUNTBLANK(BK30:BK36)+COUNTBLANK(BK38:BK43)+COUNTBLANK(BK45:BK48)+COUNTBLANK(BK50:BK51)+COUNTBLANK(BK53:BK56)+COUNTBLANK(BK58:BK74)+COUNTBLANK(BK79:BK82)+COUNTBLANK(BK84:BK87)+COUNTBLANK(BK89))</f>
        <v>NA</v>
      </c>
      <c r="BN95" s="87" t="str">
        <f>IF(BN8="","NA",COUNTBLANK(BN8:BN12)+COUNTBLANK(BN14)+COUNTBLANK(BN16:BN22)+COUNTBLANK(BN30:BN36)+COUNTBLANK(BN38:BN43)+COUNTBLANK(BN45:BN48)+COUNTBLANK(BN50:BN51)+COUNTBLANK(BN53:BN56)+COUNTBLANK(BN58:BN74)+COUNTBLANK(BN79:BN82)+COUNTBLANK(BN84:BN87)+COUNTBLANK(BN89))</f>
        <v>NA</v>
      </c>
      <c r="BQ95" s="87" t="str">
        <f>IF(BQ8="","NA",COUNTBLANK(BQ8:BQ12)+COUNTBLANK(BQ14)+COUNTBLANK(BQ16:BQ22)+COUNTBLANK(BQ30:BQ36)+COUNTBLANK(BQ38:BQ43)+COUNTBLANK(BQ45:BQ48)+COUNTBLANK(BQ50:BQ51)+COUNTBLANK(BQ53:BQ56)+COUNTBLANK(BQ58:BQ74)+COUNTBLANK(BQ79:BQ82)+COUNTBLANK(BQ84:BQ87)+COUNTBLANK(BQ89))</f>
        <v>NA</v>
      </c>
      <c r="BT95" s="87" t="str">
        <f>IF(BT8="","NA",COUNTBLANK(BT8:BT12)+COUNTBLANK(BT14)+COUNTBLANK(BT16:BT22)+COUNTBLANK(BT30:BT36)+COUNTBLANK(BT38:BT43)+COUNTBLANK(BT45:BT48)+COUNTBLANK(BT50:BT51)+COUNTBLANK(BT53:BT56)+COUNTBLANK(BT58:BT74)+COUNTBLANK(BT79:BT82)+COUNTBLANK(BT84:BT87)+COUNTBLANK(BT89))</f>
        <v>NA</v>
      </c>
      <c r="BW95" s="87" t="str">
        <f>IF(BW8="","NA",COUNTBLANK(BW8:BW12)+COUNTBLANK(BW14)+COUNTBLANK(BW16:BW22)+COUNTBLANK(BW30:BW36)+COUNTBLANK(BW38:BW43)+COUNTBLANK(BW45:BW48)+COUNTBLANK(BW50:BW51)+COUNTBLANK(BW53:BW56)+COUNTBLANK(BW58:BW74)+COUNTBLANK(BW79:BW82)+COUNTBLANK(BW84:BW87)+COUNTBLANK(BW89))</f>
        <v>NA</v>
      </c>
      <c r="BZ95" s="87" t="str">
        <f>IF(BZ8="","NA",COUNTBLANK(BZ8:BZ12)+COUNTBLANK(BZ14)+COUNTBLANK(BZ16:BZ22)+COUNTBLANK(BZ30:BZ36)+COUNTBLANK(BZ38:BZ43)+COUNTBLANK(BZ45:BZ48)+COUNTBLANK(BZ50:BZ51)+COUNTBLANK(BZ53:BZ56)+COUNTBLANK(BZ58:BZ74)+COUNTBLANK(BZ79:BZ82)+COUNTBLANK(BZ84:BZ87)+COUNTBLANK(BZ89))</f>
        <v>NA</v>
      </c>
      <c r="CC95" s="87" t="str">
        <f>IF(CC8="","NA",COUNTBLANK(CC8:CC12)+COUNTBLANK(CC14)+COUNTBLANK(CC16:CC22)+COUNTBLANK(CC30:CC36)+COUNTBLANK(CC38:CC43)+COUNTBLANK(CC45:CC48)+COUNTBLANK(CC50:CC51)+COUNTBLANK(CC53:CC56)+COUNTBLANK(CC58:CC74)+COUNTBLANK(CC79:CC82)+COUNTBLANK(CC84:CC87)+COUNTBLANK(CC89))</f>
        <v>NA</v>
      </c>
      <c r="CF95" s="87" t="str">
        <f>IF(CF8="","NA",COUNTBLANK(CF8:CF12)+COUNTBLANK(CF14)+COUNTBLANK(CF16:CF22)+COUNTBLANK(CF30:CF36)+COUNTBLANK(CF38:CF43)+COUNTBLANK(CF45:CF48)+COUNTBLANK(CF50:CF51)+COUNTBLANK(CF53:CF56)+COUNTBLANK(CF58:CF74)+COUNTBLANK(CF79:CF82)+COUNTBLANK(CF84:CF87)+COUNTBLANK(CF89))</f>
        <v>NA</v>
      </c>
      <c r="CI95" s="87" t="str">
        <f>IF(CI8="","NA",COUNTBLANK(CI8:CI12)+COUNTBLANK(CI14)+COUNTBLANK(CI16:CI22)+COUNTBLANK(CI30:CI36)+COUNTBLANK(CI38:CI43)+COUNTBLANK(CI45:CI48)+COUNTBLANK(CI50:CI51)+COUNTBLANK(CI53:CI56)+COUNTBLANK(CI58:CI74)+COUNTBLANK(CI79:CI82)+COUNTBLANK(CI84:CI87)+COUNTBLANK(CI89))</f>
        <v>NA</v>
      </c>
      <c r="CL95" s="87" t="str">
        <f>IF(CL8="","NA",COUNTBLANK(CL8:CL12)+COUNTBLANK(CL14)+COUNTBLANK(CL16:CL22)+COUNTBLANK(CL30:CL36)+COUNTBLANK(CL38:CL43)+COUNTBLANK(CL45:CL48)+COUNTBLANK(CL50:CL51)+COUNTBLANK(CL53:CL56)+COUNTBLANK(CL58:CL74)+COUNTBLANK(CL79:CL82)+COUNTBLANK(CL84:CL87)+COUNTBLANK(CL89))</f>
        <v>NA</v>
      </c>
      <c r="CO95" s="87" t="str">
        <f>IF(CO8="","NA",COUNTBLANK(CO8:CO12)+COUNTBLANK(CO14)+COUNTBLANK(CO16:CO22)+COUNTBLANK(CO30:CO36)+COUNTBLANK(CO38:CO43)+COUNTBLANK(CO45:CO48)+COUNTBLANK(CO50:CO51)+COUNTBLANK(CO53:CO56)+COUNTBLANK(CO58:CO74)+COUNTBLANK(CO79:CO82)+COUNTBLANK(CO84:CO87)+COUNTBLANK(CO89))</f>
        <v>NA</v>
      </c>
    </row>
    <row r="96" spans="1:95" x14ac:dyDescent="0.2">
      <c r="G96" s="25"/>
    </row>
  </sheetData>
  <sheetProtection selectLockedCells="1"/>
  <mergeCells count="2031">
    <mergeCell ref="F76:H76"/>
    <mergeCell ref="D76:E76"/>
    <mergeCell ref="CL76:CN76"/>
    <mergeCell ref="CI76:CK76"/>
    <mergeCell ref="CF76:CH76"/>
    <mergeCell ref="CC76:CE76"/>
    <mergeCell ref="BZ76:CB76"/>
    <mergeCell ref="BW76:BY76"/>
    <mergeCell ref="BT76:BV76"/>
    <mergeCell ref="BQ76:BS76"/>
    <mergeCell ref="BN76:BP76"/>
    <mergeCell ref="BK76:BM76"/>
    <mergeCell ref="BH76:BJ76"/>
    <mergeCell ref="BE76:BG76"/>
    <mergeCell ref="BB76:BD76"/>
    <mergeCell ref="AY76:BA76"/>
    <mergeCell ref="AV76:AX76"/>
    <mergeCell ref="AS76:AU76"/>
    <mergeCell ref="AP76:AR76"/>
    <mergeCell ref="F75:H75"/>
    <mergeCell ref="I75:K75"/>
    <mergeCell ref="L75:N75"/>
    <mergeCell ref="O75:Q75"/>
    <mergeCell ref="CO75:CQ75"/>
    <mergeCell ref="CL75:CN75"/>
    <mergeCell ref="CI75:CK75"/>
    <mergeCell ref="CF75:CH75"/>
    <mergeCell ref="CC75:CE75"/>
    <mergeCell ref="BZ75:CB75"/>
    <mergeCell ref="BW75:BY75"/>
    <mergeCell ref="BT75:BV75"/>
    <mergeCell ref="BQ75:BS75"/>
    <mergeCell ref="BN75:BP75"/>
    <mergeCell ref="BK75:BM75"/>
    <mergeCell ref="BH75:BJ75"/>
    <mergeCell ref="BE75:BG75"/>
    <mergeCell ref="BB75:BD75"/>
    <mergeCell ref="AY75:BA75"/>
    <mergeCell ref="AV75:AX75"/>
    <mergeCell ref="AS75:AU75"/>
    <mergeCell ref="AP75:AR75"/>
    <mergeCell ref="AM75:AO75"/>
    <mergeCell ref="AJ75:AL75"/>
    <mergeCell ref="AG75:AI75"/>
    <mergeCell ref="AD75:AF75"/>
    <mergeCell ref="AA75:AC75"/>
    <mergeCell ref="X75:Z75"/>
    <mergeCell ref="U75:W75"/>
    <mergeCell ref="R75:T75"/>
    <mergeCell ref="D92:E92"/>
    <mergeCell ref="D91:E91"/>
    <mergeCell ref="A90:E90"/>
    <mergeCell ref="D89:E89"/>
    <mergeCell ref="A88:E88"/>
    <mergeCell ref="D87:E87"/>
    <mergeCell ref="D86:E86"/>
    <mergeCell ref="D85:E85"/>
    <mergeCell ref="D84:E84"/>
    <mergeCell ref="A83:E83"/>
    <mergeCell ref="A52:E52"/>
    <mergeCell ref="A49:E49"/>
    <mergeCell ref="A44:E44"/>
    <mergeCell ref="D51:E51"/>
    <mergeCell ref="D50:E50"/>
    <mergeCell ref="D48:E48"/>
    <mergeCell ref="D46:E46"/>
    <mergeCell ref="D45:E45"/>
    <mergeCell ref="A57:E57"/>
    <mergeCell ref="D75:E75"/>
    <mergeCell ref="D77:E77"/>
    <mergeCell ref="D43:E43"/>
    <mergeCell ref="D42:E42"/>
    <mergeCell ref="D41:E41"/>
    <mergeCell ref="D40:E40"/>
    <mergeCell ref="D82:E82"/>
    <mergeCell ref="D81:E81"/>
    <mergeCell ref="D80:E80"/>
    <mergeCell ref="D79:E79"/>
    <mergeCell ref="A78:E78"/>
    <mergeCell ref="D74:E74"/>
    <mergeCell ref="D73:E73"/>
    <mergeCell ref="D72:E72"/>
    <mergeCell ref="D56:E56"/>
    <mergeCell ref="D55:E55"/>
    <mergeCell ref="D54:E54"/>
    <mergeCell ref="D53:E53"/>
    <mergeCell ref="D71:E71"/>
    <mergeCell ref="D70:E70"/>
    <mergeCell ref="D69:E69"/>
    <mergeCell ref="D68:E68"/>
    <mergeCell ref="D67:E67"/>
    <mergeCell ref="D66:E66"/>
    <mergeCell ref="D65:E65"/>
    <mergeCell ref="D64:E64"/>
    <mergeCell ref="D63:E63"/>
    <mergeCell ref="D62:E62"/>
    <mergeCell ref="D61:E61"/>
    <mergeCell ref="D60:E60"/>
    <mergeCell ref="D59:E59"/>
    <mergeCell ref="D58:E58"/>
    <mergeCell ref="D39:E39"/>
    <mergeCell ref="D38:E38"/>
    <mergeCell ref="D36:E36"/>
    <mergeCell ref="D35:E35"/>
    <mergeCell ref="D34:E34"/>
    <mergeCell ref="D6:E6"/>
    <mergeCell ref="A7:E7"/>
    <mergeCell ref="D8:E8"/>
    <mergeCell ref="D9:E9"/>
    <mergeCell ref="D22:E22"/>
    <mergeCell ref="D21:E21"/>
    <mergeCell ref="D20:E20"/>
    <mergeCell ref="D19:E19"/>
    <mergeCell ref="D18:E18"/>
    <mergeCell ref="D17:E17"/>
    <mergeCell ref="D16:E16"/>
    <mergeCell ref="A15:E15"/>
    <mergeCell ref="D14:E14"/>
    <mergeCell ref="A13:E13"/>
    <mergeCell ref="D12:E12"/>
    <mergeCell ref="D11:E11"/>
    <mergeCell ref="D10:E10"/>
    <mergeCell ref="D33:E33"/>
    <mergeCell ref="D32:E32"/>
    <mergeCell ref="D31:E31"/>
    <mergeCell ref="D30:E30"/>
    <mergeCell ref="A29:E29"/>
    <mergeCell ref="A37:E37"/>
    <mergeCell ref="CF28:CG28"/>
    <mergeCell ref="CI28:CJ28"/>
    <mergeCell ref="CL28:CM28"/>
    <mergeCell ref="CO28:CP28"/>
    <mergeCell ref="BN27:BO27"/>
    <mergeCell ref="BQ27:BR27"/>
    <mergeCell ref="BT27:BU27"/>
    <mergeCell ref="BW27:BX27"/>
    <mergeCell ref="BZ27:CA27"/>
    <mergeCell ref="CC27:CD27"/>
    <mergeCell ref="CF27:CG27"/>
    <mergeCell ref="CI27:CJ27"/>
    <mergeCell ref="CL27:CM27"/>
    <mergeCell ref="CO27:CP27"/>
    <mergeCell ref="U28:V28"/>
    <mergeCell ref="X28:Y28"/>
    <mergeCell ref="AA28:AB28"/>
    <mergeCell ref="AD28:AE28"/>
    <mergeCell ref="AG28:AH28"/>
    <mergeCell ref="AJ28:AK28"/>
    <mergeCell ref="AM28:AN28"/>
    <mergeCell ref="AP28:AQ28"/>
    <mergeCell ref="AS28:AT28"/>
    <mergeCell ref="AV28:AW28"/>
    <mergeCell ref="AY28:AZ28"/>
    <mergeCell ref="BB28:BC28"/>
    <mergeCell ref="BE28:BF28"/>
    <mergeCell ref="BH28:BI28"/>
    <mergeCell ref="BN28:BO28"/>
    <mergeCell ref="BQ28:BR28"/>
    <mergeCell ref="BT28:BU28"/>
    <mergeCell ref="BK28:BL28"/>
    <mergeCell ref="CO26:CP26"/>
    <mergeCell ref="L27:M27"/>
    <mergeCell ref="O27:P27"/>
    <mergeCell ref="R27:S27"/>
    <mergeCell ref="U27:V27"/>
    <mergeCell ref="X27:Y27"/>
    <mergeCell ref="AA27:AB27"/>
    <mergeCell ref="AD27:AE27"/>
    <mergeCell ref="AG27:AH27"/>
    <mergeCell ref="AJ27:AK27"/>
    <mergeCell ref="AM27:AN27"/>
    <mergeCell ref="AP27:AQ27"/>
    <mergeCell ref="AS27:AT27"/>
    <mergeCell ref="AV27:AW27"/>
    <mergeCell ref="AY27:AZ27"/>
    <mergeCell ref="BB27:BC27"/>
    <mergeCell ref="BE27:BF27"/>
    <mergeCell ref="BH27:BI27"/>
    <mergeCell ref="BK27:BL27"/>
    <mergeCell ref="BB26:BC26"/>
    <mergeCell ref="BE26:BF26"/>
    <mergeCell ref="BH26:BI26"/>
    <mergeCell ref="BK26:BL26"/>
    <mergeCell ref="BN26:BO26"/>
    <mergeCell ref="BQ26:BR26"/>
    <mergeCell ref="BT26:BU26"/>
    <mergeCell ref="BW26:BX26"/>
    <mergeCell ref="BZ26:CA26"/>
    <mergeCell ref="CC26:CD26"/>
    <mergeCell ref="CF26:CG26"/>
    <mergeCell ref="CI26:CJ26"/>
    <mergeCell ref="CL26:CM26"/>
    <mergeCell ref="CF24:CG24"/>
    <mergeCell ref="CI24:CJ24"/>
    <mergeCell ref="CL24:CM24"/>
    <mergeCell ref="CO24:CP24"/>
    <mergeCell ref="L25:M25"/>
    <mergeCell ref="O25:P25"/>
    <mergeCell ref="R25:S25"/>
    <mergeCell ref="U25:V25"/>
    <mergeCell ref="X25:Y25"/>
    <mergeCell ref="AA25:AB25"/>
    <mergeCell ref="AD25:AE25"/>
    <mergeCell ref="AG25:AH25"/>
    <mergeCell ref="AJ25:AK25"/>
    <mergeCell ref="AM25:AN25"/>
    <mergeCell ref="AP25:AQ25"/>
    <mergeCell ref="AS25:AT25"/>
    <mergeCell ref="AV25:AW25"/>
    <mergeCell ref="AY25:AZ25"/>
    <mergeCell ref="BB25:BC25"/>
    <mergeCell ref="BE25:BF25"/>
    <mergeCell ref="BH25:BI25"/>
    <mergeCell ref="BK25:BL25"/>
    <mergeCell ref="BN25:BO25"/>
    <mergeCell ref="BQ25:BR25"/>
    <mergeCell ref="BT25:BU25"/>
    <mergeCell ref="BW25:BX25"/>
    <mergeCell ref="BZ25:CA25"/>
    <mergeCell ref="CC25:CD25"/>
    <mergeCell ref="CF25:CG25"/>
    <mergeCell ref="CI25:CJ25"/>
    <mergeCell ref="CL25:CM25"/>
    <mergeCell ref="CO25:CP25"/>
    <mergeCell ref="L28:M28"/>
    <mergeCell ref="O28:P28"/>
    <mergeCell ref="R28:S28"/>
    <mergeCell ref="CC23:CD23"/>
    <mergeCell ref="CF23:CG23"/>
    <mergeCell ref="CI23:CJ23"/>
    <mergeCell ref="CL23:CM23"/>
    <mergeCell ref="CO23:CP23"/>
    <mergeCell ref="L24:M24"/>
    <mergeCell ref="O24:P24"/>
    <mergeCell ref="R24:S24"/>
    <mergeCell ref="U24:V24"/>
    <mergeCell ref="X24:Y24"/>
    <mergeCell ref="AA24:AB24"/>
    <mergeCell ref="AD24:AE24"/>
    <mergeCell ref="AG24:AH24"/>
    <mergeCell ref="AJ24:AK24"/>
    <mergeCell ref="AM24:AN24"/>
    <mergeCell ref="AP24:AQ24"/>
    <mergeCell ref="AS24:AT24"/>
    <mergeCell ref="AV24:AW24"/>
    <mergeCell ref="AY24:AZ24"/>
    <mergeCell ref="BB24:BC24"/>
    <mergeCell ref="BE24:BF24"/>
    <mergeCell ref="BH24:BI24"/>
    <mergeCell ref="BK24:BL24"/>
    <mergeCell ref="BN24:BO24"/>
    <mergeCell ref="BQ24:BR24"/>
    <mergeCell ref="BT24:BU24"/>
    <mergeCell ref="BW24:BX24"/>
    <mergeCell ref="BZ24:CA24"/>
    <mergeCell ref="CC24:CD24"/>
    <mergeCell ref="AG23:AH23"/>
    <mergeCell ref="AJ23:AK23"/>
    <mergeCell ref="AM23:AN23"/>
    <mergeCell ref="AP23:AQ23"/>
    <mergeCell ref="AS23:AT23"/>
    <mergeCell ref="AV23:AW23"/>
    <mergeCell ref="AY23:AZ23"/>
    <mergeCell ref="L26:M26"/>
    <mergeCell ref="O26:P26"/>
    <mergeCell ref="R26:S26"/>
    <mergeCell ref="U26:V26"/>
    <mergeCell ref="X26:Y26"/>
    <mergeCell ref="AA26:AB26"/>
    <mergeCell ref="AD26:AE26"/>
    <mergeCell ref="AG26:AH26"/>
    <mergeCell ref="AJ26:AK26"/>
    <mergeCell ref="AM26:AN26"/>
    <mergeCell ref="AP26:AQ26"/>
    <mergeCell ref="AS26:AT26"/>
    <mergeCell ref="AV26:AW26"/>
    <mergeCell ref="AY26:AZ26"/>
    <mergeCell ref="BB92:BD92"/>
    <mergeCell ref="BE92:BG92"/>
    <mergeCell ref="BN92:BP92"/>
    <mergeCell ref="BQ92:BS92"/>
    <mergeCell ref="BT92:BV92"/>
    <mergeCell ref="BW92:BY92"/>
    <mergeCell ref="BZ92:CB92"/>
    <mergeCell ref="CC92:CE92"/>
    <mergeCell ref="CF92:CH92"/>
    <mergeCell ref="CI92:CK92"/>
    <mergeCell ref="CL92:CN92"/>
    <mergeCell ref="CO92:CQ92"/>
    <mergeCell ref="BE91:BG91"/>
    <mergeCell ref="BH91:BJ91"/>
    <mergeCell ref="BK91:BM91"/>
    <mergeCell ref="BN91:BP91"/>
    <mergeCell ref="BQ91:BS91"/>
    <mergeCell ref="BT91:BV91"/>
    <mergeCell ref="BW91:BY91"/>
    <mergeCell ref="BZ91:CB91"/>
    <mergeCell ref="CC91:CE91"/>
    <mergeCell ref="CF91:CH91"/>
    <mergeCell ref="CI91:CK91"/>
    <mergeCell ref="CL91:CN91"/>
    <mergeCell ref="CO91:CQ91"/>
    <mergeCell ref="BH92:BJ92"/>
    <mergeCell ref="BK92:BM92"/>
    <mergeCell ref="F92:H92"/>
    <mergeCell ref="I91:K91"/>
    <mergeCell ref="L91:N91"/>
    <mergeCell ref="O91:Q91"/>
    <mergeCell ref="R91:T91"/>
    <mergeCell ref="U91:W91"/>
    <mergeCell ref="X91:Z91"/>
    <mergeCell ref="AA91:AC91"/>
    <mergeCell ref="AD91:AF91"/>
    <mergeCell ref="AG91:AI91"/>
    <mergeCell ref="AJ91:AL91"/>
    <mergeCell ref="AM91:AO91"/>
    <mergeCell ref="AP91:AR91"/>
    <mergeCell ref="AS91:AU91"/>
    <mergeCell ref="AV91:AX91"/>
    <mergeCell ref="AY91:BA91"/>
    <mergeCell ref="BB91:BD91"/>
    <mergeCell ref="I92:K92"/>
    <mergeCell ref="L92:N92"/>
    <mergeCell ref="O92:Q92"/>
    <mergeCell ref="R92:T92"/>
    <mergeCell ref="U92:W92"/>
    <mergeCell ref="X92:Z92"/>
    <mergeCell ref="AA92:AC92"/>
    <mergeCell ref="AD92:AF92"/>
    <mergeCell ref="AG92:AI92"/>
    <mergeCell ref="AJ92:AL92"/>
    <mergeCell ref="AM92:AO92"/>
    <mergeCell ref="AP92:AR92"/>
    <mergeCell ref="AS92:AU92"/>
    <mergeCell ref="AV92:AX92"/>
    <mergeCell ref="AY92:BA92"/>
    <mergeCell ref="CO89:CQ89"/>
    <mergeCell ref="CO82:CQ82"/>
    <mergeCell ref="CO84:CQ84"/>
    <mergeCell ref="CO85:CQ85"/>
    <mergeCell ref="CO86:CQ86"/>
    <mergeCell ref="CO87:CQ87"/>
    <mergeCell ref="CO69:CQ69"/>
    <mergeCell ref="CO71:CQ71"/>
    <mergeCell ref="CO79:CQ79"/>
    <mergeCell ref="CO80:CQ80"/>
    <mergeCell ref="CO81:CQ81"/>
    <mergeCell ref="CO59:CQ59"/>
    <mergeCell ref="CO62:CQ62"/>
    <mergeCell ref="CO64:CQ64"/>
    <mergeCell ref="CO67:CQ67"/>
    <mergeCell ref="CO68:CQ68"/>
    <mergeCell ref="CO53:CQ53"/>
    <mergeCell ref="CO54:CQ54"/>
    <mergeCell ref="CO55:CQ55"/>
    <mergeCell ref="CO56:CQ56"/>
    <mergeCell ref="CO58:CQ58"/>
    <mergeCell ref="CO76:CQ76"/>
    <mergeCell ref="CO45:CQ45"/>
    <mergeCell ref="CO46:CQ46"/>
    <mergeCell ref="CO48:CQ48"/>
    <mergeCell ref="CO50:CQ50"/>
    <mergeCell ref="CO51:CQ51"/>
    <mergeCell ref="CO39:CQ39"/>
    <mergeCell ref="CO40:CQ40"/>
    <mergeCell ref="CO41:CQ41"/>
    <mergeCell ref="CO42:CQ42"/>
    <mergeCell ref="CO43:CQ43"/>
    <mergeCell ref="CO33:CQ33"/>
    <mergeCell ref="CO34:CQ34"/>
    <mergeCell ref="CO35:CQ35"/>
    <mergeCell ref="CO36:CQ36"/>
    <mergeCell ref="CO38:CQ38"/>
    <mergeCell ref="CO30:CQ30"/>
    <mergeCell ref="CO31:CQ31"/>
    <mergeCell ref="CO32:CQ32"/>
    <mergeCell ref="CO47:CQ47"/>
    <mergeCell ref="CL89:CN89"/>
    <mergeCell ref="CO6:CQ6"/>
    <mergeCell ref="CO8:CQ8"/>
    <mergeCell ref="CO9:CQ9"/>
    <mergeCell ref="CO10:CQ10"/>
    <mergeCell ref="CO11:CQ11"/>
    <mergeCell ref="CO12:CQ12"/>
    <mergeCell ref="CO14:CQ14"/>
    <mergeCell ref="CO16:CQ16"/>
    <mergeCell ref="CO17:CQ17"/>
    <mergeCell ref="CO18:CQ18"/>
    <mergeCell ref="CO19:CQ19"/>
    <mergeCell ref="CO20:CQ20"/>
    <mergeCell ref="CO21:CQ21"/>
    <mergeCell ref="CO22:CQ22"/>
    <mergeCell ref="CL82:CN82"/>
    <mergeCell ref="CL84:CN84"/>
    <mergeCell ref="CL85:CN85"/>
    <mergeCell ref="CL86:CN86"/>
    <mergeCell ref="CL87:CN87"/>
    <mergeCell ref="CL69:CN69"/>
    <mergeCell ref="CL71:CN71"/>
    <mergeCell ref="CL79:CN79"/>
    <mergeCell ref="CL80:CN80"/>
    <mergeCell ref="CL81:CN81"/>
    <mergeCell ref="CL59:CN59"/>
    <mergeCell ref="CL62:CN62"/>
    <mergeCell ref="CL64:CN64"/>
    <mergeCell ref="CL67:CN67"/>
    <mergeCell ref="CL68:CN68"/>
    <mergeCell ref="CL53:CN53"/>
    <mergeCell ref="CL54:CN54"/>
    <mergeCell ref="CL55:CN55"/>
    <mergeCell ref="CL56:CN56"/>
    <mergeCell ref="CL58:CN58"/>
    <mergeCell ref="CL45:CN45"/>
    <mergeCell ref="CL46:CN46"/>
    <mergeCell ref="CL48:CN48"/>
    <mergeCell ref="CL50:CN50"/>
    <mergeCell ref="CL51:CN51"/>
    <mergeCell ref="CL39:CN39"/>
    <mergeCell ref="CL40:CN40"/>
    <mergeCell ref="CL41:CN41"/>
    <mergeCell ref="CL42:CN42"/>
    <mergeCell ref="CL43:CN43"/>
    <mergeCell ref="CL33:CN33"/>
    <mergeCell ref="CL34:CN34"/>
    <mergeCell ref="CL35:CN35"/>
    <mergeCell ref="CL36:CN36"/>
    <mergeCell ref="CL38:CN38"/>
    <mergeCell ref="CL47:CN47"/>
    <mergeCell ref="CL30:CN30"/>
    <mergeCell ref="CL31:CN31"/>
    <mergeCell ref="CL32:CN32"/>
    <mergeCell ref="CI89:CK89"/>
    <mergeCell ref="CL6:CN6"/>
    <mergeCell ref="CL8:CN8"/>
    <mergeCell ref="CL9:CN9"/>
    <mergeCell ref="CL10:CN10"/>
    <mergeCell ref="CL11:CN11"/>
    <mergeCell ref="CL12:CN12"/>
    <mergeCell ref="CL14:CN14"/>
    <mergeCell ref="CL16:CN16"/>
    <mergeCell ref="CL17:CN17"/>
    <mergeCell ref="CL18:CN18"/>
    <mergeCell ref="CL19:CN19"/>
    <mergeCell ref="CL20:CN20"/>
    <mergeCell ref="CL21:CN21"/>
    <mergeCell ref="CL22:CN22"/>
    <mergeCell ref="CI82:CK82"/>
    <mergeCell ref="CI84:CK84"/>
    <mergeCell ref="CI85:CK85"/>
    <mergeCell ref="CI86:CK86"/>
    <mergeCell ref="CI87:CK87"/>
    <mergeCell ref="CI69:CK69"/>
    <mergeCell ref="CI71:CK71"/>
    <mergeCell ref="CI79:CK79"/>
    <mergeCell ref="CI80:CK80"/>
    <mergeCell ref="CI81:CK81"/>
    <mergeCell ref="CI59:CK59"/>
    <mergeCell ref="CI62:CK62"/>
    <mergeCell ref="CI64:CK64"/>
    <mergeCell ref="CI67:CK67"/>
    <mergeCell ref="CI68:CK68"/>
    <mergeCell ref="CI53:CK53"/>
    <mergeCell ref="CI54:CK54"/>
    <mergeCell ref="CI55:CK55"/>
    <mergeCell ref="CI56:CK56"/>
    <mergeCell ref="CI58:CK58"/>
    <mergeCell ref="CI45:CK45"/>
    <mergeCell ref="CI46:CK46"/>
    <mergeCell ref="CI48:CK48"/>
    <mergeCell ref="CI50:CK50"/>
    <mergeCell ref="CI51:CK51"/>
    <mergeCell ref="CI39:CK39"/>
    <mergeCell ref="CI40:CK40"/>
    <mergeCell ref="CI41:CK41"/>
    <mergeCell ref="CI42:CK42"/>
    <mergeCell ref="CI43:CK43"/>
    <mergeCell ref="CI33:CK33"/>
    <mergeCell ref="CI34:CK34"/>
    <mergeCell ref="CI35:CK35"/>
    <mergeCell ref="CI36:CK36"/>
    <mergeCell ref="CI38:CK38"/>
    <mergeCell ref="CI47:CK47"/>
    <mergeCell ref="CI30:CK30"/>
    <mergeCell ref="CI31:CK31"/>
    <mergeCell ref="CI32:CK32"/>
    <mergeCell ref="CF89:CH89"/>
    <mergeCell ref="CI6:CK6"/>
    <mergeCell ref="CI8:CK8"/>
    <mergeCell ref="CI9:CK9"/>
    <mergeCell ref="CI10:CK10"/>
    <mergeCell ref="CI11:CK11"/>
    <mergeCell ref="CI12:CK12"/>
    <mergeCell ref="CI14:CK14"/>
    <mergeCell ref="CI16:CK16"/>
    <mergeCell ref="CI17:CK17"/>
    <mergeCell ref="CI18:CK18"/>
    <mergeCell ref="CI19:CK19"/>
    <mergeCell ref="CI20:CK20"/>
    <mergeCell ref="CI21:CK21"/>
    <mergeCell ref="CI22:CK22"/>
    <mergeCell ref="CF82:CH82"/>
    <mergeCell ref="CF84:CH84"/>
    <mergeCell ref="CF85:CH85"/>
    <mergeCell ref="CF86:CH86"/>
    <mergeCell ref="CF87:CH87"/>
    <mergeCell ref="CF69:CH69"/>
    <mergeCell ref="CF71:CH71"/>
    <mergeCell ref="CF79:CH79"/>
    <mergeCell ref="CF80:CH80"/>
    <mergeCell ref="CF81:CH81"/>
    <mergeCell ref="CF59:CH59"/>
    <mergeCell ref="CF62:CH62"/>
    <mergeCell ref="CF64:CH64"/>
    <mergeCell ref="CF67:CH67"/>
    <mergeCell ref="CF68:CH68"/>
    <mergeCell ref="CF53:CH53"/>
    <mergeCell ref="CF54:CH54"/>
    <mergeCell ref="CF55:CH55"/>
    <mergeCell ref="CF56:CH56"/>
    <mergeCell ref="CF58:CH58"/>
    <mergeCell ref="CF45:CH45"/>
    <mergeCell ref="CF46:CH46"/>
    <mergeCell ref="CF48:CH48"/>
    <mergeCell ref="CF50:CH50"/>
    <mergeCell ref="CF51:CH51"/>
    <mergeCell ref="CF39:CH39"/>
    <mergeCell ref="CF40:CH40"/>
    <mergeCell ref="CF41:CH41"/>
    <mergeCell ref="CF42:CH42"/>
    <mergeCell ref="CF43:CH43"/>
    <mergeCell ref="CF33:CH33"/>
    <mergeCell ref="CF34:CH34"/>
    <mergeCell ref="CF35:CH35"/>
    <mergeCell ref="CF36:CH36"/>
    <mergeCell ref="CF38:CH38"/>
    <mergeCell ref="CF30:CH30"/>
    <mergeCell ref="CF31:CH31"/>
    <mergeCell ref="CF32:CH32"/>
    <mergeCell ref="CC89:CE89"/>
    <mergeCell ref="CF6:CH6"/>
    <mergeCell ref="CF8:CH8"/>
    <mergeCell ref="CF9:CH9"/>
    <mergeCell ref="CF10:CH10"/>
    <mergeCell ref="CF11:CH11"/>
    <mergeCell ref="CF12:CH12"/>
    <mergeCell ref="CF14:CH14"/>
    <mergeCell ref="CF16:CH16"/>
    <mergeCell ref="CF17:CH17"/>
    <mergeCell ref="CF18:CH18"/>
    <mergeCell ref="CF19:CH19"/>
    <mergeCell ref="CF20:CH20"/>
    <mergeCell ref="CF21:CH21"/>
    <mergeCell ref="CF22:CH22"/>
    <mergeCell ref="CC82:CE82"/>
    <mergeCell ref="CC84:CE84"/>
    <mergeCell ref="CC85:CE85"/>
    <mergeCell ref="CC86:CE86"/>
    <mergeCell ref="CC87:CE87"/>
    <mergeCell ref="CC69:CE69"/>
    <mergeCell ref="CC71:CE71"/>
    <mergeCell ref="CC79:CE79"/>
    <mergeCell ref="CC80:CE80"/>
    <mergeCell ref="CC81:CE81"/>
    <mergeCell ref="CC59:CE59"/>
    <mergeCell ref="CC62:CE62"/>
    <mergeCell ref="CC64:CE64"/>
    <mergeCell ref="CC67:CE67"/>
    <mergeCell ref="CC68:CE68"/>
    <mergeCell ref="CC53:CE53"/>
    <mergeCell ref="CC54:CE54"/>
    <mergeCell ref="CC55:CE55"/>
    <mergeCell ref="CC56:CE56"/>
    <mergeCell ref="CC58:CE58"/>
    <mergeCell ref="CC45:CE45"/>
    <mergeCell ref="CC46:CE46"/>
    <mergeCell ref="CC48:CE48"/>
    <mergeCell ref="CC50:CE50"/>
    <mergeCell ref="CC51:CE51"/>
    <mergeCell ref="CC39:CE39"/>
    <mergeCell ref="CC40:CE40"/>
    <mergeCell ref="CC41:CE41"/>
    <mergeCell ref="CC42:CE42"/>
    <mergeCell ref="CC43:CE43"/>
    <mergeCell ref="CC33:CE33"/>
    <mergeCell ref="CC34:CE34"/>
    <mergeCell ref="CC35:CE35"/>
    <mergeCell ref="CC36:CE36"/>
    <mergeCell ref="CC38:CE38"/>
    <mergeCell ref="CC30:CE30"/>
    <mergeCell ref="CC31:CE31"/>
    <mergeCell ref="CC32:CE32"/>
    <mergeCell ref="CC28:CD28"/>
    <mergeCell ref="BZ89:CB89"/>
    <mergeCell ref="CC6:CE6"/>
    <mergeCell ref="CC8:CE8"/>
    <mergeCell ref="CC9:CE9"/>
    <mergeCell ref="CC10:CE10"/>
    <mergeCell ref="CC11:CE11"/>
    <mergeCell ref="CC12:CE12"/>
    <mergeCell ref="CC14:CE14"/>
    <mergeCell ref="CC16:CE16"/>
    <mergeCell ref="CC17:CE17"/>
    <mergeCell ref="CC18:CE18"/>
    <mergeCell ref="CC19:CE19"/>
    <mergeCell ref="CC20:CE20"/>
    <mergeCell ref="CC21:CE21"/>
    <mergeCell ref="CC22:CE22"/>
    <mergeCell ref="BZ82:CB82"/>
    <mergeCell ref="BZ84:CB84"/>
    <mergeCell ref="BZ85:CB85"/>
    <mergeCell ref="BZ86:CB86"/>
    <mergeCell ref="BZ87:CB87"/>
    <mergeCell ref="BZ69:CB69"/>
    <mergeCell ref="BZ71:CB71"/>
    <mergeCell ref="BZ79:CB79"/>
    <mergeCell ref="BZ80:CB80"/>
    <mergeCell ref="BZ81:CB81"/>
    <mergeCell ref="BZ59:CB59"/>
    <mergeCell ref="BZ62:CB62"/>
    <mergeCell ref="BZ64:CB64"/>
    <mergeCell ref="BZ67:CB67"/>
    <mergeCell ref="BZ68:CB68"/>
    <mergeCell ref="BZ53:CB53"/>
    <mergeCell ref="BZ54:CB54"/>
    <mergeCell ref="BZ55:CB55"/>
    <mergeCell ref="BZ56:CB56"/>
    <mergeCell ref="BZ58:CB58"/>
    <mergeCell ref="BZ45:CB45"/>
    <mergeCell ref="BZ46:CB46"/>
    <mergeCell ref="BZ48:CB48"/>
    <mergeCell ref="BZ50:CB50"/>
    <mergeCell ref="BZ51:CB51"/>
    <mergeCell ref="BZ39:CB39"/>
    <mergeCell ref="BZ40:CB40"/>
    <mergeCell ref="BZ41:CB41"/>
    <mergeCell ref="BZ42:CB42"/>
    <mergeCell ref="BZ43:CB43"/>
    <mergeCell ref="BZ33:CB33"/>
    <mergeCell ref="BZ34:CB34"/>
    <mergeCell ref="BZ35:CB35"/>
    <mergeCell ref="BZ36:CB36"/>
    <mergeCell ref="BZ38:CB38"/>
    <mergeCell ref="BZ30:CB30"/>
    <mergeCell ref="BZ31:CB31"/>
    <mergeCell ref="BZ32:CB32"/>
    <mergeCell ref="BZ19:CB19"/>
    <mergeCell ref="BZ20:CB20"/>
    <mergeCell ref="BZ21:CB21"/>
    <mergeCell ref="BZ22:CB22"/>
    <mergeCell ref="BZ12:CB12"/>
    <mergeCell ref="BZ14:CB14"/>
    <mergeCell ref="BZ16:CB16"/>
    <mergeCell ref="BZ17:CB17"/>
    <mergeCell ref="BZ18:CB18"/>
    <mergeCell ref="BZ6:CB6"/>
    <mergeCell ref="BZ8:CB8"/>
    <mergeCell ref="BZ9:CB9"/>
    <mergeCell ref="BZ10:CB10"/>
    <mergeCell ref="BZ11:CB11"/>
    <mergeCell ref="BZ23:CA23"/>
    <mergeCell ref="BZ28:CA28"/>
    <mergeCell ref="BQ87:BS87"/>
    <mergeCell ref="BT87:BV87"/>
    <mergeCell ref="BW87:BY87"/>
    <mergeCell ref="BQ89:BS89"/>
    <mergeCell ref="BT89:BV89"/>
    <mergeCell ref="BW89:BY89"/>
    <mergeCell ref="BQ85:BS85"/>
    <mergeCell ref="BT85:BV85"/>
    <mergeCell ref="BW85:BY85"/>
    <mergeCell ref="BQ86:BS86"/>
    <mergeCell ref="BT86:BV86"/>
    <mergeCell ref="BW86:BY86"/>
    <mergeCell ref="BQ82:BS82"/>
    <mergeCell ref="BT82:BV82"/>
    <mergeCell ref="BW82:BY82"/>
    <mergeCell ref="BQ84:BS84"/>
    <mergeCell ref="BT84:BV84"/>
    <mergeCell ref="BW84:BY84"/>
    <mergeCell ref="BQ80:BS80"/>
    <mergeCell ref="BT80:BV80"/>
    <mergeCell ref="BW80:BY80"/>
    <mergeCell ref="BQ81:BS81"/>
    <mergeCell ref="BT81:BV81"/>
    <mergeCell ref="BW81:BY81"/>
    <mergeCell ref="BQ71:BS71"/>
    <mergeCell ref="BT71:BV71"/>
    <mergeCell ref="BW71:BY71"/>
    <mergeCell ref="BQ79:BS79"/>
    <mergeCell ref="BT79:BV79"/>
    <mergeCell ref="BW79:BY79"/>
    <mergeCell ref="BQ68:BS68"/>
    <mergeCell ref="BT68:BV68"/>
    <mergeCell ref="BW68:BY68"/>
    <mergeCell ref="BQ69:BS69"/>
    <mergeCell ref="BT69:BV69"/>
    <mergeCell ref="BW69:BY69"/>
    <mergeCell ref="BQ64:BS64"/>
    <mergeCell ref="BT64:BV64"/>
    <mergeCell ref="BW64:BY64"/>
    <mergeCell ref="BQ67:BS67"/>
    <mergeCell ref="BT67:BV67"/>
    <mergeCell ref="BW67:BY67"/>
    <mergeCell ref="BQ59:BS59"/>
    <mergeCell ref="BT59:BV59"/>
    <mergeCell ref="BW59:BY59"/>
    <mergeCell ref="BQ62:BS62"/>
    <mergeCell ref="BT62:BV62"/>
    <mergeCell ref="BW62:BY62"/>
    <mergeCell ref="BQ56:BS56"/>
    <mergeCell ref="BT56:BV56"/>
    <mergeCell ref="BW56:BY56"/>
    <mergeCell ref="BQ58:BS58"/>
    <mergeCell ref="BT58:BV58"/>
    <mergeCell ref="BW58:BY58"/>
    <mergeCell ref="BQ54:BS54"/>
    <mergeCell ref="BT54:BV54"/>
    <mergeCell ref="BW54:BY54"/>
    <mergeCell ref="BQ55:BS55"/>
    <mergeCell ref="BT55:BV55"/>
    <mergeCell ref="BW55:BY55"/>
    <mergeCell ref="BQ51:BS51"/>
    <mergeCell ref="BT51:BV51"/>
    <mergeCell ref="BW51:BY51"/>
    <mergeCell ref="BQ53:BS53"/>
    <mergeCell ref="BT53:BV53"/>
    <mergeCell ref="BW53:BY53"/>
    <mergeCell ref="BQ48:BS48"/>
    <mergeCell ref="BT48:BV48"/>
    <mergeCell ref="BW48:BY48"/>
    <mergeCell ref="BQ50:BS50"/>
    <mergeCell ref="BT50:BV50"/>
    <mergeCell ref="BW50:BY50"/>
    <mergeCell ref="BQ45:BS45"/>
    <mergeCell ref="BT45:BV45"/>
    <mergeCell ref="BW45:BY45"/>
    <mergeCell ref="BQ46:BS46"/>
    <mergeCell ref="BT46:BV46"/>
    <mergeCell ref="BW46:BY46"/>
    <mergeCell ref="BQ42:BS42"/>
    <mergeCell ref="BT42:BV42"/>
    <mergeCell ref="BW42:BY42"/>
    <mergeCell ref="BQ43:BS43"/>
    <mergeCell ref="BT43:BV43"/>
    <mergeCell ref="BW43:BY43"/>
    <mergeCell ref="BQ40:BS40"/>
    <mergeCell ref="BT40:BV40"/>
    <mergeCell ref="BW40:BY40"/>
    <mergeCell ref="BQ41:BS41"/>
    <mergeCell ref="BT41:BV41"/>
    <mergeCell ref="BW41:BY41"/>
    <mergeCell ref="BQ38:BS38"/>
    <mergeCell ref="BT38:BV38"/>
    <mergeCell ref="BW38:BY38"/>
    <mergeCell ref="BQ39:BS39"/>
    <mergeCell ref="BT39:BV39"/>
    <mergeCell ref="BW39:BY39"/>
    <mergeCell ref="BQ35:BS35"/>
    <mergeCell ref="BT35:BV35"/>
    <mergeCell ref="BW35:BY35"/>
    <mergeCell ref="BQ36:BS36"/>
    <mergeCell ref="BT36:BV36"/>
    <mergeCell ref="BW36:BY36"/>
    <mergeCell ref="BQ33:BS33"/>
    <mergeCell ref="BT33:BV33"/>
    <mergeCell ref="BW33:BY33"/>
    <mergeCell ref="BQ34:BS34"/>
    <mergeCell ref="BT34:BV34"/>
    <mergeCell ref="BW34:BY34"/>
    <mergeCell ref="BQ31:BS31"/>
    <mergeCell ref="BT31:BV31"/>
    <mergeCell ref="BW31:BY31"/>
    <mergeCell ref="BQ32:BS32"/>
    <mergeCell ref="BT32:BV32"/>
    <mergeCell ref="BW32:BY32"/>
    <mergeCell ref="BQ30:BS30"/>
    <mergeCell ref="BT30:BV30"/>
    <mergeCell ref="BW30:BY30"/>
    <mergeCell ref="BQ23:BR23"/>
    <mergeCell ref="BT23:BU23"/>
    <mergeCell ref="BW23:BX23"/>
    <mergeCell ref="BQ21:BS21"/>
    <mergeCell ref="BT21:BV21"/>
    <mergeCell ref="BW21:BY21"/>
    <mergeCell ref="BQ22:BS22"/>
    <mergeCell ref="BT22:BV22"/>
    <mergeCell ref="BW22:BY22"/>
    <mergeCell ref="BQ19:BS19"/>
    <mergeCell ref="BT19:BV19"/>
    <mergeCell ref="BW19:BY19"/>
    <mergeCell ref="BQ20:BS20"/>
    <mergeCell ref="BT20:BV20"/>
    <mergeCell ref="BW20:BY20"/>
    <mergeCell ref="BW28:BX28"/>
    <mergeCell ref="BQ17:BS17"/>
    <mergeCell ref="BT17:BV17"/>
    <mergeCell ref="BW17:BY17"/>
    <mergeCell ref="BQ18:BS18"/>
    <mergeCell ref="BT18:BV18"/>
    <mergeCell ref="BW18:BY18"/>
    <mergeCell ref="BQ14:BS14"/>
    <mergeCell ref="BT14:BV14"/>
    <mergeCell ref="BW14:BY14"/>
    <mergeCell ref="BQ16:BS16"/>
    <mergeCell ref="BT16:BV16"/>
    <mergeCell ref="BW16:BY16"/>
    <mergeCell ref="BQ11:BS11"/>
    <mergeCell ref="BT11:BV11"/>
    <mergeCell ref="BW11:BY11"/>
    <mergeCell ref="BQ12:BS12"/>
    <mergeCell ref="BT12:BV12"/>
    <mergeCell ref="BW12:BY12"/>
    <mergeCell ref="BQ9:BS9"/>
    <mergeCell ref="BT9:BV9"/>
    <mergeCell ref="BW9:BY9"/>
    <mergeCell ref="BQ10:BS10"/>
    <mergeCell ref="BT10:BV10"/>
    <mergeCell ref="BW10:BY10"/>
    <mergeCell ref="BQ6:BS6"/>
    <mergeCell ref="BT6:BV6"/>
    <mergeCell ref="BW6:BY6"/>
    <mergeCell ref="BQ8:BS8"/>
    <mergeCell ref="BT8:BV8"/>
    <mergeCell ref="BW8:BY8"/>
    <mergeCell ref="BN87:BP87"/>
    <mergeCell ref="AJ89:AL89"/>
    <mergeCell ref="AM89:AO89"/>
    <mergeCell ref="AP89:AR89"/>
    <mergeCell ref="AS89:AU89"/>
    <mergeCell ref="AV89:AX89"/>
    <mergeCell ref="AY89:BA89"/>
    <mergeCell ref="BB89:BD89"/>
    <mergeCell ref="BE89:BG89"/>
    <mergeCell ref="BH89:BJ89"/>
    <mergeCell ref="BK89:BM89"/>
    <mergeCell ref="BN89:BP89"/>
    <mergeCell ref="AY87:BA87"/>
    <mergeCell ref="BB87:BD87"/>
    <mergeCell ref="BE87:BG87"/>
    <mergeCell ref="BH87:BJ87"/>
    <mergeCell ref="BK87:BM87"/>
    <mergeCell ref="AJ87:AL87"/>
    <mergeCell ref="AM87:AO87"/>
    <mergeCell ref="AP87:AR87"/>
    <mergeCell ref="AS87:AU87"/>
    <mergeCell ref="AV87:AX87"/>
    <mergeCell ref="BN85:BP85"/>
    <mergeCell ref="AJ86:AL86"/>
    <mergeCell ref="AM86:AO86"/>
    <mergeCell ref="AP86:AR86"/>
    <mergeCell ref="AS86:AU86"/>
    <mergeCell ref="AV86:AX86"/>
    <mergeCell ref="AY86:BA86"/>
    <mergeCell ref="BB86:BD86"/>
    <mergeCell ref="BE86:BG86"/>
    <mergeCell ref="BH86:BJ86"/>
    <mergeCell ref="BK86:BM86"/>
    <mergeCell ref="BN86:BP86"/>
    <mergeCell ref="AY85:BA85"/>
    <mergeCell ref="BB85:BD85"/>
    <mergeCell ref="BE85:BG85"/>
    <mergeCell ref="BH85:BJ85"/>
    <mergeCell ref="BK85:BM85"/>
    <mergeCell ref="AJ85:AL85"/>
    <mergeCell ref="AM85:AO85"/>
    <mergeCell ref="AP85:AR85"/>
    <mergeCell ref="AS85:AU85"/>
    <mergeCell ref="AV85:AX85"/>
    <mergeCell ref="BN82:BP82"/>
    <mergeCell ref="AJ84:AL84"/>
    <mergeCell ref="AM84:AO84"/>
    <mergeCell ref="AP84:AR84"/>
    <mergeCell ref="AS84:AU84"/>
    <mergeCell ref="AV84:AX84"/>
    <mergeCell ref="AY84:BA84"/>
    <mergeCell ref="BB84:BD84"/>
    <mergeCell ref="BE84:BG84"/>
    <mergeCell ref="BH84:BJ84"/>
    <mergeCell ref="BK84:BM84"/>
    <mergeCell ref="BN84:BP84"/>
    <mergeCell ref="AY82:BA82"/>
    <mergeCell ref="BB82:BD82"/>
    <mergeCell ref="BE82:BG82"/>
    <mergeCell ref="BH82:BJ82"/>
    <mergeCell ref="BK82:BM82"/>
    <mergeCell ref="AJ82:AL82"/>
    <mergeCell ref="AM82:AO82"/>
    <mergeCell ref="AP82:AR82"/>
    <mergeCell ref="AS82:AU82"/>
    <mergeCell ref="AV82:AX82"/>
    <mergeCell ref="BN80:BP80"/>
    <mergeCell ref="AJ81:AL81"/>
    <mergeCell ref="AM81:AO81"/>
    <mergeCell ref="AP81:AR81"/>
    <mergeCell ref="AS81:AU81"/>
    <mergeCell ref="AV81:AX81"/>
    <mergeCell ref="AY81:BA81"/>
    <mergeCell ref="BB81:BD81"/>
    <mergeCell ref="BE81:BG81"/>
    <mergeCell ref="BH81:BJ81"/>
    <mergeCell ref="BK81:BM81"/>
    <mergeCell ref="BN81:BP81"/>
    <mergeCell ref="AY80:BA80"/>
    <mergeCell ref="BB80:BD80"/>
    <mergeCell ref="BE80:BG80"/>
    <mergeCell ref="BH80:BJ80"/>
    <mergeCell ref="BK80:BM80"/>
    <mergeCell ref="AJ80:AL80"/>
    <mergeCell ref="AM80:AO80"/>
    <mergeCell ref="AP80:AR80"/>
    <mergeCell ref="AS80:AU80"/>
    <mergeCell ref="AV80:AX80"/>
    <mergeCell ref="BN71:BP71"/>
    <mergeCell ref="AJ79:AL79"/>
    <mergeCell ref="AM79:AO79"/>
    <mergeCell ref="AP79:AR79"/>
    <mergeCell ref="AS79:AU79"/>
    <mergeCell ref="AV79:AX79"/>
    <mergeCell ref="AY79:BA79"/>
    <mergeCell ref="BB79:BD79"/>
    <mergeCell ref="BE79:BG79"/>
    <mergeCell ref="BH79:BJ79"/>
    <mergeCell ref="BK79:BM79"/>
    <mergeCell ref="BN79:BP79"/>
    <mergeCell ref="AY71:BA71"/>
    <mergeCell ref="BB71:BD71"/>
    <mergeCell ref="BE71:BG71"/>
    <mergeCell ref="BH71:BJ71"/>
    <mergeCell ref="BK71:BM71"/>
    <mergeCell ref="AJ71:AL71"/>
    <mergeCell ref="AM71:AO71"/>
    <mergeCell ref="AP71:AR71"/>
    <mergeCell ref="AS71:AU71"/>
    <mergeCell ref="AV71:AX71"/>
    <mergeCell ref="AM76:AO76"/>
    <mergeCell ref="AJ76:AL76"/>
    <mergeCell ref="BN68:BP68"/>
    <mergeCell ref="AJ69:AL69"/>
    <mergeCell ref="AM69:AO69"/>
    <mergeCell ref="AP69:AR69"/>
    <mergeCell ref="AS69:AU69"/>
    <mergeCell ref="AV69:AX69"/>
    <mergeCell ref="AY69:BA69"/>
    <mergeCell ref="BB69:BD69"/>
    <mergeCell ref="BE69:BG69"/>
    <mergeCell ref="BH69:BJ69"/>
    <mergeCell ref="BK69:BM69"/>
    <mergeCell ref="BN69:BP69"/>
    <mergeCell ref="AY68:BA68"/>
    <mergeCell ref="BB68:BD68"/>
    <mergeCell ref="BE68:BG68"/>
    <mergeCell ref="BH68:BJ68"/>
    <mergeCell ref="BK68:BM68"/>
    <mergeCell ref="AJ68:AL68"/>
    <mergeCell ref="AM68:AO68"/>
    <mergeCell ref="AP68:AR68"/>
    <mergeCell ref="AS68:AU68"/>
    <mergeCell ref="AV68:AX68"/>
    <mergeCell ref="BN64:BP64"/>
    <mergeCell ref="AJ67:AL67"/>
    <mergeCell ref="AM67:AO67"/>
    <mergeCell ref="AP67:AR67"/>
    <mergeCell ref="AS67:AU67"/>
    <mergeCell ref="AV67:AX67"/>
    <mergeCell ref="AY67:BA67"/>
    <mergeCell ref="BB67:BD67"/>
    <mergeCell ref="BE67:BG67"/>
    <mergeCell ref="BH67:BJ67"/>
    <mergeCell ref="BK67:BM67"/>
    <mergeCell ref="BN67:BP67"/>
    <mergeCell ref="AY64:BA64"/>
    <mergeCell ref="BB64:BD64"/>
    <mergeCell ref="BE64:BG64"/>
    <mergeCell ref="BH64:BJ64"/>
    <mergeCell ref="BK64:BM64"/>
    <mergeCell ref="AJ64:AL64"/>
    <mergeCell ref="AM64:AO64"/>
    <mergeCell ref="AP64:AR64"/>
    <mergeCell ref="AS64:AU64"/>
    <mergeCell ref="AV64:AX64"/>
    <mergeCell ref="BN59:BP59"/>
    <mergeCell ref="AJ62:AL62"/>
    <mergeCell ref="AM62:AO62"/>
    <mergeCell ref="AP62:AR62"/>
    <mergeCell ref="AS62:AU62"/>
    <mergeCell ref="AV62:AX62"/>
    <mergeCell ref="AY62:BA62"/>
    <mergeCell ref="BB62:BD62"/>
    <mergeCell ref="BE62:BG62"/>
    <mergeCell ref="BH62:BJ62"/>
    <mergeCell ref="BK62:BM62"/>
    <mergeCell ref="BN62:BP62"/>
    <mergeCell ref="AY59:BA59"/>
    <mergeCell ref="BB59:BD59"/>
    <mergeCell ref="BE59:BG59"/>
    <mergeCell ref="BH59:BJ59"/>
    <mergeCell ref="BK59:BM59"/>
    <mergeCell ref="AJ59:AL59"/>
    <mergeCell ref="AM59:AO59"/>
    <mergeCell ref="AP59:AR59"/>
    <mergeCell ref="AS59:AU59"/>
    <mergeCell ref="AV59:AX59"/>
    <mergeCell ref="BN56:BP56"/>
    <mergeCell ref="AJ58:AL58"/>
    <mergeCell ref="AM58:AO58"/>
    <mergeCell ref="AP58:AR58"/>
    <mergeCell ref="AS58:AU58"/>
    <mergeCell ref="AV58:AX58"/>
    <mergeCell ref="AY58:BA58"/>
    <mergeCell ref="BB58:BD58"/>
    <mergeCell ref="BE58:BG58"/>
    <mergeCell ref="BH58:BJ58"/>
    <mergeCell ref="BK58:BM58"/>
    <mergeCell ref="BN58:BP58"/>
    <mergeCell ref="AY56:BA56"/>
    <mergeCell ref="BB56:BD56"/>
    <mergeCell ref="BE56:BG56"/>
    <mergeCell ref="BH56:BJ56"/>
    <mergeCell ref="BK56:BM56"/>
    <mergeCell ref="AJ56:AL56"/>
    <mergeCell ref="AM56:AO56"/>
    <mergeCell ref="AP56:AR56"/>
    <mergeCell ref="AS56:AU56"/>
    <mergeCell ref="AV56:AX56"/>
    <mergeCell ref="BN54:BP54"/>
    <mergeCell ref="AJ55:AL55"/>
    <mergeCell ref="AM55:AO55"/>
    <mergeCell ref="AP55:AR55"/>
    <mergeCell ref="AS55:AU55"/>
    <mergeCell ref="AV55:AX55"/>
    <mergeCell ref="AY55:BA55"/>
    <mergeCell ref="BB55:BD55"/>
    <mergeCell ref="BE55:BG55"/>
    <mergeCell ref="BH55:BJ55"/>
    <mergeCell ref="BK55:BM55"/>
    <mergeCell ref="BN55:BP55"/>
    <mergeCell ref="AY54:BA54"/>
    <mergeCell ref="BB54:BD54"/>
    <mergeCell ref="BE54:BG54"/>
    <mergeCell ref="BH54:BJ54"/>
    <mergeCell ref="BK54:BM54"/>
    <mergeCell ref="AJ54:AL54"/>
    <mergeCell ref="AM54:AO54"/>
    <mergeCell ref="AP54:AR54"/>
    <mergeCell ref="AS54:AU54"/>
    <mergeCell ref="AV54:AX54"/>
    <mergeCell ref="BN51:BP51"/>
    <mergeCell ref="AJ53:AL53"/>
    <mergeCell ref="AM53:AO53"/>
    <mergeCell ref="AP53:AR53"/>
    <mergeCell ref="AS53:AU53"/>
    <mergeCell ref="AV53:AX53"/>
    <mergeCell ref="AY53:BA53"/>
    <mergeCell ref="BB53:BD53"/>
    <mergeCell ref="BE53:BG53"/>
    <mergeCell ref="BH53:BJ53"/>
    <mergeCell ref="BK53:BM53"/>
    <mergeCell ref="BN53:BP53"/>
    <mergeCell ref="AY51:BA51"/>
    <mergeCell ref="BB51:BD51"/>
    <mergeCell ref="BE51:BG51"/>
    <mergeCell ref="BH51:BJ51"/>
    <mergeCell ref="BK51:BM51"/>
    <mergeCell ref="AJ51:AL51"/>
    <mergeCell ref="AM51:AO51"/>
    <mergeCell ref="AP51:AR51"/>
    <mergeCell ref="AS51:AU51"/>
    <mergeCell ref="AV51:AX51"/>
    <mergeCell ref="BN48:BP48"/>
    <mergeCell ref="AJ50:AL50"/>
    <mergeCell ref="AM50:AO50"/>
    <mergeCell ref="AP50:AR50"/>
    <mergeCell ref="AS50:AU50"/>
    <mergeCell ref="AV50:AX50"/>
    <mergeCell ref="AY50:BA50"/>
    <mergeCell ref="BB50:BD50"/>
    <mergeCell ref="BE50:BG50"/>
    <mergeCell ref="BH50:BJ50"/>
    <mergeCell ref="BK50:BM50"/>
    <mergeCell ref="BN50:BP50"/>
    <mergeCell ref="AY48:BA48"/>
    <mergeCell ref="BB48:BD48"/>
    <mergeCell ref="BE48:BG48"/>
    <mergeCell ref="BH48:BJ48"/>
    <mergeCell ref="BK48:BM48"/>
    <mergeCell ref="AJ48:AL48"/>
    <mergeCell ref="AM48:AO48"/>
    <mergeCell ref="AP48:AR48"/>
    <mergeCell ref="AS48:AU48"/>
    <mergeCell ref="AV48:AX48"/>
    <mergeCell ref="BN45:BP45"/>
    <mergeCell ref="AJ46:AL46"/>
    <mergeCell ref="AM46:AO46"/>
    <mergeCell ref="AP46:AR46"/>
    <mergeCell ref="AS46:AU46"/>
    <mergeCell ref="AV46:AX46"/>
    <mergeCell ref="AY46:BA46"/>
    <mergeCell ref="BB46:BD46"/>
    <mergeCell ref="BE46:BG46"/>
    <mergeCell ref="BH46:BJ46"/>
    <mergeCell ref="BK46:BM46"/>
    <mergeCell ref="BN46:BP46"/>
    <mergeCell ref="AY45:BA45"/>
    <mergeCell ref="BB45:BD45"/>
    <mergeCell ref="BE45:BG45"/>
    <mergeCell ref="BH45:BJ45"/>
    <mergeCell ref="BK45:BM45"/>
    <mergeCell ref="AJ45:AL45"/>
    <mergeCell ref="AM45:AO45"/>
    <mergeCell ref="AP45:AR45"/>
    <mergeCell ref="AS45:AU45"/>
    <mergeCell ref="AV45:AX45"/>
    <mergeCell ref="BN42:BP42"/>
    <mergeCell ref="AJ43:AL43"/>
    <mergeCell ref="AM43:AO43"/>
    <mergeCell ref="AP43:AR43"/>
    <mergeCell ref="AS43:AU43"/>
    <mergeCell ref="AV43:AX43"/>
    <mergeCell ref="AY43:BA43"/>
    <mergeCell ref="BB43:BD43"/>
    <mergeCell ref="BE43:BG43"/>
    <mergeCell ref="BH43:BJ43"/>
    <mergeCell ref="BK43:BM43"/>
    <mergeCell ref="BN43:BP43"/>
    <mergeCell ref="AY42:BA42"/>
    <mergeCell ref="BB42:BD42"/>
    <mergeCell ref="BE42:BG42"/>
    <mergeCell ref="BH42:BJ42"/>
    <mergeCell ref="BK42:BM42"/>
    <mergeCell ref="AJ42:AL42"/>
    <mergeCell ref="AM42:AO42"/>
    <mergeCell ref="AP42:AR42"/>
    <mergeCell ref="AS42:AU42"/>
    <mergeCell ref="AV42:AX42"/>
    <mergeCell ref="BN40:BP40"/>
    <mergeCell ref="AJ41:AL41"/>
    <mergeCell ref="AM41:AO41"/>
    <mergeCell ref="AP41:AR41"/>
    <mergeCell ref="AS41:AU41"/>
    <mergeCell ref="AV41:AX41"/>
    <mergeCell ref="AY41:BA41"/>
    <mergeCell ref="BB41:BD41"/>
    <mergeCell ref="BE41:BG41"/>
    <mergeCell ref="BH41:BJ41"/>
    <mergeCell ref="BK41:BM41"/>
    <mergeCell ref="BN41:BP41"/>
    <mergeCell ref="AY40:BA40"/>
    <mergeCell ref="BB40:BD40"/>
    <mergeCell ref="BE40:BG40"/>
    <mergeCell ref="BH40:BJ40"/>
    <mergeCell ref="BK40:BM40"/>
    <mergeCell ref="AJ40:AL40"/>
    <mergeCell ref="AM40:AO40"/>
    <mergeCell ref="AP40:AR40"/>
    <mergeCell ref="AS40:AU40"/>
    <mergeCell ref="AV40:AX40"/>
    <mergeCell ref="BN38:BP38"/>
    <mergeCell ref="AJ39:AL39"/>
    <mergeCell ref="AM39:AO39"/>
    <mergeCell ref="AP39:AR39"/>
    <mergeCell ref="AS39:AU39"/>
    <mergeCell ref="AV39:AX39"/>
    <mergeCell ref="AY39:BA39"/>
    <mergeCell ref="BB39:BD39"/>
    <mergeCell ref="BE39:BG39"/>
    <mergeCell ref="BH39:BJ39"/>
    <mergeCell ref="BK39:BM39"/>
    <mergeCell ref="BN39:BP39"/>
    <mergeCell ref="AY38:BA38"/>
    <mergeCell ref="BB38:BD38"/>
    <mergeCell ref="BE38:BG38"/>
    <mergeCell ref="BH38:BJ38"/>
    <mergeCell ref="BK38:BM38"/>
    <mergeCell ref="AJ38:AL38"/>
    <mergeCell ref="AM38:AO38"/>
    <mergeCell ref="AP38:AR38"/>
    <mergeCell ref="AS38:AU38"/>
    <mergeCell ref="AV38:AX38"/>
    <mergeCell ref="BN35:BP35"/>
    <mergeCell ref="AJ36:AL36"/>
    <mergeCell ref="AM36:AO36"/>
    <mergeCell ref="AP36:AR36"/>
    <mergeCell ref="AS36:AU36"/>
    <mergeCell ref="AV36:AX36"/>
    <mergeCell ref="AY36:BA36"/>
    <mergeCell ref="BB36:BD36"/>
    <mergeCell ref="BE36:BG36"/>
    <mergeCell ref="BH36:BJ36"/>
    <mergeCell ref="BK36:BM36"/>
    <mergeCell ref="BN36:BP36"/>
    <mergeCell ref="AY35:BA35"/>
    <mergeCell ref="BB35:BD35"/>
    <mergeCell ref="BE35:BG35"/>
    <mergeCell ref="BH35:BJ35"/>
    <mergeCell ref="BK35:BM35"/>
    <mergeCell ref="AJ35:AL35"/>
    <mergeCell ref="AM35:AO35"/>
    <mergeCell ref="AP35:AR35"/>
    <mergeCell ref="AS35:AU35"/>
    <mergeCell ref="AV35:AX35"/>
    <mergeCell ref="BN33:BP33"/>
    <mergeCell ref="AJ34:AL34"/>
    <mergeCell ref="AM34:AO34"/>
    <mergeCell ref="AP34:AR34"/>
    <mergeCell ref="AS34:AU34"/>
    <mergeCell ref="AV34:AX34"/>
    <mergeCell ref="AY34:BA34"/>
    <mergeCell ref="BB34:BD34"/>
    <mergeCell ref="BE34:BG34"/>
    <mergeCell ref="BH34:BJ34"/>
    <mergeCell ref="BK34:BM34"/>
    <mergeCell ref="BN34:BP34"/>
    <mergeCell ref="AY33:BA33"/>
    <mergeCell ref="BB33:BD33"/>
    <mergeCell ref="BE33:BG33"/>
    <mergeCell ref="BH33:BJ33"/>
    <mergeCell ref="BK33:BM33"/>
    <mergeCell ref="AJ33:AL33"/>
    <mergeCell ref="AM33:AO33"/>
    <mergeCell ref="AP33:AR33"/>
    <mergeCell ref="AS33:AU33"/>
    <mergeCell ref="AV33:AX33"/>
    <mergeCell ref="BN31:BP31"/>
    <mergeCell ref="AJ32:AL32"/>
    <mergeCell ref="AM32:AO32"/>
    <mergeCell ref="AP32:AR32"/>
    <mergeCell ref="AS32:AU32"/>
    <mergeCell ref="AV32:AX32"/>
    <mergeCell ref="AY32:BA32"/>
    <mergeCell ref="BB32:BD32"/>
    <mergeCell ref="BE32:BG32"/>
    <mergeCell ref="BH32:BJ32"/>
    <mergeCell ref="BK32:BM32"/>
    <mergeCell ref="BN32:BP32"/>
    <mergeCell ref="AY31:BA31"/>
    <mergeCell ref="BB31:BD31"/>
    <mergeCell ref="BE31:BG31"/>
    <mergeCell ref="BH31:BJ31"/>
    <mergeCell ref="BK31:BM31"/>
    <mergeCell ref="AJ31:AL31"/>
    <mergeCell ref="AM31:AO31"/>
    <mergeCell ref="AP31:AR31"/>
    <mergeCell ref="AS31:AU31"/>
    <mergeCell ref="AV31:AX31"/>
    <mergeCell ref="AJ30:AL30"/>
    <mergeCell ref="AM30:AO30"/>
    <mergeCell ref="AP30:AR30"/>
    <mergeCell ref="AS30:AU30"/>
    <mergeCell ref="AV30:AX30"/>
    <mergeCell ref="AY30:BA30"/>
    <mergeCell ref="BB30:BD30"/>
    <mergeCell ref="BE30:BG30"/>
    <mergeCell ref="BH30:BJ30"/>
    <mergeCell ref="BK30:BM30"/>
    <mergeCell ref="BN30:BP30"/>
    <mergeCell ref="BB23:BC23"/>
    <mergeCell ref="BE23:BF23"/>
    <mergeCell ref="BH23:BI23"/>
    <mergeCell ref="BK23:BL23"/>
    <mergeCell ref="BN23:BO23"/>
    <mergeCell ref="BN21:BP21"/>
    <mergeCell ref="AJ22:AL22"/>
    <mergeCell ref="AM22:AO22"/>
    <mergeCell ref="AP22:AR22"/>
    <mergeCell ref="AS22:AU22"/>
    <mergeCell ref="AV22:AX22"/>
    <mergeCell ref="AY22:BA22"/>
    <mergeCell ref="BB22:BD22"/>
    <mergeCell ref="BE22:BG22"/>
    <mergeCell ref="BH22:BJ22"/>
    <mergeCell ref="BK22:BM22"/>
    <mergeCell ref="BN22:BP22"/>
    <mergeCell ref="AY21:BA21"/>
    <mergeCell ref="BB21:BD21"/>
    <mergeCell ref="BE21:BG21"/>
    <mergeCell ref="BH21:BJ21"/>
    <mergeCell ref="BK21:BM21"/>
    <mergeCell ref="AJ21:AL21"/>
    <mergeCell ref="AM21:AO21"/>
    <mergeCell ref="AP21:AR21"/>
    <mergeCell ref="AS21:AU21"/>
    <mergeCell ref="AV21:AX21"/>
    <mergeCell ref="BN19:BP19"/>
    <mergeCell ref="AJ20:AL20"/>
    <mergeCell ref="AM20:AO20"/>
    <mergeCell ref="AP20:AR20"/>
    <mergeCell ref="AS20:AU20"/>
    <mergeCell ref="AV20:AX20"/>
    <mergeCell ref="AY20:BA20"/>
    <mergeCell ref="BB20:BD20"/>
    <mergeCell ref="BE20:BG20"/>
    <mergeCell ref="BH20:BJ20"/>
    <mergeCell ref="BK20:BM20"/>
    <mergeCell ref="BN20:BP20"/>
    <mergeCell ref="AY19:BA19"/>
    <mergeCell ref="BB19:BD19"/>
    <mergeCell ref="BE19:BG19"/>
    <mergeCell ref="BH19:BJ19"/>
    <mergeCell ref="BK19:BM19"/>
    <mergeCell ref="AJ19:AL19"/>
    <mergeCell ref="AM19:AO19"/>
    <mergeCell ref="AP19:AR19"/>
    <mergeCell ref="AS19:AU19"/>
    <mergeCell ref="AV19:AX19"/>
    <mergeCell ref="BN17:BP17"/>
    <mergeCell ref="AJ18:AL18"/>
    <mergeCell ref="AM18:AO18"/>
    <mergeCell ref="AP18:AR18"/>
    <mergeCell ref="AS18:AU18"/>
    <mergeCell ref="AV18:AX18"/>
    <mergeCell ref="AY18:BA18"/>
    <mergeCell ref="BB18:BD18"/>
    <mergeCell ref="BE18:BG18"/>
    <mergeCell ref="BH18:BJ18"/>
    <mergeCell ref="BK18:BM18"/>
    <mergeCell ref="BN18:BP18"/>
    <mergeCell ref="AY17:BA17"/>
    <mergeCell ref="BB17:BD17"/>
    <mergeCell ref="BE17:BG17"/>
    <mergeCell ref="BH17:BJ17"/>
    <mergeCell ref="BK17:BM17"/>
    <mergeCell ref="AJ17:AL17"/>
    <mergeCell ref="AM17:AO17"/>
    <mergeCell ref="AP17:AR17"/>
    <mergeCell ref="AS17:AU17"/>
    <mergeCell ref="AV17:AX17"/>
    <mergeCell ref="BN14:BP14"/>
    <mergeCell ref="AJ16:AL16"/>
    <mergeCell ref="AM16:AO16"/>
    <mergeCell ref="AP16:AR16"/>
    <mergeCell ref="AS16:AU16"/>
    <mergeCell ref="AV16:AX16"/>
    <mergeCell ref="AY16:BA16"/>
    <mergeCell ref="BB16:BD16"/>
    <mergeCell ref="BE16:BG16"/>
    <mergeCell ref="BH16:BJ16"/>
    <mergeCell ref="BK16:BM16"/>
    <mergeCell ref="BN16:BP16"/>
    <mergeCell ref="AY14:BA14"/>
    <mergeCell ref="BB14:BD14"/>
    <mergeCell ref="BE14:BG14"/>
    <mergeCell ref="BH14:BJ14"/>
    <mergeCell ref="BK14:BM14"/>
    <mergeCell ref="AJ14:AL14"/>
    <mergeCell ref="AM14:AO14"/>
    <mergeCell ref="AP14:AR14"/>
    <mergeCell ref="AS14:AU14"/>
    <mergeCell ref="AV14:AX14"/>
    <mergeCell ref="BN11:BP11"/>
    <mergeCell ref="AJ12:AL12"/>
    <mergeCell ref="AM12:AO12"/>
    <mergeCell ref="AP12:AR12"/>
    <mergeCell ref="AS12:AU12"/>
    <mergeCell ref="AV12:AX12"/>
    <mergeCell ref="AY12:BA12"/>
    <mergeCell ref="BB12:BD12"/>
    <mergeCell ref="BE12:BG12"/>
    <mergeCell ref="BH12:BJ12"/>
    <mergeCell ref="BK12:BM12"/>
    <mergeCell ref="BN12:BP12"/>
    <mergeCell ref="AY11:BA11"/>
    <mergeCell ref="BB11:BD11"/>
    <mergeCell ref="BE11:BG11"/>
    <mergeCell ref="BH11:BJ11"/>
    <mergeCell ref="BK11:BM11"/>
    <mergeCell ref="AJ11:AL11"/>
    <mergeCell ref="AM11:AO11"/>
    <mergeCell ref="AP11:AR11"/>
    <mergeCell ref="AS11:AU11"/>
    <mergeCell ref="AV11:AX11"/>
    <mergeCell ref="BN9:BP9"/>
    <mergeCell ref="AJ10:AL10"/>
    <mergeCell ref="AM10:AO10"/>
    <mergeCell ref="AP10:AR10"/>
    <mergeCell ref="AS10:AU10"/>
    <mergeCell ref="AV10:AX10"/>
    <mergeCell ref="AY10:BA10"/>
    <mergeCell ref="BB10:BD10"/>
    <mergeCell ref="BE10:BG10"/>
    <mergeCell ref="BH10:BJ10"/>
    <mergeCell ref="BK10:BM10"/>
    <mergeCell ref="BN10:BP10"/>
    <mergeCell ref="AY9:BA9"/>
    <mergeCell ref="BB9:BD9"/>
    <mergeCell ref="BE9:BG9"/>
    <mergeCell ref="BH9:BJ9"/>
    <mergeCell ref="BK9:BM9"/>
    <mergeCell ref="AJ9:AL9"/>
    <mergeCell ref="AM9:AO9"/>
    <mergeCell ref="AP9:AR9"/>
    <mergeCell ref="AS9:AU9"/>
    <mergeCell ref="AV9:AX9"/>
    <mergeCell ref="BN6:BP6"/>
    <mergeCell ref="AJ8:AL8"/>
    <mergeCell ref="AM8:AO8"/>
    <mergeCell ref="AP8:AR8"/>
    <mergeCell ref="AS8:AU8"/>
    <mergeCell ref="AV8:AX8"/>
    <mergeCell ref="AY8:BA8"/>
    <mergeCell ref="BB8:BD8"/>
    <mergeCell ref="BE8:BG8"/>
    <mergeCell ref="BH8:BJ8"/>
    <mergeCell ref="BK8:BM8"/>
    <mergeCell ref="BN8:BP8"/>
    <mergeCell ref="AY6:BA6"/>
    <mergeCell ref="BB6:BD6"/>
    <mergeCell ref="BE6:BG6"/>
    <mergeCell ref="BH6:BJ6"/>
    <mergeCell ref="BK6:BM6"/>
    <mergeCell ref="AJ6:AL6"/>
    <mergeCell ref="AM6:AO6"/>
    <mergeCell ref="AP6:AR6"/>
    <mergeCell ref="AS6:AU6"/>
    <mergeCell ref="AV6:AX6"/>
    <mergeCell ref="AJ7:AL7"/>
    <mergeCell ref="AM7:AO7"/>
    <mergeCell ref="AP7:AR7"/>
    <mergeCell ref="AS7:AU7"/>
    <mergeCell ref="AV7:AX7"/>
    <mergeCell ref="AY7:BA7"/>
    <mergeCell ref="BB7:BD7"/>
    <mergeCell ref="BE7:BG7"/>
    <mergeCell ref="BH7:BJ7"/>
    <mergeCell ref="BK7:BM7"/>
    <mergeCell ref="X87:Z87"/>
    <mergeCell ref="AA87:AC87"/>
    <mergeCell ref="AD87:AF87"/>
    <mergeCell ref="I89:K89"/>
    <mergeCell ref="L89:N89"/>
    <mergeCell ref="O89:Q89"/>
    <mergeCell ref="R89:T89"/>
    <mergeCell ref="U89:W89"/>
    <mergeCell ref="X89:Z89"/>
    <mergeCell ref="AA89:AC89"/>
    <mergeCell ref="AD89:AF89"/>
    <mergeCell ref="AG87:AI87"/>
    <mergeCell ref="AG89:AI89"/>
    <mergeCell ref="I87:K87"/>
    <mergeCell ref="L87:N87"/>
    <mergeCell ref="O87:Q87"/>
    <mergeCell ref="R87:T87"/>
    <mergeCell ref="U87:W87"/>
    <mergeCell ref="X85:Z85"/>
    <mergeCell ref="AA85:AC85"/>
    <mergeCell ref="AD85:AF85"/>
    <mergeCell ref="I86:K86"/>
    <mergeCell ref="L86:N86"/>
    <mergeCell ref="O86:Q86"/>
    <mergeCell ref="R86:T86"/>
    <mergeCell ref="U86:W86"/>
    <mergeCell ref="X86:Z86"/>
    <mergeCell ref="AA86:AC86"/>
    <mergeCell ref="AD86:AF86"/>
    <mergeCell ref="AG85:AI85"/>
    <mergeCell ref="AG86:AI86"/>
    <mergeCell ref="I85:K85"/>
    <mergeCell ref="L85:N85"/>
    <mergeCell ref="O85:Q85"/>
    <mergeCell ref="R85:T85"/>
    <mergeCell ref="U85:W85"/>
    <mergeCell ref="X82:Z82"/>
    <mergeCell ref="AA82:AC82"/>
    <mergeCell ref="AD82:AF82"/>
    <mergeCell ref="I84:K84"/>
    <mergeCell ref="L84:N84"/>
    <mergeCell ref="O84:Q84"/>
    <mergeCell ref="R84:T84"/>
    <mergeCell ref="U84:W84"/>
    <mergeCell ref="X84:Z84"/>
    <mergeCell ref="AA84:AC84"/>
    <mergeCell ref="AD84:AF84"/>
    <mergeCell ref="AG82:AI82"/>
    <mergeCell ref="AG84:AI84"/>
    <mergeCell ref="I82:K82"/>
    <mergeCell ref="L82:N82"/>
    <mergeCell ref="O82:Q82"/>
    <mergeCell ref="R82:T82"/>
    <mergeCell ref="U82:W82"/>
    <mergeCell ref="X80:Z80"/>
    <mergeCell ref="AA80:AC80"/>
    <mergeCell ref="AD80:AF80"/>
    <mergeCell ref="I81:K81"/>
    <mergeCell ref="L81:N81"/>
    <mergeCell ref="O81:Q81"/>
    <mergeCell ref="R81:T81"/>
    <mergeCell ref="U81:W81"/>
    <mergeCell ref="X81:Z81"/>
    <mergeCell ref="AA81:AC81"/>
    <mergeCell ref="AD81:AF81"/>
    <mergeCell ref="AG80:AI80"/>
    <mergeCell ref="AG81:AI81"/>
    <mergeCell ref="I80:K80"/>
    <mergeCell ref="L80:N80"/>
    <mergeCell ref="O80:Q80"/>
    <mergeCell ref="R80:T80"/>
    <mergeCell ref="U80:W80"/>
    <mergeCell ref="X71:Z71"/>
    <mergeCell ref="AA71:AC71"/>
    <mergeCell ref="AD71:AF71"/>
    <mergeCell ref="I79:K79"/>
    <mergeCell ref="L79:N79"/>
    <mergeCell ref="O79:Q79"/>
    <mergeCell ref="R79:T79"/>
    <mergeCell ref="U79:W79"/>
    <mergeCell ref="X79:Z79"/>
    <mergeCell ref="AA79:AC79"/>
    <mergeCell ref="AD79:AF79"/>
    <mergeCell ref="AG71:AI71"/>
    <mergeCell ref="AG79:AI79"/>
    <mergeCell ref="I71:K71"/>
    <mergeCell ref="L71:N71"/>
    <mergeCell ref="O71:Q71"/>
    <mergeCell ref="R71:T71"/>
    <mergeCell ref="U71:W71"/>
    <mergeCell ref="AG76:AI76"/>
    <mergeCell ref="AD76:AF76"/>
    <mergeCell ref="AA76:AC76"/>
    <mergeCell ref="X76:Z76"/>
    <mergeCell ref="U76:W76"/>
    <mergeCell ref="R76:T76"/>
    <mergeCell ref="O76:Q76"/>
    <mergeCell ref="L76:N76"/>
    <mergeCell ref="I76:K76"/>
    <mergeCell ref="X68:Z68"/>
    <mergeCell ref="AA68:AC68"/>
    <mergeCell ref="AD68:AF68"/>
    <mergeCell ref="I69:K69"/>
    <mergeCell ref="L69:N69"/>
    <mergeCell ref="O69:Q69"/>
    <mergeCell ref="R69:T69"/>
    <mergeCell ref="U69:W69"/>
    <mergeCell ref="X69:Z69"/>
    <mergeCell ref="AA69:AC69"/>
    <mergeCell ref="AD69:AF69"/>
    <mergeCell ref="AG68:AI68"/>
    <mergeCell ref="AG69:AI69"/>
    <mergeCell ref="I68:K68"/>
    <mergeCell ref="L68:N68"/>
    <mergeCell ref="O68:Q68"/>
    <mergeCell ref="R68:T68"/>
    <mergeCell ref="U68:W68"/>
    <mergeCell ref="X64:Z64"/>
    <mergeCell ref="AA64:AC64"/>
    <mergeCell ref="AD64:AF64"/>
    <mergeCell ref="I67:K67"/>
    <mergeCell ref="L67:N67"/>
    <mergeCell ref="O67:Q67"/>
    <mergeCell ref="R67:T67"/>
    <mergeCell ref="U67:W67"/>
    <mergeCell ref="X67:Z67"/>
    <mergeCell ref="AA67:AC67"/>
    <mergeCell ref="AD67:AF67"/>
    <mergeCell ref="AG64:AI64"/>
    <mergeCell ref="AG67:AI67"/>
    <mergeCell ref="I64:K64"/>
    <mergeCell ref="L64:N64"/>
    <mergeCell ref="O64:Q64"/>
    <mergeCell ref="R64:T64"/>
    <mergeCell ref="U64:W64"/>
    <mergeCell ref="X59:Z59"/>
    <mergeCell ref="AA59:AC59"/>
    <mergeCell ref="AD59:AF59"/>
    <mergeCell ref="I62:K62"/>
    <mergeCell ref="L62:N62"/>
    <mergeCell ref="O62:Q62"/>
    <mergeCell ref="R62:T62"/>
    <mergeCell ref="U62:W62"/>
    <mergeCell ref="X62:Z62"/>
    <mergeCell ref="AA62:AC62"/>
    <mergeCell ref="AD62:AF62"/>
    <mergeCell ref="AG59:AI59"/>
    <mergeCell ref="AG62:AI62"/>
    <mergeCell ref="I59:K59"/>
    <mergeCell ref="L59:N59"/>
    <mergeCell ref="O59:Q59"/>
    <mergeCell ref="R59:T59"/>
    <mergeCell ref="U59:W59"/>
    <mergeCell ref="X56:Z56"/>
    <mergeCell ref="AA56:AC56"/>
    <mergeCell ref="AD56:AF56"/>
    <mergeCell ref="I58:K58"/>
    <mergeCell ref="L58:N58"/>
    <mergeCell ref="O58:Q58"/>
    <mergeCell ref="R58:T58"/>
    <mergeCell ref="U58:W58"/>
    <mergeCell ref="X58:Z58"/>
    <mergeCell ref="AA58:AC58"/>
    <mergeCell ref="AD58:AF58"/>
    <mergeCell ref="AG56:AI56"/>
    <mergeCell ref="AG58:AI58"/>
    <mergeCell ref="I56:K56"/>
    <mergeCell ref="L56:N56"/>
    <mergeCell ref="O56:Q56"/>
    <mergeCell ref="R56:T56"/>
    <mergeCell ref="U56:W56"/>
    <mergeCell ref="X54:Z54"/>
    <mergeCell ref="AA54:AC54"/>
    <mergeCell ref="AD54:AF54"/>
    <mergeCell ref="I55:K55"/>
    <mergeCell ref="L55:N55"/>
    <mergeCell ref="O55:Q55"/>
    <mergeCell ref="R55:T55"/>
    <mergeCell ref="U55:W55"/>
    <mergeCell ref="X55:Z55"/>
    <mergeCell ref="AA55:AC55"/>
    <mergeCell ref="AD55:AF55"/>
    <mergeCell ref="AG54:AI54"/>
    <mergeCell ref="AG55:AI55"/>
    <mergeCell ref="I54:K54"/>
    <mergeCell ref="L54:N54"/>
    <mergeCell ref="O54:Q54"/>
    <mergeCell ref="R54:T54"/>
    <mergeCell ref="U54:W54"/>
    <mergeCell ref="X51:Z51"/>
    <mergeCell ref="AA51:AC51"/>
    <mergeCell ref="AD51:AF51"/>
    <mergeCell ref="I53:K53"/>
    <mergeCell ref="L53:N53"/>
    <mergeCell ref="O53:Q53"/>
    <mergeCell ref="R53:T53"/>
    <mergeCell ref="U53:W53"/>
    <mergeCell ref="X53:Z53"/>
    <mergeCell ref="AA53:AC53"/>
    <mergeCell ref="AD53:AF53"/>
    <mergeCell ref="AG51:AI51"/>
    <mergeCell ref="AG53:AI53"/>
    <mergeCell ref="I51:K51"/>
    <mergeCell ref="L51:N51"/>
    <mergeCell ref="O51:Q51"/>
    <mergeCell ref="R51:T51"/>
    <mergeCell ref="U51:W51"/>
    <mergeCell ref="X48:Z48"/>
    <mergeCell ref="AA48:AC48"/>
    <mergeCell ref="AD48:AF48"/>
    <mergeCell ref="I50:K50"/>
    <mergeCell ref="L50:N50"/>
    <mergeCell ref="O50:Q50"/>
    <mergeCell ref="R50:T50"/>
    <mergeCell ref="U50:W50"/>
    <mergeCell ref="X50:Z50"/>
    <mergeCell ref="AA50:AC50"/>
    <mergeCell ref="AD50:AF50"/>
    <mergeCell ref="AG48:AI48"/>
    <mergeCell ref="AG50:AI50"/>
    <mergeCell ref="I48:K48"/>
    <mergeCell ref="L48:N48"/>
    <mergeCell ref="O48:Q48"/>
    <mergeCell ref="R48:T48"/>
    <mergeCell ref="U48:W48"/>
    <mergeCell ref="X45:Z45"/>
    <mergeCell ref="AA45:AC45"/>
    <mergeCell ref="AD45:AF45"/>
    <mergeCell ref="I46:K46"/>
    <mergeCell ref="L46:N46"/>
    <mergeCell ref="O46:Q46"/>
    <mergeCell ref="R46:T46"/>
    <mergeCell ref="U46:W46"/>
    <mergeCell ref="X46:Z46"/>
    <mergeCell ref="AA46:AC46"/>
    <mergeCell ref="AD46:AF46"/>
    <mergeCell ref="AG45:AI45"/>
    <mergeCell ref="AG46:AI46"/>
    <mergeCell ref="I45:K45"/>
    <mergeCell ref="L45:N45"/>
    <mergeCell ref="O45:Q45"/>
    <mergeCell ref="R45:T45"/>
    <mergeCell ref="U45:W45"/>
    <mergeCell ref="X42:Z42"/>
    <mergeCell ref="AA42:AC42"/>
    <mergeCell ref="AD42:AF42"/>
    <mergeCell ref="I43:K43"/>
    <mergeCell ref="L43:N43"/>
    <mergeCell ref="O43:Q43"/>
    <mergeCell ref="R43:T43"/>
    <mergeCell ref="U43:W43"/>
    <mergeCell ref="X43:Z43"/>
    <mergeCell ref="AA43:AC43"/>
    <mergeCell ref="AD43:AF43"/>
    <mergeCell ref="AG42:AI42"/>
    <mergeCell ref="AG43:AI43"/>
    <mergeCell ref="I42:K42"/>
    <mergeCell ref="L42:N42"/>
    <mergeCell ref="O42:Q42"/>
    <mergeCell ref="R42:T42"/>
    <mergeCell ref="U42:W42"/>
    <mergeCell ref="X40:Z40"/>
    <mergeCell ref="AA40:AC40"/>
    <mergeCell ref="AD40:AF40"/>
    <mergeCell ref="I41:K41"/>
    <mergeCell ref="L41:N41"/>
    <mergeCell ref="O41:Q41"/>
    <mergeCell ref="R41:T41"/>
    <mergeCell ref="U41:W41"/>
    <mergeCell ref="X41:Z41"/>
    <mergeCell ref="AA41:AC41"/>
    <mergeCell ref="AD41:AF41"/>
    <mergeCell ref="AG40:AI40"/>
    <mergeCell ref="AG41:AI41"/>
    <mergeCell ref="I40:K40"/>
    <mergeCell ref="L40:N40"/>
    <mergeCell ref="O40:Q40"/>
    <mergeCell ref="R40:T40"/>
    <mergeCell ref="U40:W40"/>
    <mergeCell ref="X38:Z38"/>
    <mergeCell ref="AA38:AC38"/>
    <mergeCell ref="AD38:AF38"/>
    <mergeCell ref="I39:K39"/>
    <mergeCell ref="L39:N39"/>
    <mergeCell ref="O39:Q39"/>
    <mergeCell ref="R39:T39"/>
    <mergeCell ref="U39:W39"/>
    <mergeCell ref="X39:Z39"/>
    <mergeCell ref="AA39:AC39"/>
    <mergeCell ref="AD39:AF39"/>
    <mergeCell ref="AG38:AI38"/>
    <mergeCell ref="AG39:AI39"/>
    <mergeCell ref="I38:K38"/>
    <mergeCell ref="L38:N38"/>
    <mergeCell ref="O38:Q38"/>
    <mergeCell ref="R38:T38"/>
    <mergeCell ref="U38:W38"/>
    <mergeCell ref="X35:Z35"/>
    <mergeCell ref="AA35:AC35"/>
    <mergeCell ref="AD35:AF35"/>
    <mergeCell ref="I36:K36"/>
    <mergeCell ref="L36:N36"/>
    <mergeCell ref="O36:Q36"/>
    <mergeCell ref="R36:T36"/>
    <mergeCell ref="U36:W36"/>
    <mergeCell ref="X36:Z36"/>
    <mergeCell ref="AA36:AC36"/>
    <mergeCell ref="AD36:AF36"/>
    <mergeCell ref="AG35:AI35"/>
    <mergeCell ref="AG36:AI36"/>
    <mergeCell ref="I35:K35"/>
    <mergeCell ref="L35:N35"/>
    <mergeCell ref="O35:Q35"/>
    <mergeCell ref="R35:T35"/>
    <mergeCell ref="U35:W35"/>
    <mergeCell ref="U32:W32"/>
    <mergeCell ref="X32:Z32"/>
    <mergeCell ref="AA32:AC32"/>
    <mergeCell ref="AD32:AF32"/>
    <mergeCell ref="AG31:AI31"/>
    <mergeCell ref="AG32:AI32"/>
    <mergeCell ref="I31:K31"/>
    <mergeCell ref="L31:N31"/>
    <mergeCell ref="O31:Q31"/>
    <mergeCell ref="R31:T31"/>
    <mergeCell ref="U31:W31"/>
    <mergeCell ref="X33:Z33"/>
    <mergeCell ref="AA33:AC33"/>
    <mergeCell ref="AD33:AF33"/>
    <mergeCell ref="I34:K34"/>
    <mergeCell ref="L34:N34"/>
    <mergeCell ref="O34:Q34"/>
    <mergeCell ref="R34:T34"/>
    <mergeCell ref="U34:W34"/>
    <mergeCell ref="X34:Z34"/>
    <mergeCell ref="AA34:AC34"/>
    <mergeCell ref="AD34:AF34"/>
    <mergeCell ref="AG33:AI33"/>
    <mergeCell ref="AG34:AI34"/>
    <mergeCell ref="I33:K33"/>
    <mergeCell ref="L33:N33"/>
    <mergeCell ref="O33:Q33"/>
    <mergeCell ref="R33:T33"/>
    <mergeCell ref="U33:W33"/>
    <mergeCell ref="AG30:AI30"/>
    <mergeCell ref="I23:J23"/>
    <mergeCell ref="I24:J24"/>
    <mergeCell ref="I25:J25"/>
    <mergeCell ref="X21:Z21"/>
    <mergeCell ref="AA21:AC21"/>
    <mergeCell ref="AD21:AF21"/>
    <mergeCell ref="I22:K22"/>
    <mergeCell ref="L22:N22"/>
    <mergeCell ref="O22:Q22"/>
    <mergeCell ref="R22:T22"/>
    <mergeCell ref="U22:W22"/>
    <mergeCell ref="X22:Z22"/>
    <mergeCell ref="AA22:AC22"/>
    <mergeCell ref="AD22:AF22"/>
    <mergeCell ref="AG21:AI21"/>
    <mergeCell ref="AG22:AI22"/>
    <mergeCell ref="I21:K21"/>
    <mergeCell ref="L21:N21"/>
    <mergeCell ref="O21:Q21"/>
    <mergeCell ref="R21:T21"/>
    <mergeCell ref="U21:W21"/>
    <mergeCell ref="I26:J26"/>
    <mergeCell ref="I27:J27"/>
    <mergeCell ref="I28:J28"/>
    <mergeCell ref="L23:M23"/>
    <mergeCell ref="O23:P23"/>
    <mergeCell ref="R23:S23"/>
    <mergeCell ref="U23:V23"/>
    <mergeCell ref="X23:Y23"/>
    <mergeCell ref="AA23:AB23"/>
    <mergeCell ref="AD23:AE23"/>
    <mergeCell ref="X19:Z19"/>
    <mergeCell ref="AA19:AC19"/>
    <mergeCell ref="AD19:AF19"/>
    <mergeCell ref="I20:K20"/>
    <mergeCell ref="L20:N20"/>
    <mergeCell ref="O20:Q20"/>
    <mergeCell ref="R20:T20"/>
    <mergeCell ref="U20:W20"/>
    <mergeCell ref="X20:Z20"/>
    <mergeCell ref="AA20:AC20"/>
    <mergeCell ref="AD20:AF20"/>
    <mergeCell ref="AG19:AI19"/>
    <mergeCell ref="AG20:AI20"/>
    <mergeCell ref="I19:K19"/>
    <mergeCell ref="L19:N19"/>
    <mergeCell ref="O19:Q19"/>
    <mergeCell ref="R19:T19"/>
    <mergeCell ref="U19:W19"/>
    <mergeCell ref="X17:Z17"/>
    <mergeCell ref="AA17:AC17"/>
    <mergeCell ref="AD17:AF17"/>
    <mergeCell ref="I18:K18"/>
    <mergeCell ref="L18:N18"/>
    <mergeCell ref="O18:Q18"/>
    <mergeCell ref="R18:T18"/>
    <mergeCell ref="U18:W18"/>
    <mergeCell ref="X18:Z18"/>
    <mergeCell ref="AA18:AC18"/>
    <mergeCell ref="AD18:AF18"/>
    <mergeCell ref="AG17:AI17"/>
    <mergeCell ref="AG18:AI18"/>
    <mergeCell ref="I17:K17"/>
    <mergeCell ref="L17:N17"/>
    <mergeCell ref="O17:Q17"/>
    <mergeCell ref="R17:T17"/>
    <mergeCell ref="U17:W17"/>
    <mergeCell ref="X14:Z14"/>
    <mergeCell ref="AA14:AC14"/>
    <mergeCell ref="AD14:AF14"/>
    <mergeCell ref="I16:K16"/>
    <mergeCell ref="L16:N16"/>
    <mergeCell ref="O16:Q16"/>
    <mergeCell ref="R16:T16"/>
    <mergeCell ref="U16:W16"/>
    <mergeCell ref="X16:Z16"/>
    <mergeCell ref="AA16:AC16"/>
    <mergeCell ref="AD16:AF16"/>
    <mergeCell ref="AG14:AI14"/>
    <mergeCell ref="AG16:AI16"/>
    <mergeCell ref="I14:K14"/>
    <mergeCell ref="L14:N14"/>
    <mergeCell ref="O14:Q14"/>
    <mergeCell ref="R14:T14"/>
    <mergeCell ref="U14:W14"/>
    <mergeCell ref="X11:Z11"/>
    <mergeCell ref="AA11:AC11"/>
    <mergeCell ref="AD11:AF11"/>
    <mergeCell ref="I12:K12"/>
    <mergeCell ref="L12:N12"/>
    <mergeCell ref="O12:Q12"/>
    <mergeCell ref="R12:T12"/>
    <mergeCell ref="U12:W12"/>
    <mergeCell ref="X12:Z12"/>
    <mergeCell ref="AA12:AC12"/>
    <mergeCell ref="AD12:AF12"/>
    <mergeCell ref="AG11:AI11"/>
    <mergeCell ref="AG12:AI12"/>
    <mergeCell ref="I11:K11"/>
    <mergeCell ref="L11:N11"/>
    <mergeCell ref="O11:Q11"/>
    <mergeCell ref="R11:T11"/>
    <mergeCell ref="U11:W11"/>
    <mergeCell ref="X9:Z9"/>
    <mergeCell ref="AA9:AC9"/>
    <mergeCell ref="AD9:AF9"/>
    <mergeCell ref="I10:K10"/>
    <mergeCell ref="L10:N10"/>
    <mergeCell ref="O10:Q10"/>
    <mergeCell ref="R10:T10"/>
    <mergeCell ref="U10:W10"/>
    <mergeCell ref="X10:Z10"/>
    <mergeCell ref="AA10:AC10"/>
    <mergeCell ref="AD10:AF10"/>
    <mergeCell ref="AG9:AI9"/>
    <mergeCell ref="AG10:AI10"/>
    <mergeCell ref="I9:K9"/>
    <mergeCell ref="L9:N9"/>
    <mergeCell ref="O9:Q9"/>
    <mergeCell ref="R9:T9"/>
    <mergeCell ref="U9:W9"/>
    <mergeCell ref="X6:Z6"/>
    <mergeCell ref="AA6:AC6"/>
    <mergeCell ref="AD6:AF6"/>
    <mergeCell ref="I8:K8"/>
    <mergeCell ref="L8:N8"/>
    <mergeCell ref="O8:Q8"/>
    <mergeCell ref="R8:T8"/>
    <mergeCell ref="U8:W8"/>
    <mergeCell ref="X8:Z8"/>
    <mergeCell ref="AA8:AC8"/>
    <mergeCell ref="AD8:AF8"/>
    <mergeCell ref="AG6:AI6"/>
    <mergeCell ref="AG8:AI8"/>
    <mergeCell ref="I6:K6"/>
    <mergeCell ref="L6:N6"/>
    <mergeCell ref="O6:Q6"/>
    <mergeCell ref="R6:T6"/>
    <mergeCell ref="U6:W6"/>
    <mergeCell ref="L7:N7"/>
    <mergeCell ref="I7:K7"/>
    <mergeCell ref="R7:T7"/>
    <mergeCell ref="O7:Q7"/>
    <mergeCell ref="I30:K30"/>
    <mergeCell ref="L30:N30"/>
    <mergeCell ref="O30:Q30"/>
    <mergeCell ref="R30:T30"/>
    <mergeCell ref="U30:W30"/>
    <mergeCell ref="X30:Z30"/>
    <mergeCell ref="AA30:AC30"/>
    <mergeCell ref="AD30:AF30"/>
    <mergeCell ref="F82:H82"/>
    <mergeCell ref="F84:H84"/>
    <mergeCell ref="F85:H85"/>
    <mergeCell ref="F87:H87"/>
    <mergeCell ref="F89:H89"/>
    <mergeCell ref="F86:H86"/>
    <mergeCell ref="F69:H69"/>
    <mergeCell ref="F71:H71"/>
    <mergeCell ref="F79:H79"/>
    <mergeCell ref="F80:H80"/>
    <mergeCell ref="F81:H81"/>
    <mergeCell ref="F64:H64"/>
    <mergeCell ref="F59:H59"/>
    <mergeCell ref="F62:H62"/>
    <mergeCell ref="F67:H67"/>
    <mergeCell ref="F68:H68"/>
    <mergeCell ref="F56:H56"/>
    <mergeCell ref="X31:Z31"/>
    <mergeCell ref="AA31:AC31"/>
    <mergeCell ref="AD31:AF31"/>
    <mergeCell ref="I32:K32"/>
    <mergeCell ref="L32:N32"/>
    <mergeCell ref="O32:Q32"/>
    <mergeCell ref="R32:T32"/>
    <mergeCell ref="F55:H55"/>
    <mergeCell ref="F54:H54"/>
    <mergeCell ref="F53:H53"/>
    <mergeCell ref="F58:H58"/>
    <mergeCell ref="F48:H48"/>
    <mergeCell ref="F46:H46"/>
    <mergeCell ref="F45:H45"/>
    <mergeCell ref="F51:H51"/>
    <mergeCell ref="F50:H50"/>
    <mergeCell ref="F31:H31"/>
    <mergeCell ref="F30:H30"/>
    <mergeCell ref="F43:H43"/>
    <mergeCell ref="F42:H42"/>
    <mergeCell ref="F41:H41"/>
    <mergeCell ref="F40:H40"/>
    <mergeCell ref="F39:H39"/>
    <mergeCell ref="F38:H38"/>
    <mergeCell ref="F36:H36"/>
    <mergeCell ref="F35:H35"/>
    <mergeCell ref="F34:H34"/>
    <mergeCell ref="F33:H33"/>
    <mergeCell ref="F32:H32"/>
    <mergeCell ref="F47:H47"/>
    <mergeCell ref="F14:H14"/>
    <mergeCell ref="F22:H22"/>
    <mergeCell ref="F21:H21"/>
    <mergeCell ref="F20:H20"/>
    <mergeCell ref="F19:H19"/>
    <mergeCell ref="F18:H18"/>
    <mergeCell ref="F17:H17"/>
    <mergeCell ref="F16:H16"/>
    <mergeCell ref="F6:H6"/>
    <mergeCell ref="F12:H12"/>
    <mergeCell ref="F11:H11"/>
    <mergeCell ref="F10:H10"/>
    <mergeCell ref="F9:H9"/>
    <mergeCell ref="F8:H8"/>
    <mergeCell ref="F23:G23"/>
    <mergeCell ref="BB47:BD47"/>
    <mergeCell ref="BE47:BG47"/>
    <mergeCell ref="I47:K47"/>
    <mergeCell ref="L47:N47"/>
    <mergeCell ref="O47:Q47"/>
    <mergeCell ref="R47:T47"/>
    <mergeCell ref="U47:W47"/>
    <mergeCell ref="X47:Z47"/>
    <mergeCell ref="AA47:AC47"/>
    <mergeCell ref="AD47:AF47"/>
    <mergeCell ref="AG47:AI47"/>
    <mergeCell ref="AJ47:AL47"/>
    <mergeCell ref="AM47:AO47"/>
    <mergeCell ref="AP47:AR47"/>
    <mergeCell ref="AS47:AU47"/>
    <mergeCell ref="AV47:AX47"/>
    <mergeCell ref="AY47:BA47"/>
    <mergeCell ref="A3:E3"/>
    <mergeCell ref="F91:H91"/>
    <mergeCell ref="BN7:BP7"/>
    <mergeCell ref="BQ7:BS7"/>
    <mergeCell ref="BT7:BV7"/>
    <mergeCell ref="BW7:BY7"/>
    <mergeCell ref="BZ7:CB7"/>
    <mergeCell ref="CC7:CE7"/>
    <mergeCell ref="CF7:CH7"/>
    <mergeCell ref="CI7:CK7"/>
    <mergeCell ref="CL7:CN7"/>
    <mergeCell ref="CO7:CQ7"/>
    <mergeCell ref="F7:H7"/>
    <mergeCell ref="AG7:AI7"/>
    <mergeCell ref="AD7:AF7"/>
    <mergeCell ref="AA7:AC7"/>
    <mergeCell ref="X7:Z7"/>
    <mergeCell ref="U7:W7"/>
    <mergeCell ref="F27:G27"/>
    <mergeCell ref="F26:G26"/>
    <mergeCell ref="F28:G28"/>
    <mergeCell ref="F25:G25"/>
    <mergeCell ref="F24:G24"/>
    <mergeCell ref="BH47:BJ47"/>
    <mergeCell ref="BK47:BM47"/>
    <mergeCell ref="BN47:BP47"/>
    <mergeCell ref="BQ47:BS47"/>
    <mergeCell ref="BT47:BV47"/>
    <mergeCell ref="BW47:BY47"/>
    <mergeCell ref="BZ47:CB47"/>
    <mergeCell ref="CC47:CE47"/>
    <mergeCell ref="CF47:CH47"/>
  </mergeCells>
  <phoneticPr fontId="6" type="noConversion"/>
  <conditionalFormatting sqref="A8:C12 A14:C14 A30:C36 A38:C43 A45:C48 A50:C51 A53:C56 A79:C82 A84:C87 A89:C89 A91:C92">
    <cfRule type="containsText" dxfId="756" priority="2077" operator="containsText" text="X">
      <formula>NOT(ISERROR(SEARCH("X",A8)))</formula>
    </cfRule>
  </conditionalFormatting>
  <conditionalFormatting sqref="A16:C28">
    <cfRule type="containsText" dxfId="755" priority="2062" operator="containsText" text="X">
      <formula>NOT(ISERROR(SEARCH("X",A16)))</formula>
    </cfRule>
  </conditionalFormatting>
  <conditionalFormatting sqref="A58:C77">
    <cfRule type="containsText" dxfId="754" priority="1607" operator="containsText" text="X">
      <formula>NOT(ISERROR(SEARCH("X",A58)))</formula>
    </cfRule>
  </conditionalFormatting>
  <conditionalFormatting sqref="D24:D28">
    <cfRule type="expression" dxfId="753" priority="751">
      <formula>E24&lt;&gt;""</formula>
    </cfRule>
  </conditionalFormatting>
  <conditionalFormatting sqref="F60:F61">
    <cfRule type="expression" dxfId="752" priority="1568">
      <formula>F60=""</formula>
    </cfRule>
  </conditionalFormatting>
  <conditionalFormatting sqref="F63">
    <cfRule type="expression" dxfId="751" priority="1569">
      <formula>F63=""</formula>
    </cfRule>
  </conditionalFormatting>
  <conditionalFormatting sqref="F65:F66">
    <cfRule type="expression" dxfId="750" priority="1567">
      <formula>F65=""</formula>
    </cfRule>
  </conditionalFormatting>
  <conditionalFormatting sqref="F70">
    <cfRule type="expression" dxfId="749" priority="1566">
      <formula>F70=""</formula>
    </cfRule>
  </conditionalFormatting>
  <conditionalFormatting sqref="F72:F74">
    <cfRule type="expression" dxfId="748" priority="1563">
      <formula>F72=""</formula>
    </cfRule>
  </conditionalFormatting>
  <conditionalFormatting sqref="F77">
    <cfRule type="expression" dxfId="747" priority="149">
      <formula>F77=""</formula>
    </cfRule>
  </conditionalFormatting>
  <conditionalFormatting sqref="F90 I90 L90 O90 R90 U90 X90 AA90 AD90 AG90 AJ90 AM90 AP90 AS90 AV90 AY90 BB90 BE90 BH90 BK90 BN90 BQ90 BT90 BW90 BZ90 CC90 CF90 CI90 CL90 CO90">
    <cfRule type="iconSet" priority="1013">
      <iconSet iconSet="3Symbols" showValue="0">
        <cfvo type="percent" val="0"/>
        <cfvo type="num" val="0"/>
        <cfvo type="num" val="1"/>
      </iconSet>
    </cfRule>
  </conditionalFormatting>
  <conditionalFormatting sqref="F24:G24">
    <cfRule type="expression" dxfId="746" priority="117">
      <formula>$E$24&lt;&gt;""</formula>
    </cfRule>
  </conditionalFormatting>
  <conditionalFormatting sqref="F25:G25">
    <cfRule type="expression" dxfId="745" priority="116">
      <formula>$E$25&lt;&gt;""</formula>
    </cfRule>
  </conditionalFormatting>
  <conditionalFormatting sqref="F26:G26">
    <cfRule type="expression" dxfId="744" priority="115">
      <formula>$E$26&lt;&gt;""</formula>
    </cfRule>
  </conditionalFormatting>
  <conditionalFormatting sqref="F27:G27">
    <cfRule type="expression" dxfId="743" priority="114">
      <formula>$E$27&lt;&gt;""</formula>
    </cfRule>
  </conditionalFormatting>
  <conditionalFormatting sqref="F16:H22 AG17:CQ17 AG21:CQ22 AJ16:CQ16 AJ18:CQ20">
    <cfRule type="expression" dxfId="742" priority="1725">
      <formula>F16=""</formula>
    </cfRule>
  </conditionalFormatting>
  <conditionalFormatting sqref="F50:H51 I51:CQ51 AG50:CQ50">
    <cfRule type="expression" dxfId="741" priority="1724">
      <formula>F50=""</formula>
    </cfRule>
  </conditionalFormatting>
  <conditionalFormatting sqref="F89:H89">
    <cfRule type="expression" dxfId="740" priority="102">
      <formula>F89=""</formula>
    </cfRule>
  </conditionalFormatting>
  <conditionalFormatting sqref="F92:H92 X92:CQ92">
    <cfRule type="expression" dxfId="738" priority="1002">
      <formula>ISERROR(SEARCH("items",F91))=FALSE</formula>
    </cfRule>
    <cfRule type="expression" dxfId="737" priority="150">
      <formula>F$92&lt;&gt;""</formula>
    </cfRule>
  </conditionalFormatting>
  <conditionalFormatting sqref="F76:I76">
    <cfRule type="expression" dxfId="736" priority="657">
      <formula>F76=""</formula>
    </cfRule>
  </conditionalFormatting>
  <conditionalFormatting sqref="F30:AF31">
    <cfRule type="expression" dxfId="735" priority="79">
      <formula>F30=""</formula>
    </cfRule>
  </conditionalFormatting>
  <conditionalFormatting sqref="F36:AF36">
    <cfRule type="expression" dxfId="734" priority="59">
      <formula>F36=""</formula>
    </cfRule>
  </conditionalFormatting>
  <conditionalFormatting sqref="F38:AF38">
    <cfRule type="expression" dxfId="733" priority="58">
      <formula>F38=0</formula>
    </cfRule>
  </conditionalFormatting>
  <conditionalFormatting sqref="F38:AF40">
    <cfRule type="expression" dxfId="732" priority="57">
      <formula>F38=""</formula>
    </cfRule>
  </conditionalFormatting>
  <conditionalFormatting sqref="F45:AF46">
    <cfRule type="expression" dxfId="731" priority="54">
      <formula>F45=""</formula>
    </cfRule>
    <cfRule type="expression" dxfId="730" priority="55">
      <formula>F45=0</formula>
    </cfRule>
  </conditionalFormatting>
  <conditionalFormatting sqref="F14:CQ14">
    <cfRule type="expression" dxfId="729" priority="1726">
      <formula>F14=""</formula>
    </cfRule>
  </conditionalFormatting>
  <conditionalFormatting sqref="F24:CQ28">
    <cfRule type="expression" dxfId="728" priority="30">
      <formula>F24&lt;&gt;""</formula>
    </cfRule>
  </conditionalFormatting>
  <conditionalFormatting sqref="F28:CQ28">
    <cfRule type="expression" dxfId="727" priority="886">
      <formula>$E$28&lt;&gt;""</formula>
    </cfRule>
  </conditionalFormatting>
  <conditionalFormatting sqref="F32:CQ35 AG30:CQ31 AG36:CQ36">
    <cfRule type="expression" dxfId="726" priority="1719">
      <formula>F30=""</formula>
    </cfRule>
  </conditionalFormatting>
  <conditionalFormatting sqref="F41:CQ42 F43:K43 AG38:CQ39 AG43:CQ43 AP40:CQ40">
    <cfRule type="expression" dxfId="725" priority="998">
      <formula>F38=""</formula>
    </cfRule>
  </conditionalFormatting>
  <conditionalFormatting sqref="F47:CQ47 AG45:CQ46">
    <cfRule type="expression" dxfId="724" priority="996">
      <formula>F45=""</formula>
    </cfRule>
  </conditionalFormatting>
  <conditionalFormatting sqref="F53:CQ56">
    <cfRule type="expression" dxfId="723" priority="1714">
      <formula>F53=""</formula>
    </cfRule>
  </conditionalFormatting>
  <conditionalFormatting sqref="F59:CQ59">
    <cfRule type="expression" dxfId="722" priority="1723">
      <formula>F59=""</formula>
    </cfRule>
  </conditionalFormatting>
  <conditionalFormatting sqref="F62:CQ62">
    <cfRule type="expression" dxfId="721" priority="1722">
      <formula>F62=""</formula>
    </cfRule>
  </conditionalFormatting>
  <conditionalFormatting sqref="F67:CQ69">
    <cfRule type="expression" dxfId="720" priority="1721">
      <formula>F67=""</formula>
    </cfRule>
  </conditionalFormatting>
  <conditionalFormatting sqref="F80:CQ82">
    <cfRule type="expression" dxfId="719" priority="1720">
      <formula>F80=""</formula>
    </cfRule>
  </conditionalFormatting>
  <conditionalFormatting sqref="F84:CQ87">
    <cfRule type="expression" dxfId="718" priority="1605">
      <formula>F84=""</formula>
    </cfRule>
  </conditionalFormatting>
  <conditionalFormatting sqref="F91:CQ91">
    <cfRule type="containsText" dxfId="717" priority="118" operator="containsText" text="Incomplete">
      <formula>NOT(ISERROR(SEARCH("Incomplete",F91)))</formula>
    </cfRule>
  </conditionalFormatting>
  <conditionalFormatting sqref="H24 K24 N24 Q24 T24 W24 Z24 AC24 AF24:CQ24">
    <cfRule type="expression" dxfId="716" priority="926">
      <formula>$E$24&lt;&gt;""</formula>
    </cfRule>
  </conditionalFormatting>
  <conditionalFormatting sqref="H25 K25 N25:T25 W25 Z25 AC25 AF25:CQ25">
    <cfRule type="expression" dxfId="715" priority="901">
      <formula>$E$25&lt;&gt;""</formula>
    </cfRule>
  </conditionalFormatting>
  <conditionalFormatting sqref="H26 K26 N26:T26 W26 Z26 AC26 AF26:CQ26">
    <cfRule type="expression" dxfId="714" priority="896">
      <formula>$E$26&lt;&gt;""</formula>
    </cfRule>
  </conditionalFormatting>
  <conditionalFormatting sqref="H27 K27:Z27 AC27:CQ27">
    <cfRule type="expression" dxfId="713" priority="891">
      <formula>$E$27&lt;&gt;""</formula>
    </cfRule>
  </conditionalFormatting>
  <conditionalFormatting sqref="H60:H61">
    <cfRule type="expression" dxfId="712" priority="1556">
      <formula>AND(F60="Yes",H60&lt;&gt;"")</formula>
    </cfRule>
    <cfRule type="expression" dxfId="711" priority="1557">
      <formula>F60="Yes"</formula>
    </cfRule>
  </conditionalFormatting>
  <conditionalFormatting sqref="H63">
    <cfRule type="expression" dxfId="710" priority="1555">
      <formula>F63="Yes"</formula>
    </cfRule>
    <cfRule type="expression" dxfId="709" priority="1554">
      <formula>AND(F63="Yes",H63&lt;&gt;"")</formula>
    </cfRule>
  </conditionalFormatting>
  <conditionalFormatting sqref="H65:H66">
    <cfRule type="expression" dxfId="708" priority="1553">
      <formula>F65="Yes"</formula>
    </cfRule>
    <cfRule type="expression" dxfId="707" priority="1552">
      <formula>AND(F65="Yes",H65&lt;&gt;"")</formula>
    </cfRule>
  </conditionalFormatting>
  <conditionalFormatting sqref="H70">
    <cfRule type="expression" dxfId="706" priority="1550">
      <formula>AND(F70="Yes",H70&lt;&gt;"")</formula>
    </cfRule>
    <cfRule type="expression" dxfId="705" priority="1551">
      <formula>F70="Yes"</formula>
    </cfRule>
  </conditionalFormatting>
  <conditionalFormatting sqref="H72:H73">
    <cfRule type="expression" dxfId="704" priority="1549">
      <formula>F72="Yes"</formula>
    </cfRule>
    <cfRule type="expression" dxfId="703" priority="1548">
      <formula>AND(F72="Yes",H72&lt;&gt;"")</formula>
    </cfRule>
  </conditionalFormatting>
  <conditionalFormatting sqref="H74">
    <cfRule type="expression" dxfId="702" priority="105">
      <formula>AND(F74="Yes",H74&lt;&gt;"")</formula>
    </cfRule>
    <cfRule type="expression" dxfId="701" priority="106">
      <formula>F74="Yes"</formula>
    </cfRule>
  </conditionalFormatting>
  <conditionalFormatting sqref="H77">
    <cfRule type="expression" dxfId="700" priority="103">
      <formula>AND(F77="Yes",H77&lt;&gt;"")</formula>
    </cfRule>
    <cfRule type="expression" dxfId="699" priority="104">
      <formula>F77="Yes"</formula>
    </cfRule>
  </conditionalFormatting>
  <conditionalFormatting sqref="I29">
    <cfRule type="iconSet" priority="690">
      <iconSet iconSet="3Symbols" showValue="0">
        <cfvo type="percent" val="0"/>
        <cfvo type="num" val="0"/>
        <cfvo type="num" val="1"/>
      </iconSet>
    </cfRule>
  </conditionalFormatting>
  <conditionalFormatting sqref="I37 L37 O37 R37 U37 X37 AA37 AD37 AG37 AJ37 AM37 AP37 AS37 AV37 AY37 BB37 BE37 BH37 BK37 BN37 BQ37 BT37 BW37 BZ37 CC37 CF37 CI37 CL37 CO37">
    <cfRule type="iconSet" priority="941">
      <iconSet iconSet="3Symbols" showValue="0">
        <cfvo type="percent" val="0"/>
        <cfvo type="num" val="0"/>
        <cfvo type="num" val="1"/>
      </iconSet>
    </cfRule>
  </conditionalFormatting>
  <conditionalFormatting sqref="I44 L44 O44 R44 U44 X44 AA44 AD44 AG44 AJ44 AM44 AP44 AS44 AV44 AY44 BB44 BE44 BH44 BK44 BN44 BQ44 BT44 BW44 BZ44 CC44 CF44 CI44 CL44 CO44">
    <cfRule type="iconSet" priority="1011">
      <iconSet iconSet="3Symbols" showValue="0">
        <cfvo type="percent" val="0"/>
        <cfvo type="num" val="0"/>
        <cfvo type="num" val="1"/>
      </iconSet>
    </cfRule>
  </conditionalFormatting>
  <conditionalFormatting sqref="I49 L49 O49 R49 U49 X49 AA49 AD49 AG49 AJ49 AM49 AP49 AS49 AV49 AY49 BB49 BE49 BH49 BK49 BN49 BQ49 BT49 BW49 BZ49 CC49 CF49 CI49 CL49 CO49">
    <cfRule type="iconSet" priority="1008">
      <iconSet iconSet="3Symbols" showValue="0">
        <cfvo type="percent" val="0"/>
        <cfvo type="num" val="0"/>
        <cfvo type="num" val="1"/>
      </iconSet>
    </cfRule>
  </conditionalFormatting>
  <conditionalFormatting sqref="I52 L52 O52 R52 U52 X52 AA52 AD52 AG52 AJ52 AM52 AP52 AS52 AV52 AY52 BB52 BE52 BH52 BK52 BN52 BQ52 BT52 BW52 BZ52 CC52 CF52 CI52 CL52 CO52">
    <cfRule type="iconSet" priority="1006">
      <iconSet iconSet="3Symbols" showValue="0">
        <cfvo type="percent" val="0"/>
        <cfvo type="num" val="0"/>
        <cfvo type="num" val="1"/>
      </iconSet>
    </cfRule>
  </conditionalFormatting>
  <conditionalFormatting sqref="I57 L57 O57 R57 U57 X57 AA57 AD57 AG57 AJ57 AM57 AP57 AS57 AV57 AY57 BB57 BE57 BH57 BK57 BN57 BQ57 BT57 BW57 BZ57 CC57 CF57 CI57 CL57 CO57">
    <cfRule type="iconSet" priority="937">
      <iconSet iconSet="3Symbols" showValue="0">
        <cfvo type="percent" val="0"/>
        <cfvo type="num" val="0"/>
        <cfvo type="num" val="1"/>
      </iconSet>
    </cfRule>
  </conditionalFormatting>
  <conditionalFormatting sqref="I60:I61">
    <cfRule type="expression" dxfId="698" priority="1545">
      <formula>I60=""</formula>
    </cfRule>
  </conditionalFormatting>
  <conditionalFormatting sqref="I63">
    <cfRule type="expression" dxfId="697" priority="1547">
      <formula>I63=""</formula>
    </cfRule>
  </conditionalFormatting>
  <conditionalFormatting sqref="I65:I66">
    <cfRule type="expression" dxfId="696" priority="1430">
      <formula>I65=""</formula>
    </cfRule>
  </conditionalFormatting>
  <conditionalFormatting sqref="I70">
    <cfRule type="expression" dxfId="695" priority="1544">
      <formula>I70=""</formula>
    </cfRule>
  </conditionalFormatting>
  <conditionalFormatting sqref="I72:I73">
    <cfRule type="expression" dxfId="694" priority="1340">
      <formula>I72=""</formula>
    </cfRule>
  </conditionalFormatting>
  <conditionalFormatting sqref="I77">
    <cfRule type="expression" dxfId="693" priority="992">
      <formula>$I$77=""</formula>
    </cfRule>
  </conditionalFormatting>
  <conditionalFormatting sqref="I78 L78 O78 R78 U78 X78 AA78 AD78 AG78 AJ78 AM78 AP78 AS78 AV78 AY78 BB78 BE78 BH78 BK78 BN78 BQ78 BT78 BW78 BZ78 CC78 CF78 CI78 CL78 CO78">
    <cfRule type="iconSet" priority="1004">
      <iconSet iconSet="3Symbols" showValue="0">
        <cfvo type="percent" val="0"/>
        <cfvo type="num" val="0"/>
        <cfvo type="num" val="1"/>
      </iconSet>
    </cfRule>
  </conditionalFormatting>
  <conditionalFormatting sqref="I83 L83 O83 R83 U83 X83 AA83 AD83 AG83 AJ83 AM83 AP83 AS83 AV83 AY83 BB83 BE83 BH83 BK83 BN83 BQ83 BT83 BW83 BZ83 CC83 CF83 CI83 CL83 CO83">
    <cfRule type="iconSet" priority="935">
      <iconSet iconSet="3Symbols" showValue="0">
        <cfvo type="percent" val="0"/>
        <cfvo type="num" val="0"/>
        <cfvo type="num" val="1"/>
      </iconSet>
    </cfRule>
  </conditionalFormatting>
  <conditionalFormatting sqref="I88 L88 O88 R88 U88 X88 AA88 AD88 AG88 AJ88 AM88 AP88 AS88 AV88 AY88 BB88 BE88 BH88 BK88 BN88 BQ88 BT88 BW88 BZ88 CC88 CF88 CI88 CL88 CO88">
    <cfRule type="iconSet" priority="934">
      <iconSet iconSet="3Symbols" showValue="0">
        <cfvo type="percent" val="0"/>
        <cfvo type="num" val="0"/>
        <cfvo type="num" val="1"/>
      </iconSet>
    </cfRule>
  </conditionalFormatting>
  <conditionalFormatting sqref="I24:J24">
    <cfRule type="expression" dxfId="692" priority="100">
      <formula>$E$24&lt;&gt;""</formula>
    </cfRule>
  </conditionalFormatting>
  <conditionalFormatting sqref="I25:J25">
    <cfRule type="expression" dxfId="691" priority="99">
      <formula>$E$25&lt;&gt;""</formula>
    </cfRule>
  </conditionalFormatting>
  <conditionalFormatting sqref="I26:J26">
    <cfRule type="expression" dxfId="690" priority="98">
      <formula>$E$26&lt;&gt;""</formula>
    </cfRule>
  </conditionalFormatting>
  <conditionalFormatting sqref="I27:J27">
    <cfRule type="expression" dxfId="689" priority="97">
      <formula>$E$27&lt;&gt;""</formula>
    </cfRule>
  </conditionalFormatting>
  <conditionalFormatting sqref="I89:K89 AD89:CQ89">
    <cfRule type="expression" dxfId="686" priority="1137">
      <formula>I89=""</formula>
    </cfRule>
  </conditionalFormatting>
  <conditionalFormatting sqref="I92:W92">
    <cfRule type="expression" dxfId="685" priority="23">
      <formula>ISERROR(SEARCH("items",I91))=FALSE</formula>
    </cfRule>
    <cfRule type="expression" dxfId="684" priority="22">
      <formula>I$92&lt;&gt;""</formula>
    </cfRule>
  </conditionalFormatting>
  <conditionalFormatting sqref="I16:AF22">
    <cfRule type="expression" dxfId="683" priority="84">
      <formula>I16=""</formula>
    </cfRule>
  </conditionalFormatting>
  <conditionalFormatting sqref="I50:AF50">
    <cfRule type="expression" dxfId="682" priority="53">
      <formula>I50=""</formula>
    </cfRule>
  </conditionalFormatting>
  <conditionalFormatting sqref="K60:K61">
    <cfRule type="expression" dxfId="681" priority="648">
      <formula>I60="Yes"</formula>
    </cfRule>
    <cfRule type="expression" dxfId="680" priority="647">
      <formula>AND(I60="Yes",K60&lt;&gt;"")</formula>
    </cfRule>
  </conditionalFormatting>
  <conditionalFormatting sqref="K63">
    <cfRule type="expression" dxfId="679" priority="499">
      <formula>AND(I63="Yes",K63&lt;&gt;"")</formula>
    </cfRule>
    <cfRule type="expression" dxfId="678" priority="500">
      <formula>I63="Yes"</formula>
    </cfRule>
  </conditionalFormatting>
  <conditionalFormatting sqref="K65:K66">
    <cfRule type="expression" dxfId="677" priority="412">
      <formula>AND(I65="Yes",K65&lt;&gt;"")</formula>
    </cfRule>
    <cfRule type="expression" dxfId="676" priority="413">
      <formula>I65="Yes"</formula>
    </cfRule>
  </conditionalFormatting>
  <conditionalFormatting sqref="K70">
    <cfRule type="expression" dxfId="675" priority="88">
      <formula>I70="Yes"</formula>
    </cfRule>
    <cfRule type="expression" dxfId="674" priority="87">
      <formula>AND(I70="Yes",K70&lt;&gt;"")</formula>
    </cfRule>
  </conditionalFormatting>
  <conditionalFormatting sqref="K72:K74 K77">
    <cfRule type="expression" dxfId="673" priority="239">
      <formula>I72="Yes"</formula>
    </cfRule>
    <cfRule type="expression" dxfId="672" priority="238">
      <formula>AND(I72="Yes",K72&lt;&gt;"")</formula>
    </cfRule>
  </conditionalFormatting>
  <conditionalFormatting sqref="L29">
    <cfRule type="iconSet" priority="688">
      <iconSet iconSet="3Symbols" showValue="0">
        <cfvo type="percent" val="0"/>
        <cfvo type="num" val="0"/>
        <cfvo type="num" val="1"/>
      </iconSet>
    </cfRule>
  </conditionalFormatting>
  <conditionalFormatting sqref="L60:L61">
    <cfRule type="expression" dxfId="671" priority="1542">
      <formula>L60=""</formula>
    </cfRule>
  </conditionalFormatting>
  <conditionalFormatting sqref="L63">
    <cfRule type="expression" dxfId="670" priority="1541">
      <formula>L63=""</formula>
    </cfRule>
  </conditionalFormatting>
  <conditionalFormatting sqref="L65:L66">
    <cfRule type="expression" dxfId="669" priority="1458">
      <formula>L65=""</formula>
    </cfRule>
  </conditionalFormatting>
  <conditionalFormatting sqref="L70">
    <cfRule type="expression" dxfId="668" priority="1426">
      <formula>L70=""</formula>
    </cfRule>
  </conditionalFormatting>
  <conditionalFormatting sqref="L72:L73">
    <cfRule type="expression" dxfId="667" priority="1336">
      <formula>L72=""</formula>
    </cfRule>
  </conditionalFormatting>
  <conditionalFormatting sqref="L76">
    <cfRule type="expression" dxfId="666" priority="1335">
      <formula>L76=""</formula>
    </cfRule>
  </conditionalFormatting>
  <conditionalFormatting sqref="L77">
    <cfRule type="expression" dxfId="665" priority="990">
      <formula>$L$77=""</formula>
    </cfRule>
  </conditionalFormatting>
  <conditionalFormatting sqref="L24:M24">
    <cfRule type="expression" dxfId="664" priority="83">
      <formula>$E$24&lt;&gt;""</formula>
    </cfRule>
  </conditionalFormatting>
  <conditionalFormatting sqref="L25:M25">
    <cfRule type="expression" dxfId="663" priority="82">
      <formula>$E$25&lt;&gt;""</formula>
    </cfRule>
  </conditionalFormatting>
  <conditionalFormatting sqref="L26:M26">
    <cfRule type="expression" dxfId="662" priority="81">
      <formula>$E$26&lt;&gt;""</formula>
    </cfRule>
  </conditionalFormatting>
  <conditionalFormatting sqref="L89:AC89">
    <cfRule type="expression" dxfId="660" priority="14">
      <formula>L89=""</formula>
    </cfRule>
  </conditionalFormatting>
  <conditionalFormatting sqref="L43:AF43">
    <cfRule type="expression" dxfId="659" priority="56">
      <formula>L43=""</formula>
    </cfRule>
  </conditionalFormatting>
  <conditionalFormatting sqref="N60:N61">
    <cfRule type="expression" dxfId="658" priority="643">
      <formula>L60="Yes"</formula>
    </cfRule>
    <cfRule type="expression" dxfId="657" priority="642">
      <formula>AND(L60="Yes",N60&lt;&gt;"")</formula>
    </cfRule>
  </conditionalFormatting>
  <conditionalFormatting sqref="N63">
    <cfRule type="expression" dxfId="656" priority="497">
      <formula>L63="Yes"</formula>
    </cfRule>
    <cfRule type="expression" dxfId="655" priority="496">
      <formula>AND(L63="Yes",N63&lt;&gt;"")</formula>
    </cfRule>
  </conditionalFormatting>
  <conditionalFormatting sqref="N65">
    <cfRule type="expression" dxfId="654" priority="41">
      <formula>L65="Yes"</formula>
    </cfRule>
    <cfRule type="expression" dxfId="653" priority="40">
      <formula>AND(L65="Yes",N65&lt;&gt;"")</formula>
    </cfRule>
  </conditionalFormatting>
  <conditionalFormatting sqref="N66">
    <cfRule type="expression" dxfId="652" priority="410">
      <formula>L66="Yes"</formula>
    </cfRule>
    <cfRule type="expression" dxfId="651" priority="409">
      <formula>AND(L66="Yes",N66&lt;&gt;"")</formula>
    </cfRule>
  </conditionalFormatting>
  <conditionalFormatting sqref="N70">
    <cfRule type="expression" dxfId="650" priority="5">
      <formula>AND(L70="Yes",N70&lt;&gt;"")</formula>
    </cfRule>
    <cfRule type="expression" dxfId="649" priority="6">
      <formula>L70="Yes"</formula>
    </cfRule>
  </conditionalFormatting>
  <conditionalFormatting sqref="N72:N74 N77">
    <cfRule type="expression" dxfId="648" priority="235">
      <formula>AND(L72="Yes",N72&lt;&gt;"")</formula>
    </cfRule>
    <cfRule type="expression" dxfId="647" priority="236">
      <formula>L72="Yes"</formula>
    </cfRule>
  </conditionalFormatting>
  <conditionalFormatting sqref="N74">
    <cfRule type="expression" dxfId="646" priority="47">
      <formula>AND(L74="Yes",N74&lt;&gt;"")</formula>
    </cfRule>
    <cfRule type="expression" dxfId="645" priority="48">
      <formula>L74="Yes"</formula>
    </cfRule>
    <cfRule type="expression" dxfId="644" priority="49">
      <formula>AND(L74="Yes",N74&lt;&gt;"")</formula>
    </cfRule>
    <cfRule type="expression" dxfId="643" priority="50">
      <formula>L74="Yes"</formula>
    </cfRule>
  </conditionalFormatting>
  <conditionalFormatting sqref="O29">
    <cfRule type="iconSet" priority="687">
      <iconSet iconSet="3Symbols" showValue="0">
        <cfvo type="percent" val="0"/>
        <cfvo type="num" val="0"/>
        <cfvo type="num" val="1"/>
      </iconSet>
    </cfRule>
  </conditionalFormatting>
  <conditionalFormatting sqref="O60:O61">
    <cfRule type="expression" dxfId="642" priority="1539">
      <formula>O60=""</formula>
    </cfRule>
  </conditionalFormatting>
  <conditionalFormatting sqref="O63">
    <cfRule type="expression" dxfId="641" priority="1538">
      <formula>O63=""</formula>
    </cfRule>
  </conditionalFormatting>
  <conditionalFormatting sqref="O65:O66">
    <cfRule type="expression" dxfId="640" priority="1457">
      <formula>O65=""</formula>
    </cfRule>
  </conditionalFormatting>
  <conditionalFormatting sqref="O70">
    <cfRule type="expression" dxfId="639" priority="1425">
      <formula>O70=""</formula>
    </cfRule>
  </conditionalFormatting>
  <conditionalFormatting sqref="O72:O73">
    <cfRule type="expression" dxfId="638" priority="1332">
      <formula>O72=""</formula>
    </cfRule>
  </conditionalFormatting>
  <conditionalFormatting sqref="O76">
    <cfRule type="expression" dxfId="637" priority="1331">
      <formula>O76=""</formula>
    </cfRule>
  </conditionalFormatting>
  <conditionalFormatting sqref="O77">
    <cfRule type="expression" dxfId="636" priority="988">
      <formula>$O$77=""</formula>
    </cfRule>
  </conditionalFormatting>
  <conditionalFormatting sqref="O24:P24">
    <cfRule type="expression" dxfId="635" priority="31">
      <formula>$E$24&lt;&gt;""</formula>
    </cfRule>
  </conditionalFormatting>
  <conditionalFormatting sqref="Q60:Q61">
    <cfRule type="expression" dxfId="633" priority="638">
      <formula>O60="Yes"</formula>
    </cfRule>
    <cfRule type="expression" dxfId="632" priority="637">
      <formula>AND(O60="Yes",Q60&lt;&gt;"")</formula>
    </cfRule>
  </conditionalFormatting>
  <conditionalFormatting sqref="Q63">
    <cfRule type="expression" dxfId="631" priority="493">
      <formula>AND(O63="Yes",Q63&lt;&gt;"")</formula>
    </cfRule>
    <cfRule type="expression" dxfId="630" priority="494">
      <formula>O63="Yes"</formula>
    </cfRule>
  </conditionalFormatting>
  <conditionalFormatting sqref="Q65:Q66">
    <cfRule type="expression" dxfId="629" priority="406">
      <formula>AND(O65="Yes",Q65&lt;&gt;"")</formula>
    </cfRule>
    <cfRule type="expression" dxfId="628" priority="407">
      <formula>O65="Yes"</formula>
    </cfRule>
  </conditionalFormatting>
  <conditionalFormatting sqref="Q70">
    <cfRule type="expression" dxfId="627" priority="320">
      <formula>O70="Yes"</formula>
    </cfRule>
    <cfRule type="expression" dxfId="626" priority="319">
      <formula>AND(O70="Yes",Q70&lt;&gt;"")</formula>
    </cfRule>
  </conditionalFormatting>
  <conditionalFormatting sqref="Q72:Q74 Q77">
    <cfRule type="expression" dxfId="625" priority="233">
      <formula>O72="Yes"</formula>
    </cfRule>
    <cfRule type="expression" dxfId="624" priority="232">
      <formula>AND(O72="Yes",Q72&lt;&gt;"")</formula>
    </cfRule>
  </conditionalFormatting>
  <conditionalFormatting sqref="R29">
    <cfRule type="iconSet" priority="686">
      <iconSet iconSet="3Symbols" showValue="0">
        <cfvo type="percent" val="0"/>
        <cfvo type="num" val="0"/>
        <cfvo type="num" val="1"/>
      </iconSet>
    </cfRule>
  </conditionalFormatting>
  <conditionalFormatting sqref="R60:R61">
    <cfRule type="expression" dxfId="623" priority="1536">
      <formula>R60=""</formula>
    </cfRule>
  </conditionalFormatting>
  <conditionalFormatting sqref="R63">
    <cfRule type="expression" dxfId="622" priority="1535">
      <formula>R63=""</formula>
    </cfRule>
  </conditionalFormatting>
  <conditionalFormatting sqref="R65:R66">
    <cfRule type="expression" dxfId="621" priority="1456">
      <formula>R65=""</formula>
    </cfRule>
  </conditionalFormatting>
  <conditionalFormatting sqref="R70">
    <cfRule type="expression" dxfId="620" priority="1423">
      <formula>R70=""</formula>
    </cfRule>
  </conditionalFormatting>
  <conditionalFormatting sqref="R72:R73">
    <cfRule type="expression" dxfId="619" priority="1328">
      <formula>R72=""</formula>
    </cfRule>
  </conditionalFormatting>
  <conditionalFormatting sqref="R76">
    <cfRule type="expression" dxfId="618" priority="1327">
      <formula>R76=""</formula>
    </cfRule>
  </conditionalFormatting>
  <conditionalFormatting sqref="R77">
    <cfRule type="expression" dxfId="617" priority="986">
      <formula>$R$77=""</formula>
    </cfRule>
  </conditionalFormatting>
  <conditionalFormatting sqref="R24:S24">
    <cfRule type="expression" dxfId="616" priority="78">
      <formula>$E$24&lt;&gt;""</formula>
    </cfRule>
  </conditionalFormatting>
  <conditionalFormatting sqref="T60:T61">
    <cfRule type="expression" dxfId="614" priority="632">
      <formula>AND(R60="Yes",T60&lt;&gt;"")</formula>
    </cfRule>
    <cfRule type="expression" dxfId="613" priority="633">
      <formula>R60="Yes"</formula>
    </cfRule>
  </conditionalFormatting>
  <conditionalFormatting sqref="T63">
    <cfRule type="expression" dxfId="612" priority="490">
      <formula>AND(R63="Yes",T63&lt;&gt;"")</formula>
    </cfRule>
    <cfRule type="expression" dxfId="611" priority="491">
      <formula>R63="Yes"</formula>
    </cfRule>
  </conditionalFormatting>
  <conditionalFormatting sqref="T65:T66">
    <cfRule type="expression" dxfId="610" priority="403">
      <formula>AND(R65="Yes",T65&lt;&gt;"")</formula>
    </cfRule>
    <cfRule type="expression" dxfId="609" priority="404">
      <formula>R65="Yes"</formula>
    </cfRule>
  </conditionalFormatting>
  <conditionalFormatting sqref="T70">
    <cfRule type="expression" dxfId="608" priority="316">
      <formula>AND(R70="Yes",T70&lt;&gt;"")</formula>
    </cfRule>
    <cfRule type="expression" dxfId="607" priority="317">
      <formula>R70="Yes"</formula>
    </cfRule>
  </conditionalFormatting>
  <conditionalFormatting sqref="T72:T74 T77">
    <cfRule type="expression" dxfId="606" priority="229">
      <formula>AND(R72="Yes",T72&lt;&gt;"")</formula>
    </cfRule>
    <cfRule type="expression" dxfId="605" priority="230">
      <formula>R72="Yes"</formula>
    </cfRule>
  </conditionalFormatting>
  <conditionalFormatting sqref="U29">
    <cfRule type="iconSet" priority="685">
      <iconSet iconSet="3Symbols" showValue="0">
        <cfvo type="percent" val="0"/>
        <cfvo type="num" val="0"/>
        <cfvo type="num" val="1"/>
      </iconSet>
    </cfRule>
  </conditionalFormatting>
  <conditionalFormatting sqref="U60:U61">
    <cfRule type="expression" dxfId="604" priority="1532">
      <formula>U60=""</formula>
    </cfRule>
  </conditionalFormatting>
  <conditionalFormatting sqref="U63">
    <cfRule type="expression" dxfId="603" priority="1455">
      <formula>U63=""</formula>
    </cfRule>
  </conditionalFormatting>
  <conditionalFormatting sqref="U65:U66">
    <cfRule type="expression" dxfId="602" priority="1421">
      <formula>U65=""</formula>
    </cfRule>
  </conditionalFormatting>
  <conditionalFormatting sqref="U70">
    <cfRule type="expression" dxfId="601" priority="1366">
      <formula>U70=""</formula>
    </cfRule>
  </conditionalFormatting>
  <conditionalFormatting sqref="U72:U73">
    <cfRule type="expression" dxfId="600" priority="1323">
      <formula>U72=""</formula>
    </cfRule>
  </conditionalFormatting>
  <conditionalFormatting sqref="U76">
    <cfRule type="expression" dxfId="599" priority="1322">
      <formula>U76=""</formula>
    </cfRule>
  </conditionalFormatting>
  <conditionalFormatting sqref="U77">
    <cfRule type="expression" dxfId="598" priority="984">
      <formula>$U$77=""</formula>
    </cfRule>
  </conditionalFormatting>
  <conditionalFormatting sqref="U24:V24">
    <cfRule type="expression" dxfId="597" priority="76">
      <formula>$E$24&lt;&gt;""</formula>
    </cfRule>
  </conditionalFormatting>
  <conditionalFormatting sqref="U25:V25">
    <cfRule type="expression" dxfId="596" priority="75">
      <formula>$E$25&lt;&gt;""</formula>
    </cfRule>
  </conditionalFormatting>
  <conditionalFormatting sqref="U26:V26">
    <cfRule type="expression" dxfId="595" priority="74">
      <formula>$E$26&lt;&gt;""</formula>
    </cfRule>
  </conditionalFormatting>
  <conditionalFormatting sqref="W60:W61">
    <cfRule type="expression" dxfId="592" priority="627">
      <formula>AND(U60="Yes",W60&lt;&gt;"")</formula>
    </cfRule>
    <cfRule type="expression" dxfId="591" priority="628">
      <formula>U60="Yes"</formula>
    </cfRule>
  </conditionalFormatting>
  <conditionalFormatting sqref="W63">
    <cfRule type="expression" dxfId="590" priority="487">
      <formula>AND(U63="Yes",W63&lt;&gt;"")</formula>
    </cfRule>
    <cfRule type="expression" dxfId="589" priority="488">
      <formula>U63="Yes"</formula>
    </cfRule>
  </conditionalFormatting>
  <conditionalFormatting sqref="W65:W66">
    <cfRule type="expression" dxfId="588" priority="400">
      <formula>AND(U65="Yes",W65&lt;&gt;"")</formula>
    </cfRule>
    <cfRule type="expression" dxfId="587" priority="401">
      <formula>U65="Yes"</formula>
    </cfRule>
  </conditionalFormatting>
  <conditionalFormatting sqref="W70">
    <cfRule type="expression" dxfId="586" priority="25">
      <formula>AND(U70="Yes",W70&lt;&gt;"")</formula>
    </cfRule>
    <cfRule type="expression" dxfId="585" priority="26">
      <formula>U70="Yes"</formula>
    </cfRule>
  </conditionalFormatting>
  <conditionalFormatting sqref="W72:W74 W77">
    <cfRule type="expression" dxfId="584" priority="227">
      <formula>U72="Yes"</formula>
    </cfRule>
    <cfRule type="expression" dxfId="583" priority="226">
      <formula>AND(U72="Yes",W72&lt;&gt;"")</formula>
    </cfRule>
  </conditionalFormatting>
  <conditionalFormatting sqref="X29">
    <cfRule type="iconSet" priority="684">
      <iconSet iconSet="3Symbols" showValue="0">
        <cfvo type="percent" val="0"/>
        <cfvo type="num" val="0"/>
        <cfvo type="num" val="1"/>
      </iconSet>
    </cfRule>
  </conditionalFormatting>
  <conditionalFormatting sqref="X60:X61">
    <cfRule type="expression" dxfId="582" priority="1529">
      <formula>X60=""</formula>
    </cfRule>
  </conditionalFormatting>
  <conditionalFormatting sqref="X63">
    <cfRule type="expression" dxfId="581" priority="1454">
      <formula>X63=""</formula>
    </cfRule>
  </conditionalFormatting>
  <conditionalFormatting sqref="X65:X66">
    <cfRule type="expression" dxfId="580" priority="1419">
      <formula>X65=""</formula>
    </cfRule>
  </conditionalFormatting>
  <conditionalFormatting sqref="X70">
    <cfRule type="expression" dxfId="579" priority="1365">
      <formula>X70=""</formula>
    </cfRule>
  </conditionalFormatting>
  <conditionalFormatting sqref="X72:X73">
    <cfRule type="expression" dxfId="578" priority="1319">
      <formula>X72=""</formula>
    </cfRule>
  </conditionalFormatting>
  <conditionalFormatting sqref="X76">
    <cfRule type="expression" dxfId="577" priority="1318">
      <formula>X76=""</formula>
    </cfRule>
  </conditionalFormatting>
  <conditionalFormatting sqref="X77">
    <cfRule type="expression" dxfId="576" priority="982">
      <formula>$X$77=""</formula>
    </cfRule>
  </conditionalFormatting>
  <conditionalFormatting sqref="X24:Y24">
    <cfRule type="expression" dxfId="575" priority="72">
      <formula>$E$24&lt;&gt;""</formula>
    </cfRule>
  </conditionalFormatting>
  <conditionalFormatting sqref="X25:Y25">
    <cfRule type="expression" dxfId="574" priority="71">
      <formula>$E$25&lt;&gt;""</formula>
    </cfRule>
  </conditionalFormatting>
  <conditionalFormatting sqref="X26:Y26">
    <cfRule type="expression" dxfId="573" priority="70">
      <formula>$E$26&lt;&gt;""</formula>
    </cfRule>
  </conditionalFormatting>
  <conditionalFormatting sqref="Z60:Z61">
    <cfRule type="expression" dxfId="571" priority="622">
      <formula>AND(X60="Yes",Z60&lt;&gt;"")</formula>
    </cfRule>
    <cfRule type="expression" dxfId="570" priority="623">
      <formula>X60="Yes"</formula>
    </cfRule>
  </conditionalFormatting>
  <conditionalFormatting sqref="Z63">
    <cfRule type="expression" dxfId="569" priority="484">
      <formula>AND(X63="Yes",Z63&lt;&gt;"")</formula>
    </cfRule>
    <cfRule type="expression" dxfId="568" priority="485">
      <formula>X63="Yes"</formula>
    </cfRule>
  </conditionalFormatting>
  <conditionalFormatting sqref="Z65:Z66">
    <cfRule type="expression" dxfId="567" priority="397">
      <formula>AND(X65="Yes",Z65&lt;&gt;"")</formula>
    </cfRule>
    <cfRule type="expression" dxfId="566" priority="398">
      <formula>X65="Yes"</formula>
    </cfRule>
  </conditionalFormatting>
  <conditionalFormatting sqref="Z70">
    <cfRule type="expression" dxfId="565" priority="21">
      <formula>X70="Yes"</formula>
    </cfRule>
    <cfRule type="expression" dxfId="564" priority="20">
      <formula>AND(X70="Yes",Z70&lt;&gt;"")</formula>
    </cfRule>
  </conditionalFormatting>
  <conditionalFormatting sqref="Z72:Z74 Z77">
    <cfRule type="expression" dxfId="563" priority="224">
      <formula>X72="Yes"</formula>
    </cfRule>
    <cfRule type="expression" dxfId="562" priority="223">
      <formula>AND(X72="Yes",Z72&lt;&gt;"")</formula>
    </cfRule>
  </conditionalFormatting>
  <conditionalFormatting sqref="AA29">
    <cfRule type="iconSet" priority="683">
      <iconSet iconSet="3Symbols" showValue="0">
        <cfvo type="percent" val="0"/>
        <cfvo type="num" val="0"/>
        <cfvo type="num" val="1"/>
      </iconSet>
    </cfRule>
  </conditionalFormatting>
  <conditionalFormatting sqref="AA60:AA61">
    <cfRule type="expression" dxfId="561" priority="1527">
      <formula>AA60=""</formula>
    </cfRule>
  </conditionalFormatting>
  <conditionalFormatting sqref="AA63">
    <cfRule type="expression" dxfId="560" priority="1526">
      <formula>AA63=""</formula>
    </cfRule>
  </conditionalFormatting>
  <conditionalFormatting sqref="AA65:AA66">
    <cfRule type="expression" dxfId="559" priority="1453">
      <formula>AA65=""</formula>
    </cfRule>
  </conditionalFormatting>
  <conditionalFormatting sqref="AA70">
    <cfRule type="expression" dxfId="558" priority="1417">
      <formula>AA70=""</formula>
    </cfRule>
  </conditionalFormatting>
  <conditionalFormatting sqref="AA72:AA73">
    <cfRule type="expression" dxfId="557" priority="1316">
      <formula>AA72=""</formula>
    </cfRule>
  </conditionalFormatting>
  <conditionalFormatting sqref="AA76">
    <cfRule type="expression" dxfId="556" priority="1315">
      <formula>AA76=""</formula>
    </cfRule>
  </conditionalFormatting>
  <conditionalFormatting sqref="AA77">
    <cfRule type="expression" dxfId="555" priority="980">
      <formula>$AA$77=""</formula>
    </cfRule>
  </conditionalFormatting>
  <conditionalFormatting sqref="AA24:AB24">
    <cfRule type="expression" dxfId="554" priority="68">
      <formula>$E$24&lt;&gt;""</formula>
    </cfRule>
  </conditionalFormatting>
  <conditionalFormatting sqref="AA25:AB25">
    <cfRule type="expression" dxfId="553" priority="67">
      <formula>$E$25&lt;&gt;""</formula>
    </cfRule>
  </conditionalFormatting>
  <conditionalFormatting sqref="AA26:AB26">
    <cfRule type="expression" dxfId="552" priority="66">
      <formula>$E$26&lt;&gt;""</formula>
    </cfRule>
  </conditionalFormatting>
  <conditionalFormatting sqref="AA27:AB27">
    <cfRule type="expression" dxfId="551" priority="65">
      <formula>$E$27&lt;&gt;""</formula>
    </cfRule>
  </conditionalFormatting>
  <conditionalFormatting sqref="AC60:AC61">
    <cfRule type="expression" dxfId="549" priority="618">
      <formula>AA60="Yes"</formula>
    </cfRule>
    <cfRule type="expression" dxfId="548" priority="617">
      <formula>AND(AA60="Yes",AC60&lt;&gt;"")</formula>
    </cfRule>
  </conditionalFormatting>
  <conditionalFormatting sqref="AC63">
    <cfRule type="expression" dxfId="547" priority="481">
      <formula>AND(AA63="Yes",AC63&lt;&gt;"")</formula>
    </cfRule>
    <cfRule type="expression" dxfId="546" priority="482">
      <formula>AA63="Yes"</formula>
    </cfRule>
  </conditionalFormatting>
  <conditionalFormatting sqref="AC65:AC66">
    <cfRule type="expression" dxfId="545" priority="394">
      <formula>AND(AA65="Yes",AC65&lt;&gt;"")</formula>
    </cfRule>
    <cfRule type="expression" dxfId="544" priority="395">
      <formula>AA65="Yes"</formula>
    </cfRule>
  </conditionalFormatting>
  <conditionalFormatting sqref="AC70">
    <cfRule type="expression" dxfId="543" priority="3">
      <formula>AND(AA70="Yes",AC70&lt;&gt;"")</formula>
    </cfRule>
    <cfRule type="expression" dxfId="542" priority="4">
      <formula>AA70="Yes"</formula>
    </cfRule>
  </conditionalFormatting>
  <conditionalFormatting sqref="AC72:AC73">
    <cfRule type="expression" dxfId="541" priority="221">
      <formula>AA72="Yes"</formula>
    </cfRule>
    <cfRule type="expression" dxfId="540" priority="220">
      <formula>AND(AA72="Yes",AC72&lt;&gt;"")</formula>
    </cfRule>
  </conditionalFormatting>
  <conditionalFormatting sqref="AC74">
    <cfRule type="expression" dxfId="539" priority="17">
      <formula>AND(AA74="Yes",AC74&lt;&gt;"")</formula>
    </cfRule>
    <cfRule type="expression" dxfId="538" priority="18">
      <formula>AA74="Yes"</formula>
    </cfRule>
  </conditionalFormatting>
  <conditionalFormatting sqref="AC77">
    <cfRule type="expression" dxfId="537" priority="15">
      <formula>AND(AA77="Yes",AC77&lt;&gt;"")</formula>
    </cfRule>
    <cfRule type="expression" dxfId="536" priority="16">
      <formula>AA77="Yes"</formula>
    </cfRule>
  </conditionalFormatting>
  <conditionalFormatting sqref="AD29">
    <cfRule type="iconSet" priority="682">
      <iconSet iconSet="3Symbols" showValue="0">
        <cfvo type="percent" val="0"/>
        <cfvo type="num" val="0"/>
        <cfvo type="num" val="1"/>
      </iconSet>
    </cfRule>
  </conditionalFormatting>
  <conditionalFormatting sqref="AD60:AD61">
    <cfRule type="expression" dxfId="535" priority="1524">
      <formula>AD60=""</formula>
    </cfRule>
  </conditionalFormatting>
  <conditionalFormatting sqref="AD63">
    <cfRule type="expression" dxfId="534" priority="1523">
      <formula>AD63=""</formula>
    </cfRule>
  </conditionalFormatting>
  <conditionalFormatting sqref="AD65:AD66">
    <cfRule type="expression" dxfId="533" priority="1452">
      <formula>AD65=""</formula>
    </cfRule>
  </conditionalFormatting>
  <conditionalFormatting sqref="AD70">
    <cfRule type="expression" dxfId="532" priority="1415">
      <formula>AD70=""</formula>
    </cfRule>
  </conditionalFormatting>
  <conditionalFormatting sqref="AD72:AD73">
    <cfRule type="expression" dxfId="531" priority="1312">
      <formula>AD72=""</formula>
    </cfRule>
  </conditionalFormatting>
  <conditionalFormatting sqref="AD76">
    <cfRule type="expression" dxfId="530" priority="1311">
      <formula>AD76=""</formula>
    </cfRule>
  </conditionalFormatting>
  <conditionalFormatting sqref="AD77">
    <cfRule type="expression" dxfId="529" priority="978">
      <formula>$AD$77=""</formula>
    </cfRule>
  </conditionalFormatting>
  <conditionalFormatting sqref="AD24:AE24">
    <cfRule type="expression" dxfId="528" priority="63">
      <formula>$E$24&lt;&gt;""</formula>
    </cfRule>
  </conditionalFormatting>
  <conditionalFormatting sqref="AD25:AE25">
    <cfRule type="expression" dxfId="527" priority="62">
      <formula>$E$25&lt;&gt;""</formula>
    </cfRule>
  </conditionalFormatting>
  <conditionalFormatting sqref="AD26:AE26">
    <cfRule type="expression" dxfId="526" priority="61">
      <formula>$E$26&lt;&gt;""</formula>
    </cfRule>
  </conditionalFormatting>
  <conditionalFormatting sqref="AF60:AF61">
    <cfRule type="expression" dxfId="524" priority="612">
      <formula>AND(AD60="Yes",AF60&lt;&gt;"")</formula>
    </cfRule>
    <cfRule type="expression" dxfId="523" priority="613">
      <formula>AD60="Yes"</formula>
    </cfRule>
  </conditionalFormatting>
  <conditionalFormatting sqref="AF63">
    <cfRule type="expression" dxfId="522" priority="478">
      <formula>AND(AD63="Yes",AF63&lt;&gt;"")</formula>
    </cfRule>
    <cfRule type="expression" dxfId="521" priority="479">
      <formula>AD63="Yes"</formula>
    </cfRule>
  </conditionalFormatting>
  <conditionalFormatting sqref="AF65:AF66">
    <cfRule type="expression" dxfId="520" priority="391">
      <formula>AND(AD65="Yes",AF65&lt;&gt;"")</formula>
    </cfRule>
    <cfRule type="expression" dxfId="519" priority="392">
      <formula>AD65="Yes"</formula>
    </cfRule>
  </conditionalFormatting>
  <conditionalFormatting sqref="AF70">
    <cfRule type="expression" dxfId="518" priority="2">
      <formula>AD70="Yes"</formula>
    </cfRule>
    <cfRule type="expression" dxfId="517" priority="1">
      <formula>AND(AD70="Yes",AF70&lt;&gt;"")</formula>
    </cfRule>
    <cfRule type="expression" dxfId="516" priority="305">
      <formula>AD70="Yes"</formula>
    </cfRule>
    <cfRule type="expression" dxfId="515" priority="304">
      <formula>AND(AD70="Yes",AF70&lt;&gt;"")</formula>
    </cfRule>
  </conditionalFormatting>
  <conditionalFormatting sqref="AF72:AF74">
    <cfRule type="expression" dxfId="514" priority="217">
      <formula>AND(AD72="Yes",AF72&lt;&gt;"")</formula>
    </cfRule>
    <cfRule type="expression" dxfId="513" priority="218">
      <formula>AD72="Yes"</formula>
    </cfRule>
  </conditionalFormatting>
  <conditionalFormatting sqref="AF77">
    <cfRule type="expression" dxfId="512" priority="12">
      <formula>AND(AD77="Yes",AF77&lt;&gt;"")</formula>
    </cfRule>
    <cfRule type="expression" dxfId="511" priority="13">
      <formula>AD77="Yes"</formula>
    </cfRule>
  </conditionalFormatting>
  <conditionalFormatting sqref="AG29">
    <cfRule type="iconSet" priority="681">
      <iconSet iconSet="3Symbols" showValue="0">
        <cfvo type="percent" val="0"/>
        <cfvo type="num" val="0"/>
        <cfvo type="num" val="1"/>
      </iconSet>
    </cfRule>
  </conditionalFormatting>
  <conditionalFormatting sqref="AG60:AG61">
    <cfRule type="expression" dxfId="510" priority="1521">
      <formula>AG60=""</formula>
    </cfRule>
  </conditionalFormatting>
  <conditionalFormatting sqref="AG63">
    <cfRule type="expression" dxfId="509" priority="1520">
      <formula>AG63=""</formula>
    </cfRule>
  </conditionalFormatting>
  <conditionalFormatting sqref="AG65:AG66">
    <cfRule type="expression" dxfId="508" priority="1451">
      <formula>AG65=""</formula>
    </cfRule>
  </conditionalFormatting>
  <conditionalFormatting sqref="AG70">
    <cfRule type="expression" dxfId="507" priority="1413">
      <formula>AG70=""</formula>
    </cfRule>
  </conditionalFormatting>
  <conditionalFormatting sqref="AG72:AG73">
    <cfRule type="expression" dxfId="506" priority="1308">
      <formula>AG72=""</formula>
    </cfRule>
  </conditionalFormatting>
  <conditionalFormatting sqref="AG76">
    <cfRule type="expression" dxfId="505" priority="1307">
      <formula>AG76=""</formula>
    </cfRule>
  </conditionalFormatting>
  <conditionalFormatting sqref="AG77">
    <cfRule type="expression" dxfId="504" priority="976">
      <formula>$AG$77=""</formula>
    </cfRule>
  </conditionalFormatting>
  <conditionalFormatting sqref="AG16:AI16">
    <cfRule type="expression" dxfId="503" priority="10">
      <formula>AG16=""</formula>
    </cfRule>
  </conditionalFormatting>
  <conditionalFormatting sqref="AG18:AI20">
    <cfRule type="expression" dxfId="502" priority="9">
      <formula>AG18=""</formula>
    </cfRule>
  </conditionalFormatting>
  <conditionalFormatting sqref="AG40:AO40">
    <cfRule type="expression" dxfId="500" priority="8">
      <formula>AG40=""</formula>
    </cfRule>
  </conditionalFormatting>
  <conditionalFormatting sqref="AG38:CQ38">
    <cfRule type="expression" dxfId="499" priority="1718">
      <formula>AG38=0</formula>
    </cfRule>
  </conditionalFormatting>
  <conditionalFormatting sqref="AG45:CQ46">
    <cfRule type="expression" dxfId="498" priority="1717">
      <formula>AG45=0</formula>
    </cfRule>
  </conditionalFormatting>
  <conditionalFormatting sqref="AI60:AI61">
    <cfRule type="expression" dxfId="497" priority="607">
      <formula>AND(AG60="Yes",AI60&lt;&gt;"")</formula>
    </cfRule>
    <cfRule type="expression" dxfId="496" priority="608">
      <formula>AG60="Yes"</formula>
    </cfRule>
  </conditionalFormatting>
  <conditionalFormatting sqref="AI63">
    <cfRule type="expression" dxfId="495" priority="476">
      <formula>AG63="Yes"</formula>
    </cfRule>
    <cfRule type="expression" dxfId="494" priority="475">
      <formula>AND(AG63="Yes",AI63&lt;&gt;"")</formula>
    </cfRule>
  </conditionalFormatting>
  <conditionalFormatting sqref="AI65:AI66">
    <cfRule type="expression" dxfId="493" priority="389">
      <formula>AG65="Yes"</formula>
    </cfRule>
    <cfRule type="expression" dxfId="492" priority="388">
      <formula>AND(AG65="Yes",AI65&lt;&gt;"")</formula>
    </cfRule>
  </conditionalFormatting>
  <conditionalFormatting sqref="AI70">
    <cfRule type="expression" dxfId="491" priority="302">
      <formula>AG70="Yes"</formula>
    </cfRule>
    <cfRule type="expression" dxfId="490" priority="301">
      <formula>AND(AG70="Yes",AI70&lt;&gt;"")</formula>
    </cfRule>
  </conditionalFormatting>
  <conditionalFormatting sqref="AI72:AI74 AI77">
    <cfRule type="expression" dxfId="489" priority="214">
      <formula>AND(AG72="Yes",AI72&lt;&gt;"")</formula>
    </cfRule>
    <cfRule type="expression" dxfId="488" priority="215">
      <formula>AG72="Yes"</formula>
    </cfRule>
  </conditionalFormatting>
  <conditionalFormatting sqref="AJ29">
    <cfRule type="iconSet" priority="680">
      <iconSet iconSet="3Symbols" showValue="0">
        <cfvo type="percent" val="0"/>
        <cfvo type="num" val="0"/>
        <cfvo type="num" val="1"/>
      </iconSet>
    </cfRule>
  </conditionalFormatting>
  <conditionalFormatting sqref="AJ60:AJ61">
    <cfRule type="expression" dxfId="487" priority="1518">
      <formula>AJ60=""</formula>
    </cfRule>
  </conditionalFormatting>
  <conditionalFormatting sqref="AJ63">
    <cfRule type="expression" dxfId="486" priority="1517">
      <formula>AJ63=""</formula>
    </cfRule>
  </conditionalFormatting>
  <conditionalFormatting sqref="AJ65:AJ66">
    <cfRule type="expression" dxfId="485" priority="1450">
      <formula>AJ65=""</formula>
    </cfRule>
  </conditionalFormatting>
  <conditionalFormatting sqref="AJ70">
    <cfRule type="expression" dxfId="484" priority="1411">
      <formula>AJ70=""</formula>
    </cfRule>
  </conditionalFormatting>
  <conditionalFormatting sqref="AJ72:AJ73">
    <cfRule type="expression" dxfId="483" priority="1304">
      <formula>AJ72=""</formula>
    </cfRule>
  </conditionalFormatting>
  <conditionalFormatting sqref="AJ76">
    <cfRule type="expression" dxfId="482" priority="1303">
      <formula>AJ76=""</formula>
    </cfRule>
  </conditionalFormatting>
  <conditionalFormatting sqref="AJ77">
    <cfRule type="expression" dxfId="481" priority="974">
      <formula>$AJ$77=""</formula>
    </cfRule>
  </conditionalFormatting>
  <conditionalFormatting sqref="AL60:AL61">
    <cfRule type="expression" dxfId="479" priority="597">
      <formula>AND(AJ60="Yes",AL60&lt;&gt;"")</formula>
    </cfRule>
    <cfRule type="expression" dxfId="478" priority="598">
      <formula>AJ60="Yes"</formula>
    </cfRule>
  </conditionalFormatting>
  <conditionalFormatting sqref="AL63">
    <cfRule type="expression" dxfId="477" priority="472">
      <formula>AND(AJ63="Yes",AL63&lt;&gt;"")</formula>
    </cfRule>
    <cfRule type="expression" dxfId="476" priority="473">
      <formula>AJ63="Yes"</formula>
    </cfRule>
  </conditionalFormatting>
  <conditionalFormatting sqref="AL65:AL66">
    <cfRule type="expression" dxfId="475" priority="385">
      <formula>AND(AJ65="Yes",AL65&lt;&gt;"")</formula>
    </cfRule>
    <cfRule type="expression" dxfId="474" priority="386">
      <formula>AJ65="Yes"</formula>
    </cfRule>
  </conditionalFormatting>
  <conditionalFormatting sqref="AL70">
    <cfRule type="expression" dxfId="473" priority="299">
      <formula>AJ70="Yes"</formula>
    </cfRule>
    <cfRule type="expression" dxfId="472" priority="298">
      <formula>AND(AJ70="Yes",AL70&lt;&gt;"")</formula>
    </cfRule>
  </conditionalFormatting>
  <conditionalFormatting sqref="AL72:AL74 AL77">
    <cfRule type="expression" dxfId="471" priority="211">
      <formula>AND(AJ72="Yes",AL72&lt;&gt;"")</formula>
    </cfRule>
    <cfRule type="expression" dxfId="470" priority="212">
      <formula>AJ72="Yes"</formula>
    </cfRule>
  </conditionalFormatting>
  <conditionalFormatting sqref="AM29">
    <cfRule type="iconSet" priority="679">
      <iconSet iconSet="3Symbols" showValue="0">
        <cfvo type="percent" val="0"/>
        <cfvo type="num" val="0"/>
        <cfvo type="num" val="1"/>
      </iconSet>
    </cfRule>
  </conditionalFormatting>
  <conditionalFormatting sqref="AM60:AM61">
    <cfRule type="expression" dxfId="469" priority="1515">
      <formula>AM60=""</formula>
    </cfRule>
  </conditionalFormatting>
  <conditionalFormatting sqref="AM63">
    <cfRule type="expression" dxfId="468" priority="1514">
      <formula>AM63=""</formula>
    </cfRule>
  </conditionalFormatting>
  <conditionalFormatting sqref="AM65:AM66">
    <cfRule type="expression" dxfId="467" priority="1449">
      <formula>AM65=""</formula>
    </cfRule>
  </conditionalFormatting>
  <conditionalFormatting sqref="AM70">
    <cfRule type="expression" dxfId="466" priority="1409">
      <formula>AM70=""</formula>
    </cfRule>
  </conditionalFormatting>
  <conditionalFormatting sqref="AM72:AM73">
    <cfRule type="expression" dxfId="465" priority="1300">
      <formula>AM72=""</formula>
    </cfRule>
  </conditionalFormatting>
  <conditionalFormatting sqref="AM76">
    <cfRule type="expression" dxfId="464" priority="1299">
      <formula>AM76=""</formula>
    </cfRule>
  </conditionalFormatting>
  <conditionalFormatting sqref="AM77">
    <cfRule type="expression" dxfId="463" priority="972">
      <formula>$AM$77=""</formula>
    </cfRule>
  </conditionalFormatting>
  <conditionalFormatting sqref="AO60:AO61">
    <cfRule type="expression" dxfId="460" priority="593">
      <formula>AM60="Yes"</formula>
    </cfRule>
    <cfRule type="expression" dxfId="459" priority="592">
      <formula>AND(AM60="Yes",AO60&lt;&gt;"")</formula>
    </cfRule>
  </conditionalFormatting>
  <conditionalFormatting sqref="AO63">
    <cfRule type="expression" dxfId="458" priority="470">
      <formula>AM63="Yes"</formula>
    </cfRule>
    <cfRule type="expression" dxfId="457" priority="469">
      <formula>AND(AM63="Yes",AO63&lt;&gt;"")</formula>
    </cfRule>
  </conditionalFormatting>
  <conditionalFormatting sqref="AO65:AO66">
    <cfRule type="expression" dxfId="456" priority="382">
      <formula>AND(AM65="Yes",AO65&lt;&gt;"")</formula>
    </cfRule>
    <cfRule type="expression" dxfId="455" priority="383">
      <formula>AM65="Yes"</formula>
    </cfRule>
  </conditionalFormatting>
  <conditionalFormatting sqref="AO70">
    <cfRule type="expression" dxfId="454" priority="296">
      <formula>AM70="Yes"</formula>
    </cfRule>
    <cfRule type="expression" dxfId="453" priority="295">
      <formula>AND(AM70="Yes",AO70&lt;&gt;"")</formula>
    </cfRule>
  </conditionalFormatting>
  <conditionalFormatting sqref="AO72:AO74 AO77">
    <cfRule type="expression" dxfId="452" priority="209">
      <formula>AM72="Yes"</formula>
    </cfRule>
    <cfRule type="expression" dxfId="451" priority="208">
      <formula>AND(AM72="Yes",AO72&lt;&gt;"")</formula>
    </cfRule>
  </conditionalFormatting>
  <conditionalFormatting sqref="AP29">
    <cfRule type="iconSet" priority="678">
      <iconSet iconSet="3Symbols" showValue="0">
        <cfvo type="percent" val="0"/>
        <cfvo type="num" val="0"/>
        <cfvo type="num" val="1"/>
      </iconSet>
    </cfRule>
  </conditionalFormatting>
  <conditionalFormatting sqref="AP60:AP61">
    <cfRule type="expression" dxfId="450" priority="1512">
      <formula>AP60=""</formula>
    </cfRule>
  </conditionalFormatting>
  <conditionalFormatting sqref="AP63">
    <cfRule type="expression" dxfId="449" priority="1511">
      <formula>AP63=""</formula>
    </cfRule>
  </conditionalFormatting>
  <conditionalFormatting sqref="AP65:AP66">
    <cfRule type="expression" dxfId="448" priority="1448">
      <formula>AP65=""</formula>
    </cfRule>
  </conditionalFormatting>
  <conditionalFormatting sqref="AP70">
    <cfRule type="expression" dxfId="447" priority="1405">
      <formula>AP70=""</formula>
    </cfRule>
  </conditionalFormatting>
  <conditionalFormatting sqref="AP72:AP73">
    <cfRule type="expression" dxfId="446" priority="1296">
      <formula>AP72=""</formula>
    </cfRule>
  </conditionalFormatting>
  <conditionalFormatting sqref="AP76">
    <cfRule type="expression" dxfId="445" priority="1295">
      <formula>AP76=""</formula>
    </cfRule>
  </conditionalFormatting>
  <conditionalFormatting sqref="AP77">
    <cfRule type="expression" dxfId="444" priority="968">
      <formula>$AP$77=""</formula>
    </cfRule>
  </conditionalFormatting>
  <conditionalFormatting sqref="AR60:AR61">
    <cfRule type="expression" dxfId="442" priority="587">
      <formula>AND(AP60="Yes",AR60&lt;&gt;"")</formula>
    </cfRule>
    <cfRule type="expression" dxfId="441" priority="588">
      <formula>AP60="Yes"</formula>
    </cfRule>
  </conditionalFormatting>
  <conditionalFormatting sqref="AR63">
    <cfRule type="expression" dxfId="440" priority="467">
      <formula>AP63="Yes"</formula>
    </cfRule>
    <cfRule type="expression" dxfId="439" priority="466">
      <formula>AND(AP63="Yes",AR63&lt;&gt;"")</formula>
    </cfRule>
  </conditionalFormatting>
  <conditionalFormatting sqref="AR65:AR66">
    <cfRule type="expression" dxfId="438" priority="379">
      <formula>AND(AP65="Yes",AR65&lt;&gt;"")</formula>
    </cfRule>
    <cfRule type="expression" dxfId="437" priority="380">
      <formula>AP65="Yes"</formula>
    </cfRule>
  </conditionalFormatting>
  <conditionalFormatting sqref="AR70">
    <cfRule type="expression" dxfId="436" priority="292">
      <formula>AND(AP70="Yes",AR70&lt;&gt;"")</formula>
    </cfRule>
    <cfRule type="expression" dxfId="435" priority="293">
      <formula>AP70="Yes"</formula>
    </cfRule>
  </conditionalFormatting>
  <conditionalFormatting sqref="AR72:AR74 AR77">
    <cfRule type="expression" dxfId="434" priority="206">
      <formula>AP72="Yes"</formula>
    </cfRule>
    <cfRule type="expression" dxfId="433" priority="205">
      <formula>AND(AP72="Yes",AR72&lt;&gt;"")</formula>
    </cfRule>
  </conditionalFormatting>
  <conditionalFormatting sqref="AS29">
    <cfRule type="iconSet" priority="677">
      <iconSet iconSet="3Symbols" showValue="0">
        <cfvo type="percent" val="0"/>
        <cfvo type="num" val="0"/>
        <cfvo type="num" val="1"/>
      </iconSet>
    </cfRule>
  </conditionalFormatting>
  <conditionalFormatting sqref="AS60:AS61">
    <cfRule type="expression" dxfId="432" priority="1509">
      <formula>AS60=""</formula>
    </cfRule>
  </conditionalFormatting>
  <conditionalFormatting sqref="AS63">
    <cfRule type="expression" dxfId="431" priority="1508">
      <formula>AS63=""</formula>
    </cfRule>
  </conditionalFormatting>
  <conditionalFormatting sqref="AS65:AS66">
    <cfRule type="expression" dxfId="430" priority="1447">
      <formula>AS65=""</formula>
    </cfRule>
  </conditionalFormatting>
  <conditionalFormatting sqref="AS70">
    <cfRule type="expression" dxfId="429" priority="1403">
      <formula>AS70=""</formula>
    </cfRule>
  </conditionalFormatting>
  <conditionalFormatting sqref="AS72:AS73">
    <cfRule type="expression" dxfId="428" priority="1292">
      <formula>AS72=""</formula>
    </cfRule>
  </conditionalFormatting>
  <conditionalFormatting sqref="AS76">
    <cfRule type="expression" dxfId="427" priority="1291">
      <formula>AS76=""</formula>
    </cfRule>
  </conditionalFormatting>
  <conditionalFormatting sqref="AS77">
    <cfRule type="expression" dxfId="426" priority="966">
      <formula>$AS$77=""</formula>
    </cfRule>
  </conditionalFormatting>
  <conditionalFormatting sqref="AU60:AU61">
    <cfRule type="expression" dxfId="424" priority="582">
      <formula>AND(AS60="Yes",AU60&lt;&gt;"")</formula>
    </cfRule>
    <cfRule type="expression" dxfId="423" priority="583">
      <formula>AS60="Yes"</formula>
    </cfRule>
  </conditionalFormatting>
  <conditionalFormatting sqref="AU63">
    <cfRule type="expression" dxfId="422" priority="463">
      <formula>AND(AS63="Yes",AU63&lt;&gt;"")</formula>
    </cfRule>
    <cfRule type="expression" dxfId="421" priority="464">
      <formula>AS63="Yes"</formula>
    </cfRule>
  </conditionalFormatting>
  <conditionalFormatting sqref="AU65:AU66">
    <cfRule type="expression" dxfId="420" priority="377">
      <formula>AS65="Yes"</formula>
    </cfRule>
    <cfRule type="expression" dxfId="419" priority="376">
      <formula>AND(AS65="Yes",AU65&lt;&gt;"")</formula>
    </cfRule>
  </conditionalFormatting>
  <conditionalFormatting sqref="AU70">
    <cfRule type="expression" dxfId="418" priority="289">
      <formula>AND(AS70="Yes",AU70&lt;&gt;"")</formula>
    </cfRule>
    <cfRule type="expression" dxfId="417" priority="290">
      <formula>AS70="Yes"</formula>
    </cfRule>
  </conditionalFormatting>
  <conditionalFormatting sqref="AU72:AU74 AU77">
    <cfRule type="expression" dxfId="416" priority="203">
      <formula>AS72="Yes"</formula>
    </cfRule>
    <cfRule type="expression" dxfId="415" priority="202">
      <formula>AND(AS72="Yes",AU72&lt;&gt;"")</formula>
    </cfRule>
  </conditionalFormatting>
  <conditionalFormatting sqref="AV29">
    <cfRule type="iconSet" priority="676">
      <iconSet iconSet="3Symbols" showValue="0">
        <cfvo type="percent" val="0"/>
        <cfvo type="num" val="0"/>
        <cfvo type="num" val="1"/>
      </iconSet>
    </cfRule>
  </conditionalFormatting>
  <conditionalFormatting sqref="AV60:AV61">
    <cfRule type="expression" dxfId="414" priority="1506">
      <formula>AV60=""</formula>
    </cfRule>
  </conditionalFormatting>
  <conditionalFormatting sqref="AV63">
    <cfRule type="expression" dxfId="413" priority="1505">
      <formula>AV63=""</formula>
    </cfRule>
  </conditionalFormatting>
  <conditionalFormatting sqref="AV65:AV66">
    <cfRule type="expression" dxfId="412" priority="1446">
      <formula>AV65=""</formula>
    </cfRule>
  </conditionalFormatting>
  <conditionalFormatting sqref="AV70">
    <cfRule type="expression" dxfId="411" priority="1401">
      <formula>AV70=""</formula>
    </cfRule>
  </conditionalFormatting>
  <conditionalFormatting sqref="AV72:AV73">
    <cfRule type="expression" dxfId="410" priority="1288">
      <formula>AV72=""</formula>
    </cfRule>
  </conditionalFormatting>
  <conditionalFormatting sqref="AV76">
    <cfRule type="expression" dxfId="409" priority="1287">
      <formula>AV76=""</formula>
    </cfRule>
  </conditionalFormatting>
  <conditionalFormatting sqref="AV77">
    <cfRule type="expression" dxfId="408" priority="964">
      <formula>$AV$77=""</formula>
    </cfRule>
  </conditionalFormatting>
  <conditionalFormatting sqref="AX60:AX61">
    <cfRule type="expression" dxfId="406" priority="578">
      <formula>AV60="Yes"</formula>
    </cfRule>
    <cfRule type="expression" dxfId="405" priority="577">
      <formula>AND(AV60="Yes",AX60&lt;&gt;"")</formula>
    </cfRule>
  </conditionalFormatting>
  <conditionalFormatting sqref="AX63">
    <cfRule type="expression" dxfId="404" priority="461">
      <formula>AV63="Yes"</formula>
    </cfRule>
    <cfRule type="expression" dxfId="403" priority="460">
      <formula>AND(AV63="Yes",AX63&lt;&gt;"")</formula>
    </cfRule>
  </conditionalFormatting>
  <conditionalFormatting sqref="AX65:AX66">
    <cfRule type="expression" dxfId="402" priority="373">
      <formula>AND(AV65="Yes",AX65&lt;&gt;"")</formula>
    </cfRule>
    <cfRule type="expression" dxfId="401" priority="374">
      <formula>AV65="Yes"</formula>
    </cfRule>
  </conditionalFormatting>
  <conditionalFormatting sqref="AX70">
    <cfRule type="expression" dxfId="400" priority="287">
      <formula>AV70="Yes"</formula>
    </cfRule>
    <cfRule type="expression" dxfId="399" priority="286">
      <formula>AND(AV70="Yes",AX70&lt;&gt;"")</formula>
    </cfRule>
  </conditionalFormatting>
  <conditionalFormatting sqref="AX72:AX74 AX77">
    <cfRule type="expression" dxfId="398" priority="199">
      <formula>AND(AV72="Yes",AX72&lt;&gt;"")</formula>
    </cfRule>
    <cfRule type="expression" dxfId="397" priority="200">
      <formula>AV72="Yes"</formula>
    </cfRule>
  </conditionalFormatting>
  <conditionalFormatting sqref="AY29">
    <cfRule type="iconSet" priority="675">
      <iconSet iconSet="3Symbols" showValue="0">
        <cfvo type="percent" val="0"/>
        <cfvo type="num" val="0"/>
        <cfvo type="num" val="1"/>
      </iconSet>
    </cfRule>
  </conditionalFormatting>
  <conditionalFormatting sqref="AY60:AY61">
    <cfRule type="expression" dxfId="396" priority="1503">
      <formula>AY60=""</formula>
    </cfRule>
  </conditionalFormatting>
  <conditionalFormatting sqref="AY63">
    <cfRule type="expression" dxfId="395" priority="1502">
      <formula>AY63=""</formula>
    </cfRule>
  </conditionalFormatting>
  <conditionalFormatting sqref="AY65:AY66">
    <cfRule type="expression" dxfId="394" priority="1445">
      <formula>AY65=""</formula>
    </cfRule>
  </conditionalFormatting>
  <conditionalFormatting sqref="AY70">
    <cfRule type="expression" dxfId="393" priority="1399">
      <formula>AY70=""</formula>
    </cfRule>
  </conditionalFormatting>
  <conditionalFormatting sqref="AY72:AY73">
    <cfRule type="expression" dxfId="392" priority="1284">
      <formula>AY72=""</formula>
    </cfRule>
  </conditionalFormatting>
  <conditionalFormatting sqref="AY76">
    <cfRule type="expression" dxfId="391" priority="1283">
      <formula>AY76=""</formula>
    </cfRule>
  </conditionalFormatting>
  <conditionalFormatting sqref="AY77">
    <cfRule type="expression" dxfId="390" priority="962">
      <formula>$AY$77=""</formula>
    </cfRule>
  </conditionalFormatting>
  <conditionalFormatting sqref="BA60:BA61">
    <cfRule type="expression" dxfId="388" priority="573">
      <formula>AY60="Yes"</formula>
    </cfRule>
    <cfRule type="expression" dxfId="387" priority="572">
      <formula>AND(AY60="Yes",BA60&lt;&gt;"")</formula>
    </cfRule>
  </conditionalFormatting>
  <conditionalFormatting sqref="BA63">
    <cfRule type="expression" dxfId="386" priority="457">
      <formula>AND(AY63="Yes",BA63&lt;&gt;"")</formula>
    </cfRule>
    <cfRule type="expression" dxfId="385" priority="458">
      <formula>AY63="Yes"</formula>
    </cfRule>
  </conditionalFormatting>
  <conditionalFormatting sqref="BA65:BA66">
    <cfRule type="expression" dxfId="384" priority="371">
      <formula>AY65="Yes"</formula>
    </cfRule>
    <cfRule type="expression" dxfId="383" priority="370">
      <formula>AND(AY65="Yes",BA65&lt;&gt;"")</formula>
    </cfRule>
  </conditionalFormatting>
  <conditionalFormatting sqref="BA70">
    <cfRule type="expression" dxfId="382" priority="284">
      <formula>AY70="Yes"</formula>
    </cfRule>
    <cfRule type="expression" dxfId="381" priority="283">
      <formula>AND(AY70="Yes",BA70&lt;&gt;"")</formula>
    </cfRule>
  </conditionalFormatting>
  <conditionalFormatting sqref="BA72:BA74 BA77">
    <cfRule type="expression" dxfId="380" priority="197">
      <formula>AY72="Yes"</formula>
    </cfRule>
    <cfRule type="expression" dxfId="379" priority="196">
      <formula>AND(AY72="Yes",BA72&lt;&gt;"")</formula>
    </cfRule>
  </conditionalFormatting>
  <conditionalFormatting sqref="BB29">
    <cfRule type="iconSet" priority="674">
      <iconSet iconSet="3Symbols" showValue="0">
        <cfvo type="percent" val="0"/>
        <cfvo type="num" val="0"/>
        <cfvo type="num" val="1"/>
      </iconSet>
    </cfRule>
  </conditionalFormatting>
  <conditionalFormatting sqref="BB60:BB61">
    <cfRule type="expression" dxfId="378" priority="1500">
      <formula>BB60=""</formula>
    </cfRule>
  </conditionalFormatting>
  <conditionalFormatting sqref="BB63">
    <cfRule type="expression" dxfId="377" priority="1499">
      <formula>BB63=""</formula>
    </cfRule>
  </conditionalFormatting>
  <conditionalFormatting sqref="BB65:BB66">
    <cfRule type="expression" dxfId="376" priority="1444">
      <formula>BB65=""</formula>
    </cfRule>
  </conditionalFormatting>
  <conditionalFormatting sqref="BB70">
    <cfRule type="expression" dxfId="375" priority="1397">
      <formula>BB70=""</formula>
    </cfRule>
  </conditionalFormatting>
  <conditionalFormatting sqref="BB72:BB73">
    <cfRule type="expression" dxfId="374" priority="1280">
      <formula>BB72=""</formula>
    </cfRule>
  </conditionalFormatting>
  <conditionalFormatting sqref="BB76">
    <cfRule type="expression" dxfId="373" priority="1279">
      <formula>BB76=""</formula>
    </cfRule>
  </conditionalFormatting>
  <conditionalFormatting sqref="BB77">
    <cfRule type="expression" dxfId="372" priority="960">
      <formula>$BB$77=""</formula>
    </cfRule>
  </conditionalFormatting>
  <conditionalFormatting sqref="BD60:BD61">
    <cfRule type="expression" dxfId="370" priority="568">
      <formula>BB60="Yes"</formula>
    </cfRule>
    <cfRule type="expression" dxfId="369" priority="567">
      <formula>AND(BB60="Yes",BD60&lt;&gt;"")</formula>
    </cfRule>
  </conditionalFormatting>
  <conditionalFormatting sqref="BD63">
    <cfRule type="expression" dxfId="368" priority="454">
      <formula>AND(BB63="Yes",BD63&lt;&gt;"")</formula>
    </cfRule>
    <cfRule type="expression" dxfId="367" priority="455">
      <formula>BB63="Yes"</formula>
    </cfRule>
  </conditionalFormatting>
  <conditionalFormatting sqref="BD65:BD66">
    <cfRule type="expression" dxfId="366" priority="367">
      <formula>AND(BB65="Yes",BD65&lt;&gt;"")</formula>
    </cfRule>
    <cfRule type="expression" dxfId="365" priority="368">
      <formula>BB65="Yes"</formula>
    </cfRule>
  </conditionalFormatting>
  <conditionalFormatting sqref="BD70">
    <cfRule type="expression" dxfId="364" priority="280">
      <formula>AND(BB70="Yes",BD70&lt;&gt;"")</formula>
    </cfRule>
    <cfRule type="expression" dxfId="363" priority="281">
      <formula>BB70="Yes"</formula>
    </cfRule>
  </conditionalFormatting>
  <conditionalFormatting sqref="BD72:BD74 BD77">
    <cfRule type="expression" dxfId="362" priority="193">
      <formula>AND(BB72="Yes",BD72&lt;&gt;"")</formula>
    </cfRule>
    <cfRule type="expression" dxfId="361" priority="194">
      <formula>BB72="Yes"</formula>
    </cfRule>
  </conditionalFormatting>
  <conditionalFormatting sqref="BE29">
    <cfRule type="iconSet" priority="673">
      <iconSet iconSet="3Symbols" showValue="0">
        <cfvo type="percent" val="0"/>
        <cfvo type="num" val="0"/>
        <cfvo type="num" val="1"/>
      </iconSet>
    </cfRule>
  </conditionalFormatting>
  <conditionalFormatting sqref="BE60:BE61">
    <cfRule type="expression" dxfId="360" priority="1497">
      <formula>BE60=""</formula>
    </cfRule>
  </conditionalFormatting>
  <conditionalFormatting sqref="BE63">
    <cfRule type="expression" dxfId="359" priority="1496">
      <formula>BE63=""</formula>
    </cfRule>
  </conditionalFormatting>
  <conditionalFormatting sqref="BE65:BE66">
    <cfRule type="expression" dxfId="358" priority="1443">
      <formula>BE65=""</formula>
    </cfRule>
  </conditionalFormatting>
  <conditionalFormatting sqref="BE70">
    <cfRule type="expression" dxfId="357" priority="1395">
      <formula>BE70=""</formula>
    </cfRule>
  </conditionalFormatting>
  <conditionalFormatting sqref="BE72:BE73">
    <cfRule type="expression" dxfId="356" priority="1276">
      <formula>BE72=""</formula>
    </cfRule>
  </conditionalFormatting>
  <conditionalFormatting sqref="BE76">
    <cfRule type="expression" dxfId="355" priority="1275">
      <formula>BE76=""</formula>
    </cfRule>
  </conditionalFormatting>
  <conditionalFormatting sqref="BE77">
    <cfRule type="expression" dxfId="354" priority="958">
      <formula>$BE$77=""</formula>
    </cfRule>
  </conditionalFormatting>
  <conditionalFormatting sqref="BG60:BG61">
    <cfRule type="expression" dxfId="352" priority="563">
      <formula>BE60="Yes"</formula>
    </cfRule>
    <cfRule type="expression" dxfId="351" priority="562">
      <formula>AND(BE60="Yes",BG60&lt;&gt;"")</formula>
    </cfRule>
  </conditionalFormatting>
  <conditionalFormatting sqref="BG63">
    <cfRule type="expression" dxfId="350" priority="452">
      <formula>BE63="Yes"</formula>
    </cfRule>
    <cfRule type="expression" dxfId="349" priority="451">
      <formula>AND(BE63="Yes",BG63&lt;&gt;"")</formula>
    </cfRule>
  </conditionalFormatting>
  <conditionalFormatting sqref="BG65:BG66">
    <cfRule type="expression" dxfId="348" priority="365">
      <formula>BE65="Yes"</formula>
    </cfRule>
    <cfRule type="expression" dxfId="347" priority="364">
      <formula>AND(BE65="Yes",BG65&lt;&gt;"")</formula>
    </cfRule>
  </conditionalFormatting>
  <conditionalFormatting sqref="BG70">
    <cfRule type="expression" dxfId="346" priority="277">
      <formula>AND(BE70="Yes",BG70&lt;&gt;"")</formula>
    </cfRule>
    <cfRule type="expression" dxfId="345" priority="278">
      <formula>BE70="Yes"</formula>
    </cfRule>
  </conditionalFormatting>
  <conditionalFormatting sqref="BG72:BG74 BG77">
    <cfRule type="expression" dxfId="344" priority="191">
      <formula>BE72="Yes"</formula>
    </cfRule>
    <cfRule type="expression" dxfId="343" priority="190">
      <formula>AND(BE72="Yes",BG72&lt;&gt;"")</formula>
    </cfRule>
  </conditionalFormatting>
  <conditionalFormatting sqref="BH29">
    <cfRule type="iconSet" priority="672">
      <iconSet iconSet="3Symbols" showValue="0">
        <cfvo type="percent" val="0"/>
        <cfvo type="num" val="0"/>
        <cfvo type="num" val="1"/>
      </iconSet>
    </cfRule>
  </conditionalFormatting>
  <conditionalFormatting sqref="BH60:BH61">
    <cfRule type="expression" dxfId="342" priority="1494">
      <formula>BH60=""</formula>
    </cfRule>
  </conditionalFormatting>
  <conditionalFormatting sqref="BH63">
    <cfRule type="expression" dxfId="341" priority="1493">
      <formula>BH63=""</formula>
    </cfRule>
  </conditionalFormatting>
  <conditionalFormatting sqref="BH65:BH66">
    <cfRule type="expression" dxfId="340" priority="1442">
      <formula>BH65=""</formula>
    </cfRule>
  </conditionalFormatting>
  <conditionalFormatting sqref="BH70">
    <cfRule type="expression" dxfId="339" priority="1393">
      <formula>BH70=""</formula>
    </cfRule>
  </conditionalFormatting>
  <conditionalFormatting sqref="BH72:BH73">
    <cfRule type="expression" dxfId="338" priority="1272">
      <formula>BH72=""</formula>
    </cfRule>
  </conditionalFormatting>
  <conditionalFormatting sqref="BH76">
    <cfRule type="expression" dxfId="337" priority="1271">
      <formula>BH76=""</formula>
    </cfRule>
  </conditionalFormatting>
  <conditionalFormatting sqref="BH77">
    <cfRule type="expression" dxfId="336" priority="956">
      <formula>$BH$77=""</formula>
    </cfRule>
  </conditionalFormatting>
  <conditionalFormatting sqref="BJ60:BJ61">
    <cfRule type="expression" dxfId="334" priority="558">
      <formula>BH60="Yes"</formula>
    </cfRule>
    <cfRule type="expression" dxfId="333" priority="557">
      <formula>AND(BH60="Yes",BJ60&lt;&gt;"")</formula>
    </cfRule>
  </conditionalFormatting>
  <conditionalFormatting sqref="BJ63">
    <cfRule type="expression" dxfId="332" priority="448">
      <formula>AND(BH63="Yes",BJ63&lt;&gt;"")</formula>
    </cfRule>
    <cfRule type="expression" dxfId="331" priority="449">
      <formula>BH63="Yes"</formula>
    </cfRule>
  </conditionalFormatting>
  <conditionalFormatting sqref="BJ65:BJ66">
    <cfRule type="expression" dxfId="330" priority="361">
      <formula>AND(BH65="Yes",BJ65&lt;&gt;"")</formula>
    </cfRule>
    <cfRule type="expression" dxfId="329" priority="362">
      <formula>BH65="Yes"</formula>
    </cfRule>
  </conditionalFormatting>
  <conditionalFormatting sqref="BJ70">
    <cfRule type="expression" dxfId="328" priority="275">
      <formula>BH70="Yes"</formula>
    </cfRule>
    <cfRule type="expression" dxfId="327" priority="274">
      <formula>AND(BH70="Yes",BJ70&lt;&gt;"")</formula>
    </cfRule>
  </conditionalFormatting>
  <conditionalFormatting sqref="BJ72:BJ74 BJ77">
    <cfRule type="expression" dxfId="326" priority="188">
      <formula>BH72="Yes"</formula>
    </cfRule>
    <cfRule type="expression" dxfId="325" priority="187">
      <formula>AND(BH72="Yes",BJ72&lt;&gt;"")</formula>
    </cfRule>
  </conditionalFormatting>
  <conditionalFormatting sqref="BK29">
    <cfRule type="iconSet" priority="671">
      <iconSet iconSet="3Symbols" showValue="0">
        <cfvo type="percent" val="0"/>
        <cfvo type="num" val="0"/>
        <cfvo type="num" val="1"/>
      </iconSet>
    </cfRule>
  </conditionalFormatting>
  <conditionalFormatting sqref="BK60:BK61">
    <cfRule type="expression" dxfId="324" priority="1491">
      <formula>BK60=""</formula>
    </cfRule>
  </conditionalFormatting>
  <conditionalFormatting sqref="BK63">
    <cfRule type="expression" dxfId="323" priority="1490">
      <formula>BK63=""</formula>
    </cfRule>
  </conditionalFormatting>
  <conditionalFormatting sqref="BK65:BK66">
    <cfRule type="expression" dxfId="322" priority="1441">
      <formula>BK65=""</formula>
    </cfRule>
  </conditionalFormatting>
  <conditionalFormatting sqref="BK70">
    <cfRule type="expression" dxfId="321" priority="1391">
      <formula>BK70=""</formula>
    </cfRule>
  </conditionalFormatting>
  <conditionalFormatting sqref="BK72:BK73">
    <cfRule type="expression" dxfId="320" priority="1268">
      <formula>BK72=""</formula>
    </cfRule>
  </conditionalFormatting>
  <conditionalFormatting sqref="BK76">
    <cfRule type="expression" dxfId="319" priority="1267">
      <formula>BK76=""</formula>
    </cfRule>
  </conditionalFormatting>
  <conditionalFormatting sqref="BK77">
    <cfRule type="expression" dxfId="318" priority="954">
      <formula>$BK$77=""</formula>
    </cfRule>
  </conditionalFormatting>
  <conditionalFormatting sqref="BM60:BM61">
    <cfRule type="expression" dxfId="316" priority="553">
      <formula>BK60="Yes"</formula>
    </cfRule>
    <cfRule type="expression" dxfId="315" priority="552">
      <formula>AND(BK60="Yes",BM60&lt;&gt;"")</formula>
    </cfRule>
  </conditionalFormatting>
  <conditionalFormatting sqref="BM63">
    <cfRule type="expression" dxfId="314" priority="446">
      <formula>BK63="Yes"</formula>
    </cfRule>
    <cfRule type="expression" dxfId="313" priority="445">
      <formula>AND(BK63="Yes",BM63&lt;&gt;"")</formula>
    </cfRule>
  </conditionalFormatting>
  <conditionalFormatting sqref="BM65:BM66">
    <cfRule type="expression" dxfId="312" priority="359">
      <formula>BK65="Yes"</formula>
    </cfRule>
    <cfRule type="expression" dxfId="311" priority="358">
      <formula>AND(BK65="Yes",BM65&lt;&gt;"")</formula>
    </cfRule>
  </conditionalFormatting>
  <conditionalFormatting sqref="BM70">
    <cfRule type="expression" dxfId="310" priority="272">
      <formula>BK70="Yes"</formula>
    </cfRule>
    <cfRule type="expression" dxfId="309" priority="271">
      <formula>AND(BK70="Yes",BM70&lt;&gt;"")</formula>
    </cfRule>
  </conditionalFormatting>
  <conditionalFormatting sqref="BM72:BM74 BM77">
    <cfRule type="expression" dxfId="308" priority="185">
      <formula>BK72="Yes"</formula>
    </cfRule>
    <cfRule type="expression" dxfId="307" priority="184">
      <formula>AND(BK72="Yes",BM72&lt;&gt;"")</formula>
    </cfRule>
  </conditionalFormatting>
  <conditionalFormatting sqref="BN29">
    <cfRule type="iconSet" priority="670">
      <iconSet iconSet="3Symbols" showValue="0">
        <cfvo type="percent" val="0"/>
        <cfvo type="num" val="0"/>
        <cfvo type="num" val="1"/>
      </iconSet>
    </cfRule>
  </conditionalFormatting>
  <conditionalFormatting sqref="BN60:BN61">
    <cfRule type="expression" dxfId="306" priority="1488">
      <formula>BN60=""</formula>
    </cfRule>
  </conditionalFormatting>
  <conditionalFormatting sqref="BN63">
    <cfRule type="expression" dxfId="305" priority="1487">
      <formula>BN63=""</formula>
    </cfRule>
  </conditionalFormatting>
  <conditionalFormatting sqref="BN65:BN66">
    <cfRule type="expression" dxfId="304" priority="1440">
      <formula>BN65=""</formula>
    </cfRule>
  </conditionalFormatting>
  <conditionalFormatting sqref="BN70">
    <cfRule type="expression" dxfId="303" priority="1389">
      <formula>BN70=""</formula>
    </cfRule>
  </conditionalFormatting>
  <conditionalFormatting sqref="BN72:BN73">
    <cfRule type="expression" dxfId="302" priority="1264">
      <formula>BN72=""</formula>
    </cfRule>
  </conditionalFormatting>
  <conditionalFormatting sqref="BN76">
    <cfRule type="expression" dxfId="301" priority="1263">
      <formula>BN76=""</formula>
    </cfRule>
  </conditionalFormatting>
  <conditionalFormatting sqref="BN77">
    <cfRule type="expression" dxfId="300" priority="942">
      <formula>$BN$77=""</formula>
    </cfRule>
  </conditionalFormatting>
  <conditionalFormatting sqref="BP60:BP61">
    <cfRule type="expression" dxfId="298" priority="547">
      <formula>AND(BN60="Yes",BP60&lt;&gt;"")</formula>
    </cfRule>
    <cfRule type="expression" dxfId="297" priority="548">
      <formula>BN60="Yes"</formula>
    </cfRule>
  </conditionalFormatting>
  <conditionalFormatting sqref="BP63">
    <cfRule type="expression" dxfId="296" priority="442">
      <formula>AND(BN63="Yes",BP63&lt;&gt;"")</formula>
    </cfRule>
    <cfRule type="expression" dxfId="295" priority="443">
      <formula>BN63="Yes"</formula>
    </cfRule>
  </conditionalFormatting>
  <conditionalFormatting sqref="BP65:BP66">
    <cfRule type="expression" dxfId="294" priority="356">
      <formula>BN65="Yes"</formula>
    </cfRule>
    <cfRule type="expression" dxfId="293" priority="355">
      <formula>AND(BN65="Yes",BP65&lt;&gt;"")</formula>
    </cfRule>
  </conditionalFormatting>
  <conditionalFormatting sqref="BP70">
    <cfRule type="expression" dxfId="292" priority="269">
      <formula>BN70="Yes"</formula>
    </cfRule>
    <cfRule type="expression" dxfId="291" priority="268">
      <formula>AND(BN70="Yes",BP70&lt;&gt;"")</formula>
    </cfRule>
  </conditionalFormatting>
  <conditionalFormatting sqref="BP72:BP74 BP77">
    <cfRule type="expression" dxfId="290" priority="182">
      <formula>BN72="Yes"</formula>
    </cfRule>
    <cfRule type="expression" dxfId="289" priority="181">
      <formula>AND(BN72="Yes",BP72&lt;&gt;"")</formula>
    </cfRule>
  </conditionalFormatting>
  <conditionalFormatting sqref="BQ29">
    <cfRule type="iconSet" priority="669">
      <iconSet iconSet="3Symbols" showValue="0">
        <cfvo type="percent" val="0"/>
        <cfvo type="num" val="0"/>
        <cfvo type="num" val="1"/>
      </iconSet>
    </cfRule>
  </conditionalFormatting>
  <conditionalFormatting sqref="BQ60:BQ61">
    <cfRule type="expression" dxfId="288" priority="1485">
      <formula>BQ60=""</formula>
    </cfRule>
  </conditionalFormatting>
  <conditionalFormatting sqref="BQ63">
    <cfRule type="expression" dxfId="287" priority="1484">
      <formula>BQ63=""</formula>
    </cfRule>
  </conditionalFormatting>
  <conditionalFormatting sqref="BQ65:BQ66">
    <cfRule type="expression" dxfId="286" priority="1439">
      <formula>BQ65=""</formula>
    </cfRule>
  </conditionalFormatting>
  <conditionalFormatting sqref="BQ70">
    <cfRule type="expression" dxfId="285" priority="1387">
      <formula>BQ70=""</formula>
    </cfRule>
  </conditionalFormatting>
  <conditionalFormatting sqref="BQ72:BQ73">
    <cfRule type="expression" dxfId="284" priority="1260">
      <formula>BQ72=""</formula>
    </cfRule>
  </conditionalFormatting>
  <conditionalFormatting sqref="BQ76">
    <cfRule type="expression" dxfId="283" priority="1259">
      <formula>BQ76=""</formula>
    </cfRule>
  </conditionalFormatting>
  <conditionalFormatting sqref="BQ77">
    <cfRule type="expression" dxfId="282" priority="994">
      <formula>$BQ$77=""</formula>
    </cfRule>
  </conditionalFormatting>
  <conditionalFormatting sqref="BS60:BS61">
    <cfRule type="expression" dxfId="279" priority="543">
      <formula>BQ60="Yes"</formula>
    </cfRule>
    <cfRule type="expression" dxfId="278" priority="542">
      <formula>AND(BQ60="Yes",BS60&lt;&gt;"")</formula>
    </cfRule>
  </conditionalFormatting>
  <conditionalFormatting sqref="BS63">
    <cfRule type="expression" dxfId="277" priority="440">
      <formula>BQ63="Yes"</formula>
    </cfRule>
    <cfRule type="expression" dxfId="276" priority="439">
      <formula>AND(BQ63="Yes",BS63&lt;&gt;"")</formula>
    </cfRule>
  </conditionalFormatting>
  <conditionalFormatting sqref="BS65:BS66">
    <cfRule type="expression" dxfId="275" priority="352">
      <formula>AND(BQ65="Yes",BS65&lt;&gt;"")</formula>
    </cfRule>
    <cfRule type="expression" dxfId="274" priority="353">
      <formula>BQ65="Yes"</formula>
    </cfRule>
  </conditionalFormatting>
  <conditionalFormatting sqref="BS70">
    <cfRule type="expression" dxfId="273" priority="266">
      <formula>BQ70="Yes"</formula>
    </cfRule>
    <cfRule type="expression" dxfId="272" priority="265">
      <formula>AND(BQ70="Yes",BS70&lt;&gt;"")</formula>
    </cfRule>
  </conditionalFormatting>
  <conditionalFormatting sqref="BS72:BS74 BS77">
    <cfRule type="expression" dxfId="271" priority="179">
      <formula>BQ72="Yes"</formula>
    </cfRule>
    <cfRule type="expression" dxfId="270" priority="178">
      <formula>AND(BQ72="Yes",BS72&lt;&gt;"")</formula>
    </cfRule>
  </conditionalFormatting>
  <conditionalFormatting sqref="BT29">
    <cfRule type="iconSet" priority="668">
      <iconSet iconSet="3Symbols" showValue="0">
        <cfvo type="percent" val="0"/>
        <cfvo type="num" val="0"/>
        <cfvo type="num" val="1"/>
      </iconSet>
    </cfRule>
  </conditionalFormatting>
  <conditionalFormatting sqref="BT60:BT61">
    <cfRule type="expression" dxfId="269" priority="1482">
      <formula>BT60=""</formula>
    </cfRule>
  </conditionalFormatting>
  <conditionalFormatting sqref="BT63">
    <cfRule type="expression" dxfId="268" priority="1481">
      <formula>BT63=""</formula>
    </cfRule>
  </conditionalFormatting>
  <conditionalFormatting sqref="BT65:BT66">
    <cfRule type="expression" dxfId="267" priority="1438">
      <formula>BT65=""</formula>
    </cfRule>
  </conditionalFormatting>
  <conditionalFormatting sqref="BT70">
    <cfRule type="expression" dxfId="266" priority="1385">
      <formula>BT70=""</formula>
    </cfRule>
  </conditionalFormatting>
  <conditionalFormatting sqref="BT72:BT73">
    <cfRule type="expression" dxfId="265" priority="1256">
      <formula>BT72=""</formula>
    </cfRule>
  </conditionalFormatting>
  <conditionalFormatting sqref="BT76">
    <cfRule type="expression" dxfId="264" priority="1255">
      <formula>BT76=""</formula>
    </cfRule>
  </conditionalFormatting>
  <conditionalFormatting sqref="BT77">
    <cfRule type="expression" dxfId="263" priority="940">
      <formula>$BT$77=""</formula>
    </cfRule>
  </conditionalFormatting>
  <conditionalFormatting sqref="BV60:BV61">
    <cfRule type="expression" dxfId="261" priority="537">
      <formula>AND(BT60="Yes",BV60&lt;&gt;"")</formula>
    </cfRule>
    <cfRule type="expression" dxfId="260" priority="538">
      <formula>BT60="Yes"</formula>
    </cfRule>
  </conditionalFormatting>
  <conditionalFormatting sqref="BV63">
    <cfRule type="expression" dxfId="259" priority="437">
      <formula>BT63="Yes"</formula>
    </cfRule>
    <cfRule type="expression" dxfId="258" priority="436">
      <formula>AND(BT63="Yes",BV63&lt;&gt;"")</formula>
    </cfRule>
  </conditionalFormatting>
  <conditionalFormatting sqref="BV65:BV66">
    <cfRule type="expression" dxfId="257" priority="350">
      <formula>BT65="Yes"</formula>
    </cfRule>
    <cfRule type="expression" dxfId="256" priority="349">
      <formula>AND(BT65="Yes",BV65&lt;&gt;"")</formula>
    </cfRule>
  </conditionalFormatting>
  <conditionalFormatting sqref="BV70">
    <cfRule type="expression" dxfId="255" priority="262">
      <formula>AND(BT70="Yes",BV70&lt;&gt;"")</formula>
    </cfRule>
    <cfRule type="expression" dxfId="254" priority="263">
      <formula>BT70="Yes"</formula>
    </cfRule>
  </conditionalFormatting>
  <conditionalFormatting sqref="BV72:BV74 BV77">
    <cfRule type="expression" dxfId="253" priority="175">
      <formula>AND(BT72="Yes",BV72&lt;&gt;"")</formula>
    </cfRule>
    <cfRule type="expression" dxfId="252" priority="176">
      <formula>BT72="Yes"</formula>
    </cfRule>
  </conditionalFormatting>
  <conditionalFormatting sqref="BW29">
    <cfRule type="iconSet" priority="667">
      <iconSet iconSet="3Symbols" showValue="0">
        <cfvo type="percent" val="0"/>
        <cfvo type="num" val="0"/>
        <cfvo type="num" val="1"/>
      </iconSet>
    </cfRule>
  </conditionalFormatting>
  <conditionalFormatting sqref="BW60:BW61">
    <cfRule type="expression" dxfId="251" priority="1479">
      <formula>BW60=""</formula>
    </cfRule>
  </conditionalFormatting>
  <conditionalFormatting sqref="BW63">
    <cfRule type="expression" dxfId="250" priority="1478">
      <formula>BW63=""</formula>
    </cfRule>
  </conditionalFormatting>
  <conditionalFormatting sqref="BW65:BW66">
    <cfRule type="expression" dxfId="249" priority="1437">
      <formula>BW65=""</formula>
    </cfRule>
  </conditionalFormatting>
  <conditionalFormatting sqref="BW70">
    <cfRule type="expression" dxfId="248" priority="1383">
      <formula>BW70=""</formula>
    </cfRule>
  </conditionalFormatting>
  <conditionalFormatting sqref="BW72:BW73">
    <cfRule type="expression" dxfId="247" priority="1252">
      <formula>BW72=""</formula>
    </cfRule>
  </conditionalFormatting>
  <conditionalFormatting sqref="BW76">
    <cfRule type="expression" dxfId="246" priority="1251">
      <formula>BW76=""</formula>
    </cfRule>
  </conditionalFormatting>
  <conditionalFormatting sqref="BW77">
    <cfRule type="expression" dxfId="245" priority="939">
      <formula>$BW$77=""</formula>
    </cfRule>
  </conditionalFormatting>
  <conditionalFormatting sqref="BY60:BY61">
    <cfRule type="expression" dxfId="243" priority="532">
      <formula>AND(BW60="Yes",BY60&lt;&gt;"")</formula>
    </cfRule>
    <cfRule type="expression" dxfId="242" priority="533">
      <formula>BW60="Yes"</formula>
    </cfRule>
  </conditionalFormatting>
  <conditionalFormatting sqref="BY63">
    <cfRule type="expression" dxfId="241" priority="433">
      <formula>AND(BW63="Yes",BY63&lt;&gt;"")</formula>
    </cfRule>
    <cfRule type="expression" dxfId="240" priority="434">
      <formula>BW63="Yes"</formula>
    </cfRule>
  </conditionalFormatting>
  <conditionalFormatting sqref="BY65:BY66">
    <cfRule type="expression" dxfId="239" priority="346">
      <formula>AND(BW65="Yes",BY65&lt;&gt;"")</formula>
    </cfRule>
    <cfRule type="expression" dxfId="238" priority="347">
      <formula>BW65="Yes"</formula>
    </cfRule>
  </conditionalFormatting>
  <conditionalFormatting sqref="BY70">
    <cfRule type="expression" dxfId="237" priority="260">
      <formula>BW70="Yes"</formula>
    </cfRule>
    <cfRule type="expression" dxfId="236" priority="259">
      <formula>AND(BW70="Yes",BY70&lt;&gt;"")</formula>
    </cfRule>
  </conditionalFormatting>
  <conditionalFormatting sqref="BY72:BY74 BY77">
    <cfRule type="expression" dxfId="235" priority="172">
      <formula>AND(BW72="Yes",BY72&lt;&gt;"")</formula>
    </cfRule>
    <cfRule type="expression" dxfId="234" priority="173">
      <formula>BW72="Yes"</formula>
    </cfRule>
  </conditionalFormatting>
  <conditionalFormatting sqref="BZ29">
    <cfRule type="iconSet" priority="666">
      <iconSet iconSet="3Symbols" showValue="0">
        <cfvo type="percent" val="0"/>
        <cfvo type="num" val="0"/>
        <cfvo type="num" val="1"/>
      </iconSet>
    </cfRule>
  </conditionalFormatting>
  <conditionalFormatting sqref="BZ60:BZ61">
    <cfRule type="expression" dxfId="233" priority="1476">
      <formula>BZ60=""</formula>
    </cfRule>
  </conditionalFormatting>
  <conditionalFormatting sqref="BZ63">
    <cfRule type="expression" dxfId="232" priority="1475">
      <formula>BZ63=""</formula>
    </cfRule>
  </conditionalFormatting>
  <conditionalFormatting sqref="BZ65:BZ66">
    <cfRule type="expression" dxfId="231" priority="1436">
      <formula>BZ65=""</formula>
    </cfRule>
  </conditionalFormatting>
  <conditionalFormatting sqref="BZ70">
    <cfRule type="expression" dxfId="230" priority="1381">
      <formula>BZ70=""</formula>
    </cfRule>
  </conditionalFormatting>
  <conditionalFormatting sqref="BZ72:BZ73">
    <cfRule type="expression" dxfId="229" priority="1248">
      <formula>BZ72=""</formula>
    </cfRule>
  </conditionalFormatting>
  <conditionalFormatting sqref="BZ76">
    <cfRule type="expression" dxfId="228" priority="1247">
      <formula>BZ76=""</formula>
    </cfRule>
  </conditionalFormatting>
  <conditionalFormatting sqref="BZ77">
    <cfRule type="expression" dxfId="227" priority="938">
      <formula>$BZ$77=""</formula>
    </cfRule>
  </conditionalFormatting>
  <conditionalFormatting sqref="CB60:CB61">
    <cfRule type="expression" dxfId="225" priority="528">
      <formula>BZ60="Yes"</formula>
    </cfRule>
    <cfRule type="expression" dxfId="224" priority="527">
      <formula>AND(BZ60="Yes",CB60&lt;&gt;"")</formula>
    </cfRule>
  </conditionalFormatting>
  <conditionalFormatting sqref="CB63">
    <cfRule type="expression" dxfId="223" priority="430">
      <formula>AND(BZ63="Yes",CB63&lt;&gt;"")</formula>
    </cfRule>
    <cfRule type="expression" dxfId="222" priority="431">
      <formula>BZ63="Yes"</formula>
    </cfRule>
  </conditionalFormatting>
  <conditionalFormatting sqref="CB65:CB66">
    <cfRule type="expression" dxfId="221" priority="344">
      <formula>BZ65="Yes"</formula>
    </cfRule>
    <cfRule type="expression" dxfId="220" priority="343">
      <formula>AND(BZ65="Yes",CB65&lt;&gt;"")</formula>
    </cfRule>
  </conditionalFormatting>
  <conditionalFormatting sqref="CB70">
    <cfRule type="expression" dxfId="219" priority="256">
      <formula>AND(BZ70="Yes",CB70&lt;&gt;"")</formula>
    </cfRule>
    <cfRule type="expression" dxfId="218" priority="257">
      <formula>BZ70="Yes"</formula>
    </cfRule>
  </conditionalFormatting>
  <conditionalFormatting sqref="CB72:CB74 CB77">
    <cfRule type="expression" dxfId="217" priority="169">
      <formula>AND(BZ72="Yes",CB72&lt;&gt;"")</formula>
    </cfRule>
    <cfRule type="expression" dxfId="216" priority="170">
      <formula>BZ72="Yes"</formula>
    </cfRule>
  </conditionalFormatting>
  <conditionalFormatting sqref="CC29">
    <cfRule type="iconSet" priority="665">
      <iconSet iconSet="3Symbols" showValue="0">
        <cfvo type="percent" val="0"/>
        <cfvo type="num" val="0"/>
        <cfvo type="num" val="1"/>
      </iconSet>
    </cfRule>
  </conditionalFormatting>
  <conditionalFormatting sqref="CC60:CC61">
    <cfRule type="expression" dxfId="215" priority="1473">
      <formula>CC60=""</formula>
    </cfRule>
  </conditionalFormatting>
  <conditionalFormatting sqref="CC63">
    <cfRule type="expression" dxfId="214" priority="1472">
      <formula>CC63=""</formula>
    </cfRule>
  </conditionalFormatting>
  <conditionalFormatting sqref="CC65:CC66">
    <cfRule type="expression" dxfId="213" priority="1435">
      <formula>CC65=""</formula>
    </cfRule>
  </conditionalFormatting>
  <conditionalFormatting sqref="CC70">
    <cfRule type="expression" dxfId="212" priority="1379">
      <formula>CC70=""</formula>
    </cfRule>
  </conditionalFormatting>
  <conditionalFormatting sqref="CC72:CC73">
    <cfRule type="expression" dxfId="211" priority="1244">
      <formula>CC72=""</formula>
    </cfRule>
  </conditionalFormatting>
  <conditionalFormatting sqref="CC76">
    <cfRule type="expression" dxfId="210" priority="1243">
      <formula>CC76=""</formula>
    </cfRule>
  </conditionalFormatting>
  <conditionalFormatting sqref="CC77">
    <cfRule type="expression" dxfId="209" priority="936">
      <formula>$CC$77=""</formula>
    </cfRule>
  </conditionalFormatting>
  <conditionalFormatting sqref="CE60:CE61">
    <cfRule type="expression" dxfId="207" priority="522">
      <formula>AND(CC60="Yes",CE60&lt;&gt;"")</formula>
    </cfRule>
    <cfRule type="expression" dxfId="206" priority="523">
      <formula>CC60="Yes"</formula>
    </cfRule>
  </conditionalFormatting>
  <conditionalFormatting sqref="CE63">
    <cfRule type="expression" dxfId="205" priority="428">
      <formula>CC63="Yes"</formula>
    </cfRule>
    <cfRule type="expression" dxfId="204" priority="427">
      <formula>AND(CC63="Yes",CE63&lt;&gt;"")</formula>
    </cfRule>
  </conditionalFormatting>
  <conditionalFormatting sqref="CE65:CE66">
    <cfRule type="expression" dxfId="203" priority="340">
      <formula>AND(CC65="Yes",CE65&lt;&gt;"")</formula>
    </cfRule>
    <cfRule type="expression" dxfId="202" priority="341">
      <formula>CC65="Yes"</formula>
    </cfRule>
  </conditionalFormatting>
  <conditionalFormatting sqref="CE70">
    <cfRule type="expression" dxfId="201" priority="253">
      <formula>AND(CC70="Yes",CE70&lt;&gt;"")</formula>
    </cfRule>
    <cfRule type="expression" dxfId="200" priority="254">
      <formula>CC70="Yes"</formula>
    </cfRule>
  </conditionalFormatting>
  <conditionalFormatting sqref="CE72:CE74 CE77">
    <cfRule type="expression" dxfId="199" priority="166">
      <formula>AND(CC72="Yes",CE72&lt;&gt;"")</formula>
    </cfRule>
    <cfRule type="expression" dxfId="198" priority="167">
      <formula>CC72="Yes"</formula>
    </cfRule>
  </conditionalFormatting>
  <conditionalFormatting sqref="CF29">
    <cfRule type="iconSet" priority="664">
      <iconSet iconSet="3Symbols" showValue="0">
        <cfvo type="percent" val="0"/>
        <cfvo type="num" val="0"/>
        <cfvo type="num" val="1"/>
      </iconSet>
    </cfRule>
  </conditionalFormatting>
  <conditionalFormatting sqref="CF60:CF61">
    <cfRule type="expression" dxfId="197" priority="1470">
      <formula>CF60=""</formula>
    </cfRule>
  </conditionalFormatting>
  <conditionalFormatting sqref="CF63">
    <cfRule type="expression" dxfId="196" priority="1469">
      <formula>CF63=""</formula>
    </cfRule>
  </conditionalFormatting>
  <conditionalFormatting sqref="CF65:CF66">
    <cfRule type="expression" dxfId="195" priority="1434">
      <formula>CF65=""</formula>
    </cfRule>
  </conditionalFormatting>
  <conditionalFormatting sqref="CF70">
    <cfRule type="expression" dxfId="194" priority="1377">
      <formula>CF70=""</formula>
    </cfRule>
  </conditionalFormatting>
  <conditionalFormatting sqref="CF72:CF73">
    <cfRule type="expression" dxfId="193" priority="1240">
      <formula>CF72=""</formula>
    </cfRule>
  </conditionalFormatting>
  <conditionalFormatting sqref="CF76">
    <cfRule type="expression" dxfId="192" priority="1239">
      <formula>CF76=""</formula>
    </cfRule>
  </conditionalFormatting>
  <conditionalFormatting sqref="CF77">
    <cfRule type="expression" dxfId="191" priority="933">
      <formula>$CF$77=""</formula>
    </cfRule>
  </conditionalFormatting>
  <conditionalFormatting sqref="CH60:CH61">
    <cfRule type="expression" dxfId="189" priority="517">
      <formula>AND(CF60="Yes",CH60&lt;&gt;"")</formula>
    </cfRule>
    <cfRule type="expression" dxfId="188" priority="518">
      <formula>CF60="Yes"</formula>
    </cfRule>
  </conditionalFormatting>
  <conditionalFormatting sqref="CH63">
    <cfRule type="expression" dxfId="187" priority="424">
      <formula>AND(CF63="Yes",CH63&lt;&gt;"")</formula>
    </cfRule>
    <cfRule type="expression" dxfId="186" priority="425">
      <formula>CF63="Yes"</formula>
    </cfRule>
  </conditionalFormatting>
  <conditionalFormatting sqref="CH65:CH66">
    <cfRule type="expression" dxfId="185" priority="338">
      <formula>CF65="Yes"</formula>
    </cfRule>
    <cfRule type="expression" dxfId="184" priority="337">
      <formula>AND(CF65="Yes",CH65&lt;&gt;"")</formula>
    </cfRule>
  </conditionalFormatting>
  <conditionalFormatting sqref="CH70">
    <cfRule type="expression" dxfId="183" priority="251">
      <formula>CF70="Yes"</formula>
    </cfRule>
    <cfRule type="expression" dxfId="182" priority="250">
      <formula>AND(CF70="Yes",CH70&lt;&gt;"")</formula>
    </cfRule>
  </conditionalFormatting>
  <conditionalFormatting sqref="CH72:CH74 CH77">
    <cfRule type="expression" dxfId="181" priority="163">
      <formula>AND(CF72="Yes",CH72&lt;&gt;"")</formula>
    </cfRule>
    <cfRule type="expression" dxfId="180" priority="164">
      <formula>CF72="Yes"</formula>
    </cfRule>
  </conditionalFormatting>
  <conditionalFormatting sqref="CI29">
    <cfRule type="iconSet" priority="663">
      <iconSet iconSet="3Symbols" showValue="0">
        <cfvo type="percent" val="0"/>
        <cfvo type="num" val="0"/>
        <cfvo type="num" val="1"/>
      </iconSet>
    </cfRule>
  </conditionalFormatting>
  <conditionalFormatting sqref="CI60:CI61">
    <cfRule type="expression" dxfId="179" priority="1467">
      <formula>CI60=""</formula>
    </cfRule>
  </conditionalFormatting>
  <conditionalFormatting sqref="CI63">
    <cfRule type="expression" dxfId="178" priority="1466">
      <formula>CI63=""</formula>
    </cfRule>
  </conditionalFormatting>
  <conditionalFormatting sqref="CI65:CI66">
    <cfRule type="expression" dxfId="177" priority="1433">
      <formula>CI65=""</formula>
    </cfRule>
  </conditionalFormatting>
  <conditionalFormatting sqref="CI70">
    <cfRule type="expression" dxfId="176" priority="1375">
      <formula>CI70=""</formula>
    </cfRule>
  </conditionalFormatting>
  <conditionalFormatting sqref="CI72:CI73">
    <cfRule type="expression" dxfId="175" priority="1236">
      <formula>CI72=""</formula>
    </cfRule>
  </conditionalFormatting>
  <conditionalFormatting sqref="CI76">
    <cfRule type="expression" dxfId="174" priority="1235">
      <formula>CI76=""</formula>
    </cfRule>
  </conditionalFormatting>
  <conditionalFormatting sqref="CI77">
    <cfRule type="expression" dxfId="173" priority="931">
      <formula>$CI$77=""</formula>
    </cfRule>
  </conditionalFormatting>
  <conditionalFormatting sqref="CK60:CK61">
    <cfRule type="expression" dxfId="171" priority="512">
      <formula>AND(CI60="Yes",CK60&lt;&gt;"")</formula>
    </cfRule>
    <cfRule type="expression" dxfId="170" priority="513">
      <formula>CI60="Yes"</formula>
    </cfRule>
  </conditionalFormatting>
  <conditionalFormatting sqref="CK63">
    <cfRule type="expression" dxfId="169" priority="421">
      <formula>AND(CI63="Yes",CK63&lt;&gt;"")</formula>
    </cfRule>
    <cfRule type="expression" dxfId="168" priority="422">
      <formula>CI63="Yes"</formula>
    </cfRule>
  </conditionalFormatting>
  <conditionalFormatting sqref="CK65:CK66">
    <cfRule type="expression" dxfId="167" priority="334">
      <formula>AND(CI65="Yes",CK65&lt;&gt;"")</formula>
    </cfRule>
    <cfRule type="expression" dxfId="166" priority="335">
      <formula>CI65="Yes"</formula>
    </cfRule>
  </conditionalFormatting>
  <conditionalFormatting sqref="CK70">
    <cfRule type="expression" dxfId="165" priority="247">
      <formula>AND(CI70="Yes",CK70&lt;&gt;"")</formula>
    </cfRule>
    <cfRule type="expression" dxfId="164" priority="248">
      <formula>CI70="Yes"</formula>
    </cfRule>
  </conditionalFormatting>
  <conditionalFormatting sqref="CK72:CK74 CK77">
    <cfRule type="expression" dxfId="163" priority="160">
      <formula>AND(CI72="Yes",CK72&lt;&gt;"")</formula>
    </cfRule>
    <cfRule type="expression" dxfId="162" priority="161">
      <formula>CI72="Yes"</formula>
    </cfRule>
  </conditionalFormatting>
  <conditionalFormatting sqref="CL29">
    <cfRule type="iconSet" priority="662">
      <iconSet iconSet="3Symbols" showValue="0">
        <cfvo type="percent" val="0"/>
        <cfvo type="num" val="0"/>
        <cfvo type="num" val="1"/>
      </iconSet>
    </cfRule>
  </conditionalFormatting>
  <conditionalFormatting sqref="CL60:CL61">
    <cfRule type="expression" dxfId="161" priority="1464">
      <formula>CL60=""</formula>
    </cfRule>
  </conditionalFormatting>
  <conditionalFormatting sqref="CL63">
    <cfRule type="expression" dxfId="160" priority="1463">
      <formula>CL63=""</formula>
    </cfRule>
  </conditionalFormatting>
  <conditionalFormatting sqref="CL65:CL66">
    <cfRule type="expression" dxfId="159" priority="1432">
      <formula>CL65=""</formula>
    </cfRule>
  </conditionalFormatting>
  <conditionalFormatting sqref="CL70">
    <cfRule type="expression" dxfId="158" priority="1373">
      <formula>CL70=""</formula>
    </cfRule>
  </conditionalFormatting>
  <conditionalFormatting sqref="CL72:CL73">
    <cfRule type="expression" dxfId="157" priority="1232">
      <formula>CL72=""</formula>
    </cfRule>
  </conditionalFormatting>
  <conditionalFormatting sqref="CL76">
    <cfRule type="expression" dxfId="156" priority="1231">
      <formula>CL76=""</formula>
    </cfRule>
  </conditionalFormatting>
  <conditionalFormatting sqref="CL77">
    <cfRule type="expression" dxfId="155" priority="928">
      <formula>$CL$77=""</formula>
    </cfRule>
  </conditionalFormatting>
  <conditionalFormatting sqref="CN60:CN61">
    <cfRule type="expression" dxfId="153" priority="507">
      <formula>AND(CL60="Yes",CN60&lt;&gt;"")</formula>
    </cfRule>
    <cfRule type="expression" dxfId="152" priority="508">
      <formula>CL60="Yes"</formula>
    </cfRule>
  </conditionalFormatting>
  <conditionalFormatting sqref="CN63">
    <cfRule type="expression" dxfId="151" priority="419">
      <formula>CL63="Yes"</formula>
    </cfRule>
    <cfRule type="expression" dxfId="150" priority="418">
      <formula>AND(CL63="Yes",CN63&lt;&gt;"")</formula>
    </cfRule>
  </conditionalFormatting>
  <conditionalFormatting sqref="CN65:CN66">
    <cfRule type="expression" dxfId="149" priority="331">
      <formula>AND(CL65="Yes",CN65&lt;&gt;"")</formula>
    </cfRule>
    <cfRule type="expression" dxfId="148" priority="332">
      <formula>CL65="Yes"</formula>
    </cfRule>
  </conditionalFormatting>
  <conditionalFormatting sqref="CN70">
    <cfRule type="expression" dxfId="147" priority="245">
      <formula>CL70="Yes"</formula>
    </cfRule>
    <cfRule type="expression" dxfId="146" priority="244">
      <formula>AND(CL70="Yes",CN70&lt;&gt;"")</formula>
    </cfRule>
  </conditionalFormatting>
  <conditionalFormatting sqref="CN72:CN74 CN77">
    <cfRule type="expression" dxfId="145" priority="157">
      <formula>AND(CL72="Yes",CN72&lt;&gt;"")</formula>
    </cfRule>
    <cfRule type="expression" dxfId="144" priority="158">
      <formula>CL72="Yes"</formula>
    </cfRule>
  </conditionalFormatting>
  <conditionalFormatting sqref="CO13 CO15 CL13 CL15 CI13 CI15 CF15 CF13 CC13 CC15 BZ13 BZ15 BW15 BW13 BT13 BT15 BQ15 BQ13 BN13 BN15 BK15 BK13 BH13 BH15 BE13 BE15 BB13 BB15 AY15 AY13 AV13 AV15 AS15 AS13 AP13 AP15 AM13 AM15 AJ15 AJ13 AG13 AG15 AD13 AD15 AA15 AA13 X13 X15 U13 U15 R15 R13 O13 O15 L13 L15 I13 I15 F13 F15">
    <cfRule type="iconSet" priority="1089">
      <iconSet iconSet="3Symbols" showValue="0">
        <cfvo type="percent" val="0"/>
        <cfvo type="num" val="0"/>
        <cfvo type="num" val="1"/>
      </iconSet>
    </cfRule>
  </conditionalFormatting>
  <conditionalFormatting sqref="CO29">
    <cfRule type="iconSet" priority="661">
      <iconSet iconSet="3Symbols" showValue="0">
        <cfvo type="percent" val="0"/>
        <cfvo type="num" val="0"/>
        <cfvo type="num" val="1"/>
      </iconSet>
    </cfRule>
  </conditionalFormatting>
  <conditionalFormatting sqref="CO60:CO61">
    <cfRule type="expression" dxfId="143" priority="1461">
      <formula>CO60=""</formula>
    </cfRule>
  </conditionalFormatting>
  <conditionalFormatting sqref="CO63">
    <cfRule type="expression" dxfId="142" priority="1460">
      <formula>CO63=""</formula>
    </cfRule>
  </conditionalFormatting>
  <conditionalFormatting sqref="CO65:CO66">
    <cfRule type="expression" dxfId="141" priority="1431">
      <formula>CO65=""</formula>
    </cfRule>
  </conditionalFormatting>
  <conditionalFormatting sqref="CO70">
    <cfRule type="expression" dxfId="140" priority="1371">
      <formula>CO70=""</formula>
    </cfRule>
  </conditionalFormatting>
  <conditionalFormatting sqref="CO72:CO73">
    <cfRule type="expression" dxfId="139" priority="1228">
      <formula>CO72=""</formula>
    </cfRule>
  </conditionalFormatting>
  <conditionalFormatting sqref="CO76">
    <cfRule type="expression" dxfId="138" priority="1227">
      <formula>CO76=""</formula>
    </cfRule>
  </conditionalFormatting>
  <conditionalFormatting sqref="CO77">
    <cfRule type="expression" dxfId="137" priority="658">
      <formula>$CO$77=""</formula>
    </cfRule>
  </conditionalFormatting>
  <conditionalFormatting sqref="CQ60:CQ61">
    <cfRule type="expression" dxfId="135" priority="503">
      <formula>CO60="Yes"</formula>
    </cfRule>
    <cfRule type="expression" dxfId="134" priority="502">
      <formula>AND(CO60="Yes",CQ60&lt;&gt;"")</formula>
    </cfRule>
  </conditionalFormatting>
  <conditionalFormatting sqref="CQ63">
    <cfRule type="expression" dxfId="133" priority="416">
      <formula>CO63="Yes"</formula>
    </cfRule>
    <cfRule type="expression" dxfId="132" priority="415">
      <formula>AND(CO63="Yes",CQ63&lt;&gt;"")</formula>
    </cfRule>
  </conditionalFormatting>
  <conditionalFormatting sqref="CQ65:CQ66">
    <cfRule type="expression" dxfId="131" priority="329">
      <formula>CO65="Yes"</formula>
    </cfRule>
    <cfRule type="expression" dxfId="130" priority="328">
      <formula>AND(CO65="Yes",CQ65&lt;&gt;"")</formula>
    </cfRule>
  </conditionalFormatting>
  <conditionalFormatting sqref="CQ70">
    <cfRule type="expression" dxfId="129" priority="242">
      <formula>CO70="Yes"</formula>
    </cfRule>
    <cfRule type="expression" dxfId="128" priority="241">
      <formula>AND(CO70="Yes",CQ70&lt;&gt;"")</formula>
    </cfRule>
  </conditionalFormatting>
  <conditionalFormatting sqref="CQ72:CQ74 CQ77">
    <cfRule type="expression" dxfId="127" priority="154">
      <formula>AND(CO72="Yes",CQ72&lt;&gt;"")</formula>
    </cfRule>
    <cfRule type="expression" dxfId="126" priority="155">
      <formula>CO72="Yes"</formula>
    </cfRule>
  </conditionalFormatting>
  <dataValidations count="8">
    <dataValidation type="list" allowBlank="1" showInputMessage="1" showErrorMessage="1" sqref="CO70 CI70 CL76:CL77 F62:CQ62 F70 I60:I61 L60:L61 O60:O61 R60:R61 U60:U61 X60:X61 AA60:AA61 AD60:AD61 AG60:AG61 AJ60:AJ61 AM60:AM61 AP60:AP61 AS60:AS61 AV60:AV61 AY60:AY61 BB60:BB61 BE60:BE61 BH60:BH61 BK60:BK61 BN60:BN61 BQ60:BQ61 BT60:BT61 BW60:BW61 BZ60:BZ61 CC60:CC61 CF60:CF61 CI60:CI61 CL60:CL61 CO60:CO61 I65:I66 L65:L66 O65:O66 R65:R66 I76:I77 U65:U66 X65:X66 AA65:AA66 AD65:AD66 AG65:AG66 AJ65:AJ66 AM65:AM66 AP65:AP66 AS65:AS66 AV65:AV66 AY65:AY66 BB65:BB66 BE65:BE66 BH65:BH66 BK65:BK66 BN65:BN66 BQ65:BQ66 BT65:BT66 BW65:BW66 BZ65:BZ66 CC65:CC66 CF65:CF66 CI65:CI66 CL65:CL66 L76:L77 O76:O77 R76:R77 U76:U77 X76:X77 AA76:AA77 AD76:AD77 AG76:AG77 AJ76:AJ77 AM76:AM77 AP76:AP77 AS76:AS77 AV76:AV77 AY76:AY77 BB76:BB77 BE76:BE77 BH76:BH77 BK76:BK77 BN76:BN77 BQ76:BQ77 BT76:BT77 BW76:BW77 BZ76:BZ77 CC76:CC77 CF76:CF77 CI76:CI77 F76:F77 CL70 F63 F67:CQ67 I63 L63 O63 R63 U63 X63 AA63 AD63 AG63 AJ63 AM63 AP63 AS63 AV63 AY63 BB63 BE63 BH63 BK63 BN63 BQ63 BT63 BW63 BZ63 CC63 CF63 CI63 CL63 CO63 CO65:CO66 I70 L70 O70 R70 U70 X70 AA70 AD70 AG70 AJ70 AM70 AP70 AS70 AV70 AY70 BB70 BE70 BH70 BK70 BN70 BQ70 BT70 BW70 BZ70 CC70 CF70 F59:CQ59 F60:F61 F65:F66 F72:F74 CI72:CI74 CF72:CF74 CC72:CC74 BZ72:BZ74 BW72:BW74 BT72:BT74 BQ72:BQ74 BN72:BN74 BK72:BK74 BH72:BH74 BE72:BE74 BB72:BB74 AY72:AY74 AV72:AV74 AS72:AS74 AP72:AP74 AM72:AM74 AJ72:AJ74 AG72:AG74 AD72:AD74 AA72:AA74 X72:X74 U72:U74 R72:R74 O72:O74 L72:L74 I72:I74 CL72:CL74 CO72:CO74 CO76:CO77" xr:uid="{E147E9FC-BA45-4B2D-9A3A-D866D29C8348}">
      <formula1>"Yes,No"</formula1>
    </dataValidation>
    <dataValidation type="list" allowBlank="1" showInputMessage="1" showErrorMessage="1" sqref="F68:CQ69" xr:uid="{5167FE19-9C89-4468-A8EE-0C14BA32D1BA}">
      <formula1>"Yes,No,Not applicable"</formula1>
    </dataValidation>
    <dataValidation operator="greaterThan" allowBlank="1" showInputMessage="1" showErrorMessage="1" errorTitle="Invalid information" error="You must enter a numeric value" sqref="F47:CQ47" xr:uid="{82420941-C451-41FF-BCCD-B88972B69A0A}"/>
    <dataValidation type="whole" operator="greaterThan" allowBlank="1" showInputMessage="1" showErrorMessage="1" sqref="F84:H84" xr:uid="{5588BD82-D9CD-4A54-BAE0-101E9595953F}">
      <formula1>0</formula1>
    </dataValidation>
    <dataValidation type="whole" operator="greaterThanOrEqual" allowBlank="1" showInputMessage="1" showErrorMessage="1" errorTitle="Invalid response" error="A numeric value must be entered. If you do not know the number of candidate predictors assessed, enter the value 0." sqref="F38:CQ38" xr:uid="{F67717C1-1953-42E0-BE1B-25B0CE34C458}">
      <formula1>0</formula1>
    </dataValidation>
    <dataValidation type="list" allowBlank="1" showInputMessage="1" showErrorMessage="1" sqref="F41:CQ42 F35:CQ35 F86:CQ86 F56:CQ56" xr:uid="{CC0808D0-CC52-4248-9463-CDBC2521B652}">
      <formula1>"Yes,No,Unclear,No information"</formula1>
    </dataValidation>
    <dataValidation allowBlank="1" showInputMessage="1" showErrorMessage="1" errorTitle="Invalid response" error="A numeric value must be entered. If you do not know the number of candidate predictors assessed, enter the value 0." sqref="F45:CQ46" xr:uid="{53DB5B2C-7C16-4C02-B8D9-E2F5F5581834}"/>
    <dataValidation type="list" allowBlank="1" showInputMessage="1" showErrorMessage="1" sqref="F34:CQ34 F32:CQ32" xr:uid="{3DA3050E-1204-427B-8E98-D91D7916627B}">
      <formula1>"Yes, No, Unclear, No information"</formula1>
    </dataValidation>
  </dataValidations>
  <pageMargins left="0.7" right="0.7" top="0.75" bottom="0.75" header="0.3" footer="0.3"/>
  <pageSetup paperSize="9" orientation="portrait" r:id="rId1"/>
  <ignoredErrors>
    <ignoredError sqref="F47:CQ47 F75 G75:CQ75" unlockedFormula="1"/>
  </ignoredErrors>
  <drawing r:id="rId2"/>
  <extLst>
    <ext xmlns:x14="http://schemas.microsoft.com/office/spreadsheetml/2009/9/main" uri="{78C0D931-6437-407d-A8EE-F0AAD7539E65}">
      <x14:conditionalFormattings>
        <x14:conditionalFormatting xmlns:xm="http://schemas.microsoft.com/office/excel/2006/main">
          <x14:cfRule type="iconSet" priority="951" id="{D6540145-2AE3-4CA0-A6D4-1FB91DEBA918}">
            <x14:iconSet iconSet="3Symbols" showValue="0" custom="1">
              <x14:cfvo type="percent">
                <xm:f>0</xm:f>
              </x14:cfvo>
              <x14:cfvo type="num">
                <xm:f>0</xm:f>
              </x14:cfvo>
              <x14:cfvo type="num">
                <xm:f>1</xm:f>
              </x14:cfvo>
              <x14:cfIcon iconSet="3Symbols" iconId="0"/>
              <x14:cfIcon iconSet="3Symbols" iconId="1"/>
              <x14:cfIcon iconSet="3Symbols" iconId="2"/>
            </x14:iconSet>
          </x14:cfRule>
          <xm:sqref>F29</xm:sqref>
        </x14:conditionalFormatting>
        <x14:conditionalFormatting xmlns:xm="http://schemas.microsoft.com/office/excel/2006/main">
          <x14:cfRule type="iconSet" priority="950" id="{5FC25F0C-E245-4D1E-928C-02FCD9A044F1}">
            <x14:iconSet iconSet="3Symbols" showValue="0" custom="1">
              <x14:cfvo type="percent">
                <xm:f>0</xm:f>
              </x14:cfvo>
              <x14:cfvo type="num">
                <xm:f>0</xm:f>
              </x14:cfvo>
              <x14:cfvo type="num">
                <xm:f>1</xm:f>
              </x14:cfvo>
              <x14:cfIcon iconSet="3Symbols" iconId="0"/>
              <x14:cfIcon iconSet="3Symbols" iconId="1"/>
              <x14:cfIcon iconSet="3Symbols" iconId="2"/>
            </x14:iconSet>
          </x14:cfRule>
          <xm:sqref>F37</xm:sqref>
        </x14:conditionalFormatting>
        <x14:conditionalFormatting xmlns:xm="http://schemas.microsoft.com/office/excel/2006/main">
          <x14:cfRule type="iconSet" priority="949" id="{1030EB84-B659-4E63-A2CE-D4A0DF1A6204}">
            <x14:iconSet iconSet="3Symbols" showValue="0" custom="1">
              <x14:cfvo type="percent">
                <xm:f>0</xm:f>
              </x14:cfvo>
              <x14:cfvo type="num">
                <xm:f>0</xm:f>
              </x14:cfvo>
              <x14:cfvo type="num">
                <xm:f>1</xm:f>
              </x14:cfvo>
              <x14:cfIcon iconSet="3Symbols" iconId="0"/>
              <x14:cfIcon iconSet="3Symbols" iconId="1"/>
              <x14:cfIcon iconSet="3Symbols" iconId="2"/>
            </x14:iconSet>
          </x14:cfRule>
          <xm:sqref>F44</xm:sqref>
        </x14:conditionalFormatting>
        <x14:conditionalFormatting xmlns:xm="http://schemas.microsoft.com/office/excel/2006/main">
          <x14:cfRule type="iconSet" priority="948" id="{BB7CD432-CE77-4F3B-811A-CD45E3204DF1}">
            <x14:iconSet iconSet="3Symbols" showValue="0" custom="1">
              <x14:cfvo type="percent">
                <xm:f>0</xm:f>
              </x14:cfvo>
              <x14:cfvo type="num">
                <xm:f>0</xm:f>
              </x14:cfvo>
              <x14:cfvo type="num">
                <xm:f>1</xm:f>
              </x14:cfvo>
              <x14:cfIcon iconSet="3Symbols" iconId="0"/>
              <x14:cfIcon iconSet="3Symbols" iconId="1"/>
              <x14:cfIcon iconSet="3Symbols" iconId="2"/>
            </x14:iconSet>
          </x14:cfRule>
          <xm:sqref>F49</xm:sqref>
        </x14:conditionalFormatting>
        <x14:conditionalFormatting xmlns:xm="http://schemas.microsoft.com/office/excel/2006/main">
          <x14:cfRule type="iconSet" priority="947" id="{87C2B3C7-4A6E-461C-9CA7-ADE4E83189A6}">
            <x14:iconSet iconSet="3Symbols" showValue="0" custom="1">
              <x14:cfvo type="percent">
                <xm:f>0</xm:f>
              </x14:cfvo>
              <x14:cfvo type="num">
                <xm:f>0</xm:f>
              </x14:cfvo>
              <x14:cfvo type="num">
                <xm:f>1</xm:f>
              </x14:cfvo>
              <x14:cfIcon iconSet="3Symbols" iconId="0"/>
              <x14:cfIcon iconSet="3Symbols" iconId="1"/>
              <x14:cfIcon iconSet="3Symbols" iconId="2"/>
            </x14:iconSet>
          </x14:cfRule>
          <xm:sqref>F52</xm:sqref>
        </x14:conditionalFormatting>
        <x14:conditionalFormatting xmlns:xm="http://schemas.microsoft.com/office/excel/2006/main">
          <x14:cfRule type="iconSet" priority="946" id="{C0063958-72B1-439F-952D-04F71989C004}">
            <x14:iconSet iconSet="3Symbols" showValue="0" custom="1">
              <x14:cfvo type="percent">
                <xm:f>0</xm:f>
              </x14:cfvo>
              <x14:cfvo type="num">
                <xm:f>0</xm:f>
              </x14:cfvo>
              <x14:cfvo type="num">
                <xm:f>1</xm:f>
              </x14:cfvo>
              <x14:cfIcon iconSet="3Symbols" iconId="0"/>
              <x14:cfIcon iconSet="3Symbols" iconId="1"/>
              <x14:cfIcon iconSet="3Symbols" iconId="2"/>
            </x14:iconSet>
          </x14:cfRule>
          <xm:sqref>F57</xm:sqref>
        </x14:conditionalFormatting>
        <x14:conditionalFormatting xmlns:xm="http://schemas.microsoft.com/office/excel/2006/main">
          <x14:cfRule type="iconSet" priority="945" id="{E968F6A7-2422-4463-9BE0-B00650C9E07C}">
            <x14:iconSet iconSet="3Symbols" showValue="0" custom="1">
              <x14:cfvo type="percent">
                <xm:f>0</xm:f>
              </x14:cfvo>
              <x14:cfvo type="num">
                <xm:f>0</xm:f>
              </x14:cfvo>
              <x14:cfvo type="num">
                <xm:f>1</xm:f>
              </x14:cfvo>
              <x14:cfIcon iconSet="3Symbols" iconId="0"/>
              <x14:cfIcon iconSet="3Symbols" iconId="1"/>
              <x14:cfIcon iconSet="3Symbols" iconId="2"/>
            </x14:iconSet>
          </x14:cfRule>
          <xm:sqref>F78</xm:sqref>
        </x14:conditionalFormatting>
        <x14:conditionalFormatting xmlns:xm="http://schemas.microsoft.com/office/excel/2006/main">
          <x14:cfRule type="iconSet" priority="944" id="{F78C7F59-6818-4CB9-B0B8-43F08CBFCDA3}">
            <x14:iconSet iconSet="3Symbols" showValue="0" custom="1">
              <x14:cfvo type="percent">
                <xm:f>0</xm:f>
              </x14:cfvo>
              <x14:cfvo type="num">
                <xm:f>0</xm:f>
              </x14:cfvo>
              <x14:cfvo type="num">
                <xm:f>1</xm:f>
              </x14:cfvo>
              <x14:cfIcon iconSet="3Symbols" iconId="0"/>
              <x14:cfIcon iconSet="3Symbols" iconId="1"/>
              <x14:cfIcon iconSet="3Symbols" iconId="2"/>
            </x14:iconSet>
          </x14:cfRule>
          <xm:sqref>F83</xm:sqref>
        </x14:conditionalFormatting>
        <x14:conditionalFormatting xmlns:xm="http://schemas.microsoft.com/office/excel/2006/main">
          <x14:cfRule type="iconSet" priority="943" id="{A438FE5D-6704-48D9-86E4-7A02978540D5}">
            <x14:iconSet iconSet="3Symbols" showValue="0" custom="1">
              <x14:cfvo type="percent">
                <xm:f>0</xm:f>
              </x14:cfvo>
              <x14:cfvo type="num">
                <xm:f>0</xm:f>
              </x14:cfvo>
              <x14:cfvo type="num">
                <xm:f>1</xm:f>
              </x14:cfvo>
              <x14:cfIcon iconSet="3Symbols" iconId="0"/>
              <x14:cfIcon iconSet="3Symbols" iconId="1"/>
              <x14:cfIcon iconSet="3Symbols" iconId="2"/>
            </x14:iconSet>
          </x14:cfRule>
          <xm:sqref>F88</xm:sqref>
        </x14:conditionalFormatting>
        <x14:conditionalFormatting xmlns:xm="http://schemas.microsoft.com/office/excel/2006/main">
          <x14:cfRule type="expression" priority="148" id="{54404DDE-DAB6-4CDA-A995-6FB2E4C356C6}">
            <xm:f>SUMMARY!$B$7=FALSE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F90:H93 F6:H23 H24:H27 F28:H29 F32:H35 F37:H37 F41:H44 F47:H73 F74:G74 F75:H75 F76:F77 F77:G77 F78:H88</xm:sqref>
        </x14:conditionalFormatting>
        <x14:conditionalFormatting xmlns:xm="http://schemas.microsoft.com/office/excel/2006/main">
          <x14:cfRule type="expression" priority="11" id="{06C558CD-E6AE-DB48-B2A3-CDE35B0F6FC2}">
            <xm:f>SUMMARY!$B$9=FALSE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I51:K51</xm:sqref>
        </x14:conditionalFormatting>
        <x14:conditionalFormatting xmlns:xm="http://schemas.microsoft.com/office/excel/2006/main">
          <x14:cfRule type="expression" priority="147" id="{3ECB1214-485D-4030-B3FE-F9E12C5121AE}">
            <xm:f>SUMMARY!$B$8=FALSE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I77:K91 I6:K15 I23:K23 K24:K27 I28:K29 I32:K35 I37:K37 I41:K44 I47:K49 I52:K69 I70:J70 I71:K75 I76 I93:K93</xm:sqref>
        </x14:conditionalFormatting>
        <x14:conditionalFormatting xmlns:xm="http://schemas.microsoft.com/office/excel/2006/main">
          <x14:cfRule type="expression" priority="146" id="{B6D9CF34-825E-4B62-954C-15081B20473C}">
            <xm:f>SUMMARY!$B$9=FALSE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L90:N91 L71:N74 L6:N15 L23:N23 N24:N26 L27:N29 L32:N35 L37:N37 L41:N42 L44:N44 L47:N49 L51:N64 L65:M65 L66:N69 L70:M70 L75:L76 L77:N88 L93:N93</xm:sqref>
        </x14:conditionalFormatting>
        <x14:conditionalFormatting xmlns:xm="http://schemas.microsoft.com/office/excel/2006/main">
          <x14:cfRule type="expression" priority="145" id="{6CCB019E-4C1B-43EE-888C-D607249BC029}">
            <xm:f>SUMMARY!$B$10=FALSE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O90:Q91 O6:Q15 O23:Q23 Q24 O25:Q29 O32:Q35 O37:Q37 O41:Q42 O44:Q44 O47:Q49 O51:Q74 O75:O76 O77:Q88 O93:Q93</xm:sqref>
        </x14:conditionalFormatting>
        <x14:conditionalFormatting xmlns:xm="http://schemas.microsoft.com/office/excel/2006/main">
          <x14:cfRule type="expression" priority="144" id="{ED860E3D-F1D6-450F-B55B-78F96023A7CE}">
            <xm:f>SUMMARY!$B$11=FALSE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R90:T91 R6:T15 R23:T23 T24 R25:T29 R32:T35 R37:T37 R41:T42 R44:T44 R47:T49 R51:T74 R75:R76 R77:T88 R93:T93</xm:sqref>
        </x14:conditionalFormatting>
        <x14:conditionalFormatting xmlns:xm="http://schemas.microsoft.com/office/excel/2006/main">
          <x14:cfRule type="expression" priority="151" id="{74AFDCF6-81CA-43E0-A875-6B62D7593536}">
            <xm:f>SUMMARY!$B$11=FALSE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U14:W14</xm:sqref>
        </x14:conditionalFormatting>
        <x14:conditionalFormatting xmlns:xm="http://schemas.microsoft.com/office/excel/2006/main">
          <x14:cfRule type="expression" priority="143" id="{405491A9-C2F9-4599-B62A-BEF025CB86CF}">
            <xm:f>SUMMARY!$B$12=FALSE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U90:W91 U6:W15 U23:W23 W24:W26 U27:W29 U32:W35 U37:W37 U41:W42 U44:W44 U47:W49 U51:W69 U70:V70 U71:W74 U75:U76 U77:W88 U93:W93</xm:sqref>
        </x14:conditionalFormatting>
        <x14:conditionalFormatting xmlns:xm="http://schemas.microsoft.com/office/excel/2006/main">
          <x14:cfRule type="expression" priority="142" id="{110E36AA-21A9-4B59-A67E-1EBC29DF5940}">
            <xm:f>SUMMARY!$B$13=FALSE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X90:Z93 X6:Z15 X23:Z23 Z24:Z26 X27:Z29 X32:Z35 X37:Z37 X41:Z42 X44:Z44 X47:Z49 X51:Z69 X70:Y70 X71:Z74 X75:X76 X77:Z88</xm:sqref>
        </x14:conditionalFormatting>
        <x14:conditionalFormatting xmlns:xm="http://schemas.microsoft.com/office/excel/2006/main">
          <x14:cfRule type="expression" priority="141" id="{8351F499-0116-4C32-AE33-1151E4424C92}">
            <xm:f>SUMMARY!$B$14=FALSE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AA90:AC93 AA6:AC15 AA23:AC23 AC24:AC27 AA28:AC29 AA32:AC35 AA37:AC37 AA41:AC42 AA44:AC44 AA47:AC49 AA51:AC69 AA70:AB70 AA71:AC73 AA74:AB74 AA75:AA76 AA77:AB77 AA78:AC88</xm:sqref>
        </x14:conditionalFormatting>
        <x14:conditionalFormatting xmlns:xm="http://schemas.microsoft.com/office/excel/2006/main">
          <x14:cfRule type="expression" priority="140" id="{53B85F09-7D86-4893-AD1C-3A3BB903C86E}">
            <xm:f>SUMMARY!$B$15=FALSE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AD78:AF93 AD51:AF74 AD6:AF15 AD23:AF23 AF24:AF26 AD27:AF29 AD32:AF35 AD37:AF37 AD41:AF42 AD44:AF44 AD47:AF49 AD75:AD76 AD77:AE77</xm:sqref>
        </x14:conditionalFormatting>
        <x14:conditionalFormatting xmlns:xm="http://schemas.microsoft.com/office/excel/2006/main">
          <x14:cfRule type="expression" priority="139" id="{666EB84B-6B6E-4658-A0A0-243DC3185ABA}">
            <xm:f>SUMMARY!$B$16=FALSE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AG77:AI93 AG6:AI15 AG17:AI17 AG21:AI39 AG41:AI74 AG75:AG76</xm:sqref>
        </x14:conditionalFormatting>
        <x14:conditionalFormatting xmlns:xm="http://schemas.microsoft.com/office/excel/2006/main">
          <x14:cfRule type="expression" priority="138" id="{4E6E594E-4009-4133-90D0-41E3A7F342EA}">
            <xm:f>SUMMARY!$B$17=FALSE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AJ77:AL93 AJ6:AL39 AJ41:AL74 AJ75:AJ76</xm:sqref>
        </x14:conditionalFormatting>
        <x14:conditionalFormatting xmlns:xm="http://schemas.microsoft.com/office/excel/2006/main">
          <x14:cfRule type="expression" priority="7" id="{AFA78CE8-15CF-2845-A4E3-E9C7D5846E1D}">
            <xm:f>SUMMARY!$B$16=FALSE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AM36:AO36</xm:sqref>
        </x14:conditionalFormatting>
        <x14:conditionalFormatting xmlns:xm="http://schemas.microsoft.com/office/excel/2006/main">
          <x14:cfRule type="expression" priority="137" id="{EE4DC256-9C47-41FF-B932-00DA8BFFBE3A}">
            <xm:f>SUMMARY!$B$18=FALSE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AM77:AO93 AM6:AO39 AM41:AO74 AM75:AM76</xm:sqref>
        </x14:conditionalFormatting>
        <x14:conditionalFormatting xmlns:xm="http://schemas.microsoft.com/office/excel/2006/main">
          <x14:cfRule type="expression" priority="136" id="{FDEF6725-5D5F-452C-89E6-E6A54D821B8A}">
            <xm:f>SUMMARY!$B$19=FALSE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AP77:AR93 AP6:AR74 AP75:AP76</xm:sqref>
        </x14:conditionalFormatting>
        <x14:conditionalFormatting xmlns:xm="http://schemas.microsoft.com/office/excel/2006/main">
          <x14:cfRule type="expression" priority="135" id="{AABE3C50-07B7-4E9E-BFF8-E3BB4B1FAF36}">
            <xm:f>SUMMARY!$B$20=FALSE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AS77:AU93 AS6:AU74 AS75:AS76</xm:sqref>
        </x14:conditionalFormatting>
        <x14:conditionalFormatting xmlns:xm="http://schemas.microsoft.com/office/excel/2006/main">
          <x14:cfRule type="expression" priority="134" id="{D904A30B-88C6-4A16-BB80-1C81911229C7}">
            <xm:f>SUMMARY!$B$21=FALSE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AV77:AX93 AV6:AX74 AV75:AV76</xm:sqref>
        </x14:conditionalFormatting>
        <x14:conditionalFormatting xmlns:xm="http://schemas.microsoft.com/office/excel/2006/main">
          <x14:cfRule type="expression" priority="133" id="{AEDC0B9F-D99D-49AF-8027-804458B8D883}">
            <xm:f>SUMMARY!$B$22=FALSE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AY77:BA93 AY6:BA74 AY75:AY76</xm:sqref>
        </x14:conditionalFormatting>
        <x14:conditionalFormatting xmlns:xm="http://schemas.microsoft.com/office/excel/2006/main">
          <x14:cfRule type="expression" priority="132" id="{5FD9DE84-9587-45B7-9F14-EC1CDE9E20AF}">
            <xm:f>SUMMARY!$B$23=FALSE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BB77:BD93 BB6:BD74 BB75:BB76</xm:sqref>
        </x14:conditionalFormatting>
        <x14:conditionalFormatting xmlns:xm="http://schemas.microsoft.com/office/excel/2006/main">
          <x14:cfRule type="expression" priority="131" id="{692BE82F-38C0-4B61-BEBA-C34A69C69214}">
            <xm:f>SUMMARY!$B$24=FALSE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BE77:BG93 BE6:BG74 BE75:BE76</xm:sqref>
        </x14:conditionalFormatting>
        <x14:conditionalFormatting xmlns:xm="http://schemas.microsoft.com/office/excel/2006/main">
          <x14:cfRule type="expression" priority="130" id="{80523C90-9EE3-448E-94AE-0AFD8AACAB97}">
            <xm:f>SUMMARY!$B$25=FALSE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BH77:BJ93 BH6:BJ74 BH75:BH76</xm:sqref>
        </x14:conditionalFormatting>
        <x14:conditionalFormatting xmlns:xm="http://schemas.microsoft.com/office/excel/2006/main">
          <x14:cfRule type="expression" priority="129" id="{FD9215C2-3297-4729-8D38-7CEE3D515C89}">
            <xm:f>SUMMARY!$B$26=FALSE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BK77:BM93 BK6:BM74 BK75:BK76</xm:sqref>
        </x14:conditionalFormatting>
        <x14:conditionalFormatting xmlns:xm="http://schemas.microsoft.com/office/excel/2006/main">
          <x14:cfRule type="expression" priority="128" id="{DA8D08AF-06CF-4124-ACF2-43F38AD7244D}">
            <xm:f>SUMMARY!$B$27=FALSE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BN77:BP93 BN6:BP74 BN75:BN76</xm:sqref>
        </x14:conditionalFormatting>
        <x14:conditionalFormatting xmlns:xm="http://schemas.microsoft.com/office/excel/2006/main">
          <x14:cfRule type="expression" priority="930" id="{B9C6A6CD-8413-435E-907D-4F676DD05547}">
            <xm:f>SUMMARY!$B$28=FALSE</xm:f>
            <x14:dxf>
              <font>
                <color theme="0"/>
              </font>
              <fill>
                <patternFill>
                  <bgColor theme="0"/>
                </patternFill>
              </fill>
              <border>
                <left/>
                <right/>
                <top/>
                <bottom/>
                <vertical/>
                <horizontal/>
              </border>
            </x14:dxf>
          </x14:cfRule>
          <xm:sqref>BQ23:BS23</xm:sqref>
        </x14:conditionalFormatting>
        <x14:conditionalFormatting xmlns:xm="http://schemas.microsoft.com/office/excel/2006/main">
          <x14:cfRule type="expression" priority="127" id="{1B07B67E-21DE-4ACE-BC05-35BFE014E219}">
            <xm:f>SUMMARY!$B$28=FALSE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BQ77:BS93 BQ6:BS22 BQ24:BS74 BQ75:BQ76</xm:sqref>
        </x14:conditionalFormatting>
        <x14:conditionalFormatting xmlns:xm="http://schemas.microsoft.com/office/excel/2006/main">
          <x14:cfRule type="expression" priority="126" id="{BC4F3E8A-7A13-45F1-89D9-200CB012FA58}">
            <xm:f>SUMMARY!$B$29=FALSE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BT77:BV93 BT6:BV74 BT75:BT76</xm:sqref>
        </x14:conditionalFormatting>
        <x14:conditionalFormatting xmlns:xm="http://schemas.microsoft.com/office/excel/2006/main">
          <x14:cfRule type="expression" priority="125" id="{DCB7AB33-B189-447D-90C3-F375B579B566}">
            <xm:f>SUMMARY!$B$30=FALSE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BW77:BY93 BW6:BY74 BW75:BW76</xm:sqref>
        </x14:conditionalFormatting>
        <x14:conditionalFormatting xmlns:xm="http://schemas.microsoft.com/office/excel/2006/main">
          <x14:cfRule type="expression" priority="124" id="{313274CE-A9F2-495A-8105-ED54E8F93F36}">
            <xm:f>SUMMARY!$B$31=FALSE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BZ77:CB93 BZ6:CB74 BZ75:BZ76</xm:sqref>
        </x14:conditionalFormatting>
        <x14:conditionalFormatting xmlns:xm="http://schemas.microsoft.com/office/excel/2006/main">
          <x14:cfRule type="expression" priority="123" id="{27534C75-9CB3-42A6-9C36-858F560D844D}">
            <xm:f>SUMMARY!$B$32=FALSE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CC77:CE93 CC6:CE74 CC75:CC76</xm:sqref>
        </x14:conditionalFormatting>
        <x14:conditionalFormatting xmlns:xm="http://schemas.microsoft.com/office/excel/2006/main">
          <x14:cfRule type="expression" priority="122" id="{E4D16269-BFA4-4A22-A070-6FA117A183F8}">
            <xm:f>SUMMARY!$B$33=FALSE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CF77:CH93 CF6:CH74 CF75:CF76</xm:sqref>
        </x14:conditionalFormatting>
        <x14:conditionalFormatting xmlns:xm="http://schemas.microsoft.com/office/excel/2006/main">
          <x14:cfRule type="expression" priority="121" id="{4F9D6491-2B24-45BF-8D64-4623B0D1F9C5}">
            <xm:f>SUMMARY!$B$34=FALSE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CI77:CK93 CI6:CK74 CI75:CI76</xm:sqref>
        </x14:conditionalFormatting>
        <x14:conditionalFormatting xmlns:xm="http://schemas.microsoft.com/office/excel/2006/main">
          <x14:cfRule type="expression" priority="120" id="{EC8155D6-1C70-45BE-AEE0-EB5AB124018F}">
            <xm:f>SUMMARY!$B$35=FALSE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CL77:CN93 CL6:CN74 CL75:CL76</xm:sqref>
        </x14:conditionalFormatting>
        <x14:conditionalFormatting xmlns:xm="http://schemas.microsoft.com/office/excel/2006/main">
          <x14:cfRule type="expression" priority="119" id="{56FD9EDF-A727-46C0-8F22-05DF082595DC}">
            <xm:f>SUMMARY!$B$36=FALSE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CO77:CQ93 CO6:CQ74 CO75:CO76</xm:sqref>
        </x14:conditionalFormatting>
      </x14:conditionalFormattings>
    </ext>
    <ext xmlns:x14="http://schemas.microsoft.com/office/spreadsheetml/2009/9/main" uri="{CCE6A557-97BC-4b89-ADB6-D9C93CAAB3DF}">
      <x14:dataValidations xmlns:xm="http://schemas.microsoft.com/office/excel/2006/main" count="11">
        <x14:dataValidation type="list" allowBlank="1" showInputMessage="1" showErrorMessage="1" xr:uid="{1C50DD25-A806-4952-A74E-078356244332}">
          <x14:formula1>
            <xm:f>'CHARMS.Drop-down response lists'!$D$5:$D$15</xm:f>
          </x14:formula1>
          <xm:sqref>F51:CQ51</xm:sqref>
        </x14:dataValidation>
        <x14:dataValidation type="list" allowBlank="1" showInputMessage="1" showErrorMessage="1" xr:uid="{63976250-EB12-487B-B095-DDDE6122E953}">
          <x14:formula1>
            <xm:f>'CHARMS.Drop-down response lists'!$H$5:$H$17</xm:f>
          </x14:formula1>
          <xm:sqref>F80:CQ80</xm:sqref>
        </x14:dataValidation>
        <x14:dataValidation type="list" allowBlank="1" showInputMessage="1" showErrorMessage="1" xr:uid="{8C10184B-7270-4C35-94AF-747A9F06360D}">
          <x14:formula1>
            <xm:f>'CHARMS.Drop-down response lists'!$C$5:$C$13</xm:f>
          </x14:formula1>
          <xm:sqref>F33:CQ33</xm:sqref>
        </x14:dataValidation>
        <x14:dataValidation type="list" allowBlank="1" showInputMessage="1" showErrorMessage="1" xr:uid="{0C440344-2C8F-4476-995C-D07D5C15A026}">
          <x14:formula1>
            <xm:f>'CHARMS.Drop-down response lists'!$A$5:$A$20</xm:f>
          </x14:formula1>
          <xm:sqref>F14:CQ14</xm:sqref>
        </x14:dataValidation>
        <x14:dataValidation type="list" allowBlank="1" showInputMessage="1" showErrorMessage="1" xr:uid="{EFAB9E8D-14E5-47E8-9973-22B179676BF8}">
          <x14:formula1>
            <xm:f>'CHARMS.Drop-down response lists'!$B$5:$B$17</xm:f>
          </x14:formula1>
          <xm:sqref>H24:H28 K24:K28 N24:N28 Q24:Q28 T24:T28 W24:W28 Z24:Z28 AC24:AC28 AF24:AF28 AI24:AI28 AL24:AL28 AO24:AO28 AR24:AR28 AU24:AU28 AX24:AX28 BA24:BA28 BD24:BD28 BG24:BG28 BJ24:BJ28 BM24:BM28 BP24:BP28 BS24:BS28 BV24:BV28 BY24:BY28 CB24:CB28 CE24:CE28 CH24:CH28 CK24:CK28 CN24:CN28 CQ24:CQ28</xm:sqref>
        </x14:dataValidation>
        <x14:dataValidation type="list" allowBlank="1" showInputMessage="1" showErrorMessage="1" xr:uid="{4067B822-7218-4815-80CB-8E79E0A2E419}">
          <x14:formula1>
            <xm:f>'CHARMS.Drop-down response lists'!$J$5:$J$14</xm:f>
          </x14:formula1>
          <xm:sqref>F85:CQ85</xm:sqref>
        </x14:dataValidation>
        <x14:dataValidation type="list" allowBlank="1" showInputMessage="1" showErrorMessage="1" xr:uid="{99ADA6F1-800E-4C2F-B491-7698ADFAB5FC}">
          <x14:formula1>
            <xm:f>'CHARMS.Drop-down response lists'!$I$5:$I$18</xm:f>
          </x14:formula1>
          <xm:sqref>F81:CQ81</xm:sqref>
        </x14:dataValidation>
        <x14:dataValidation type="list" allowBlank="1" showInputMessage="1" showErrorMessage="1" xr:uid="{752FDA16-22D4-45C3-A789-6325C8D334FB}">
          <x14:formula1>
            <xm:f>'CHARMS.Drop-down response lists'!$K$5:$K$19</xm:f>
          </x14:formula1>
          <xm:sqref>F87:CQ87</xm:sqref>
        </x14:dataValidation>
        <x14:dataValidation type="list" allowBlank="1" showInputMessage="1" showErrorMessage="1" xr:uid="{F81D6C5F-CDA0-4E56-967B-036C5660725E}">
          <x14:formula1>
            <xm:f>'CHARMS.Drop-down response lists'!$F$5:$F$15</xm:f>
          </x14:formula1>
          <xm:sqref>F54:CQ54</xm:sqref>
        </x14:dataValidation>
        <x14:dataValidation type="list" allowBlank="1" showInputMessage="1" showErrorMessage="1" xr:uid="{5FF9D964-F2F2-4126-94B5-D7F95CD3D3EA}">
          <x14:formula1>
            <xm:f>'CHARMS.Drop-down response lists'!$G$5:$G$19</xm:f>
          </x14:formula1>
          <xm:sqref>F55:CQ55</xm:sqref>
        </x14:dataValidation>
        <x14:dataValidation type="list" allowBlank="1" showInputMessage="1" showErrorMessage="1" xr:uid="{29F18338-0F07-44C2-B013-1A36E33356F9}">
          <x14:formula1>
            <xm:f>'CHARMS.Drop-down response lists'!$E$5:$E$17</xm:f>
          </x14:formula1>
          <xm:sqref>F53:CQ53</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1">
    <tabColor theme="4" tint="-0.499984740745262"/>
  </sheetPr>
  <dimension ref="A1:AE80"/>
  <sheetViews>
    <sheetView zoomScale="140" zoomScaleNormal="140" workbookViewId="0">
      <pane xSplit="1" ySplit="12" topLeftCell="F52" activePane="bottomRight" state="frozen"/>
      <selection pane="topRight" activeCell="B1" sqref="B1"/>
      <selection pane="bottomLeft" activeCell="A13" sqref="A13"/>
      <selection pane="bottomRight" activeCell="I63" sqref="I63"/>
    </sheetView>
  </sheetViews>
  <sheetFormatPr baseColWidth="10" defaultColWidth="11.5" defaultRowHeight="15" x14ac:dyDescent="0.2"/>
  <cols>
    <col min="1" max="1" width="71.5" style="84" customWidth="1"/>
    <col min="2" max="31" width="40.6640625" style="82" customWidth="1"/>
    <col min="32" max="16384" width="11.5" style="82"/>
  </cols>
  <sheetData>
    <row r="1" spans="1:31" s="89" customFormat="1" x14ac:dyDescent="0.2">
      <c r="A1" s="88"/>
    </row>
    <row r="2" spans="1:31" s="89" customFormat="1" x14ac:dyDescent="0.2">
      <c r="A2" s="88"/>
    </row>
    <row r="3" spans="1:31" s="90" customFormat="1" ht="27" customHeight="1" x14ac:dyDescent="0.2">
      <c r="A3" s="173" t="s">
        <v>150</v>
      </c>
    </row>
    <row r="4" spans="1:31" s="90" customFormat="1" x14ac:dyDescent="0.2">
      <c r="A4" s="91"/>
    </row>
    <row r="5" spans="1:31" s="90" customFormat="1" ht="17.25" customHeight="1" thickBot="1" x14ac:dyDescent="0.25">
      <c r="A5" s="92" t="s">
        <v>151</v>
      </c>
    </row>
    <row r="6" spans="1:31" s="93" customFormat="1" ht="29.25" customHeight="1" x14ac:dyDescent="0.2">
      <c r="A6" s="60" t="s">
        <v>152</v>
      </c>
      <c r="B6" s="167" t="str">
        <f>IF(SUMMARY!C7="","",SUMMARY!I7)</f>
        <v>1 - Matthew-David Ogbechie, 2023</v>
      </c>
      <c r="C6" s="167" t="str">
        <f>IF(SUMMARY!C8="","",SUMMARY!I8)</f>
        <v>2 - Esra, Rachel, 2023</v>
      </c>
      <c r="D6" s="167" t="str">
        <f>IF(SUMMARY!C9="","",SUMMARY!I9)</f>
        <v>3 - Esra, Rachel, 2023</v>
      </c>
      <c r="E6" s="167" t="str">
        <f>IF(SUMMARY!C10="","",SUMMARY!I10)</f>
        <v>4 - Stockman, Jeni , 2022</v>
      </c>
      <c r="F6" s="167" t="str">
        <f>IF(SUMMARY!C11="","",SUMMARY!I11)</f>
        <v>5 - Stockman, Jeni , 2022</v>
      </c>
      <c r="G6" s="167" t="str">
        <f>IF(SUMMARY!C12="","",SUMMARY!I12)</f>
        <v>6 - Arthi, Ramachandran, 2020</v>
      </c>
      <c r="H6" s="167" t="str">
        <f>IF(SUMMARY!C13="","",SUMMARY!I13)</f>
        <v>7 - Arthi, Ramachandran, 2020</v>
      </c>
      <c r="I6" s="167" t="str">
        <f>IF(SUMMARY!C14="","",SUMMARY!I14)</f>
        <v>8 - Brian W. Pence, 2018</v>
      </c>
      <c r="J6" s="167" t="str">
        <f>IF(SUMMARY!C15="","",SUMMARY!I15)</f>
        <v>9 - Mhairi, Maskew, 2022</v>
      </c>
      <c r="K6" s="167" t="str">
        <f>IF(SUMMARY!C16="","",SUMMARY!I16)</f>
        <v>10 - Mhairi, Maskew, 2024</v>
      </c>
      <c r="L6" s="167" t="str">
        <f>IF(SUMMARY!C17="","",SUMMARY!I17)</f>
        <v>11 - Joseph A Mason, 2023</v>
      </c>
      <c r="M6" s="167" t="str">
        <f>IF(SUMMARY!C18="","",SUMMARY!I18)</f>
        <v>12 - Carolyn A Fahey, 2022</v>
      </c>
      <c r="N6" s="167" t="str">
        <f>IF(SUMMARY!C19="","",SUMMARY!I19)</f>
        <v/>
      </c>
      <c r="O6" s="167" t="str">
        <f>IF(SUMMARY!C20="","",SUMMARY!I20)</f>
        <v/>
      </c>
      <c r="P6" s="167" t="str">
        <f>IF(SUMMARY!C21="","",SUMMARY!I21)</f>
        <v/>
      </c>
      <c r="Q6" s="167" t="str">
        <f>IF(SUMMARY!C22="","",SUMMARY!I22)</f>
        <v/>
      </c>
      <c r="R6" s="167" t="str">
        <f>IF(SUMMARY!C23="","",SUMMARY!I23)</f>
        <v/>
      </c>
      <c r="S6" s="167" t="str">
        <f>IF(SUMMARY!C24="","",SUMMARY!I24)</f>
        <v/>
      </c>
      <c r="T6" s="167" t="str">
        <f>IF(SUMMARY!C25="","",SUMMARY!I25)</f>
        <v/>
      </c>
      <c r="U6" s="167" t="str">
        <f>IF(SUMMARY!C26="","",SUMMARY!I26)</f>
        <v/>
      </c>
      <c r="V6" s="167" t="str">
        <f>IF(SUMMARY!C27="","",SUMMARY!I27)</f>
        <v/>
      </c>
      <c r="W6" s="167" t="str">
        <f>IF(SUMMARY!C28="","",SUMMARY!I28)</f>
        <v/>
      </c>
      <c r="X6" s="167" t="str">
        <f>IF(SUMMARY!C29="","",SUMMARY!I29)</f>
        <v/>
      </c>
      <c r="Y6" s="167" t="str">
        <f>IF(SUMMARY!C30="","",SUMMARY!I30)</f>
        <v/>
      </c>
      <c r="Z6" s="167" t="str">
        <f>IF(SUMMARY!C31="","",SUMMARY!I31)</f>
        <v/>
      </c>
      <c r="AA6" s="167" t="str">
        <f>IF(SUMMARY!C32="","",SUMMARY!I32)</f>
        <v/>
      </c>
      <c r="AB6" s="167" t="str">
        <f>IF(SUMMARY!C33="","",SUMMARY!I33)</f>
        <v/>
      </c>
      <c r="AC6" s="167" t="str">
        <f>IF(SUMMARY!C34="","",SUMMARY!I34)</f>
        <v/>
      </c>
      <c r="AD6" s="167" t="str">
        <f>IF(SUMMARY!C35="","",SUMMARY!I35)</f>
        <v/>
      </c>
      <c r="AE6" s="167" t="str">
        <f>IF(SUMMARY!C36="","",SUMMARY!I36)</f>
        <v/>
      </c>
    </row>
    <row r="7" spans="1:31" ht="18.75" customHeight="1" x14ac:dyDescent="0.2">
      <c r="A7" s="94" t="s">
        <v>31</v>
      </c>
      <c r="B7" s="95"/>
      <c r="C7" s="95"/>
      <c r="D7" s="95"/>
      <c r="E7" s="95"/>
      <c r="F7" s="95"/>
      <c r="G7" s="95"/>
      <c r="H7" s="95"/>
      <c r="I7" s="95"/>
      <c r="J7" s="95"/>
      <c r="K7" s="95"/>
      <c r="L7" s="95"/>
      <c r="M7" s="95"/>
      <c r="N7" s="95"/>
      <c r="O7" s="95"/>
      <c r="P7" s="95"/>
      <c r="Q7" s="95"/>
      <c r="R7" s="95"/>
      <c r="S7" s="95"/>
      <c r="T7" s="95"/>
      <c r="U7" s="95"/>
      <c r="V7" s="95"/>
      <c r="W7" s="95"/>
      <c r="X7" s="95"/>
      <c r="Y7" s="95"/>
      <c r="Z7" s="95"/>
      <c r="AA7" s="95"/>
      <c r="AB7" s="95"/>
      <c r="AC7" s="95"/>
      <c r="AD7" s="95"/>
      <c r="AE7" s="95"/>
    </row>
    <row r="8" spans="1:31" s="98" customFormat="1" ht="15" customHeight="1" x14ac:dyDescent="0.2">
      <c r="A8" s="96" t="s">
        <v>33</v>
      </c>
      <c r="B8" s="97" t="str">
        <f>IF(SUMMARY!$D7="","",SUMMARY!$D7)</f>
        <v>Matthew-David Ogbechie</v>
      </c>
      <c r="C8" s="97" t="str">
        <f>IF(SUMMARY!$D8="","",SUMMARY!$D8)</f>
        <v>Esra, Rachel</v>
      </c>
      <c r="D8" s="97" t="str">
        <f>IF(SUMMARY!$D9="","",SUMMARY!$D9)</f>
        <v>Esra, Rachel</v>
      </c>
      <c r="E8" s="97" t="str">
        <f>IF(SUMMARY!$D10="","",SUMMARY!$D10)</f>
        <v xml:space="preserve">Stockman, Jeni </v>
      </c>
      <c r="F8" s="97" t="str">
        <f>IF(SUMMARY!$D11="","",SUMMARY!$D11)</f>
        <v xml:space="preserve">Stockman, Jeni </v>
      </c>
      <c r="G8" s="97" t="str">
        <f>IF(SUMMARY!$D12="","",SUMMARY!$D12)</f>
        <v>Arthi, Ramachandran</v>
      </c>
      <c r="H8" s="97" t="str">
        <f>IF(SUMMARY!$D13="","",SUMMARY!$D13)</f>
        <v>Arthi, Ramachandran</v>
      </c>
      <c r="I8" s="97" t="str">
        <f>IF(SUMMARY!$D14="","",SUMMARY!$D14)</f>
        <v>Brian W. Pence</v>
      </c>
      <c r="J8" s="97" t="str">
        <f>IF(SUMMARY!$D15="","",SUMMARY!$D15)</f>
        <v>Mhairi, Maskew</v>
      </c>
      <c r="K8" s="97" t="str">
        <f>IF(SUMMARY!$D16="","",SUMMARY!$D16)</f>
        <v>Mhairi, Maskew</v>
      </c>
      <c r="L8" s="97" t="str">
        <f>IF(SUMMARY!$D17="","",SUMMARY!$D17)</f>
        <v>Joseph A Mason</v>
      </c>
      <c r="M8" s="97" t="str">
        <f>IF(SUMMARY!$D18="","",SUMMARY!$D18)</f>
        <v>Carolyn A Fahey</v>
      </c>
      <c r="N8" s="97" t="str">
        <f>IF(SUMMARY!$D19="","",SUMMARY!$D19)</f>
        <v/>
      </c>
      <c r="O8" s="97" t="str">
        <f>IF(SUMMARY!$D20="","",SUMMARY!$D20)</f>
        <v/>
      </c>
      <c r="P8" s="97" t="str">
        <f>IF(SUMMARY!$D21="","",SUMMARY!$D21)</f>
        <v/>
      </c>
      <c r="Q8" s="97" t="str">
        <f>IF(SUMMARY!$D22="","",SUMMARY!$D22)</f>
        <v/>
      </c>
      <c r="R8" s="97" t="str">
        <f>IF(SUMMARY!$D23="","",SUMMARY!$D23)</f>
        <v/>
      </c>
      <c r="S8" s="97" t="str">
        <f>IF(SUMMARY!$D24="","",SUMMARY!$D24)</f>
        <v/>
      </c>
      <c r="T8" s="97" t="str">
        <f>IF(SUMMARY!$D25="","",SUMMARY!$D25)</f>
        <v/>
      </c>
      <c r="U8" s="97" t="str">
        <f>IF(SUMMARY!$D26="","",SUMMARY!$D26)</f>
        <v/>
      </c>
      <c r="V8" s="97" t="str">
        <f>IF(SUMMARY!$D27="","",SUMMARY!$D27)</f>
        <v/>
      </c>
      <c r="W8" s="97" t="str">
        <f>IF(SUMMARY!$D28="","",SUMMARY!$D28)</f>
        <v/>
      </c>
      <c r="X8" s="97" t="str">
        <f>IF(SUMMARY!$D29="","",SUMMARY!$D29)</f>
        <v/>
      </c>
      <c r="Y8" s="97" t="str">
        <f>IF(SUMMARY!$D30="","",SUMMARY!$D30)</f>
        <v/>
      </c>
      <c r="Z8" s="97" t="str">
        <f>IF(SUMMARY!$D31="","",SUMMARY!$D31)</f>
        <v/>
      </c>
      <c r="AA8" s="97" t="str">
        <f>IF(SUMMARY!$D32="","",SUMMARY!$D32)</f>
        <v/>
      </c>
      <c r="AB8" s="97" t="str">
        <f>IF(SUMMARY!$D33="","",SUMMARY!$D33)</f>
        <v/>
      </c>
      <c r="AC8" s="97" t="str">
        <f>IF(SUMMARY!$D34="","",SUMMARY!$D34)</f>
        <v/>
      </c>
      <c r="AD8" s="97" t="str">
        <f>IF(SUMMARY!$D35="","",SUMMARY!$D35)</f>
        <v/>
      </c>
      <c r="AE8" s="97" t="str">
        <f>IF(SUMMARY!$D36="","",SUMMARY!$D36)</f>
        <v/>
      </c>
    </row>
    <row r="9" spans="1:31" s="98" customFormat="1" ht="15" customHeight="1" x14ac:dyDescent="0.2">
      <c r="A9" s="99" t="s">
        <v>34</v>
      </c>
      <c r="B9" s="100">
        <f>IF(SUMMARY!$E7="","",SUMMARY!$E7)</f>
        <v>2023</v>
      </c>
      <c r="C9" s="100">
        <f>IF(SUMMARY!$E8="","",SUMMARY!$E8)</f>
        <v>2023</v>
      </c>
      <c r="D9" s="100">
        <f>IF(SUMMARY!$E9="","",SUMMARY!$E9)</f>
        <v>2023</v>
      </c>
      <c r="E9" s="100">
        <f>IF(SUMMARY!$E10="","",SUMMARY!$E10)</f>
        <v>2022</v>
      </c>
      <c r="F9" s="100">
        <f>IF(SUMMARY!$E11="","",SUMMARY!$E11)</f>
        <v>2022</v>
      </c>
      <c r="G9" s="100">
        <f>IF(SUMMARY!$E12="","",SUMMARY!$E12)</f>
        <v>2020</v>
      </c>
      <c r="H9" s="100">
        <f>IF(SUMMARY!$E13="","",SUMMARY!$E13)</f>
        <v>2020</v>
      </c>
      <c r="I9" s="100">
        <f>IF(SUMMARY!$E14="","",SUMMARY!$E14)</f>
        <v>2018</v>
      </c>
      <c r="J9" s="100">
        <f>IF(SUMMARY!$E15="","",SUMMARY!$E15)</f>
        <v>2022</v>
      </c>
      <c r="K9" s="100">
        <f>IF(SUMMARY!$E16="","",SUMMARY!$E16)</f>
        <v>2024</v>
      </c>
      <c r="L9" s="100">
        <f>IF(SUMMARY!$E17="","",SUMMARY!$E17)</f>
        <v>2023</v>
      </c>
      <c r="M9" s="100">
        <f>IF(SUMMARY!$E18="","",SUMMARY!$E18)</f>
        <v>2022</v>
      </c>
      <c r="N9" s="100" t="str">
        <f>IF(SUMMARY!$E19="","",SUMMARY!$E19)</f>
        <v/>
      </c>
      <c r="O9" s="100" t="str">
        <f>IF(SUMMARY!$E20="","",SUMMARY!$E20)</f>
        <v/>
      </c>
      <c r="P9" s="100" t="str">
        <f>IF(SUMMARY!$E21="","",SUMMARY!$E21)</f>
        <v/>
      </c>
      <c r="Q9" s="100" t="str">
        <f>IF(SUMMARY!$E22="","",SUMMARY!$E22)</f>
        <v/>
      </c>
      <c r="R9" s="100" t="str">
        <f>IF(SUMMARY!$E23="","",SUMMARY!$E23)</f>
        <v/>
      </c>
      <c r="S9" s="100" t="str">
        <f>IF(SUMMARY!$E24="","",SUMMARY!$E24)</f>
        <v/>
      </c>
      <c r="T9" s="100" t="str">
        <f>IF(SUMMARY!$E25="","",SUMMARY!$E25)</f>
        <v/>
      </c>
      <c r="U9" s="100" t="str">
        <f>IF(SUMMARY!$E26="","",SUMMARY!$E26)</f>
        <v/>
      </c>
      <c r="V9" s="100" t="str">
        <f>IF(SUMMARY!$E27="","",SUMMARY!$E27)</f>
        <v/>
      </c>
      <c r="W9" s="100" t="str">
        <f>IF(SUMMARY!$E28="","",SUMMARY!$E28)</f>
        <v/>
      </c>
      <c r="X9" s="100" t="str">
        <f>IF(SUMMARY!$E29="","",SUMMARY!$E29)</f>
        <v/>
      </c>
      <c r="Y9" s="100" t="str">
        <f>IF(SUMMARY!$E30="","",SUMMARY!$E30)</f>
        <v/>
      </c>
      <c r="Z9" s="100" t="str">
        <f>IF(SUMMARY!$E31="","",SUMMARY!$E31)</f>
        <v/>
      </c>
      <c r="AA9" s="100" t="str">
        <f>IF(SUMMARY!$E32="","",SUMMARY!$E32)</f>
        <v/>
      </c>
      <c r="AB9" s="100" t="str">
        <f>IF(SUMMARY!$E33="","",SUMMARY!$E33)</f>
        <v/>
      </c>
      <c r="AC9" s="100" t="str">
        <f>IF(SUMMARY!$E34="","",SUMMARY!$E34)</f>
        <v/>
      </c>
      <c r="AD9" s="100" t="str">
        <f>IF(SUMMARY!$E35="","",SUMMARY!$E35)</f>
        <v/>
      </c>
      <c r="AE9" s="100" t="str">
        <f>IF(SUMMARY!$E36="","",SUMMARY!$E36)</f>
        <v/>
      </c>
    </row>
    <row r="10" spans="1:31" s="98" customFormat="1" ht="15" customHeight="1" x14ac:dyDescent="0.2">
      <c r="A10" s="99" t="s">
        <v>35</v>
      </c>
      <c r="B10" s="187" t="str">
        <f>IF(SUMMARY!$F7="","",SUMMARY!$F7)</f>
        <v>Predicting Treatment Interruption Among People Living With HIV in Nigeria: Machine Learning Approach</v>
      </c>
      <c r="C10" s="187" t="str">
        <f>IF(SUMMARY!$F8="","",SUMMARY!$F8)</f>
        <v>Validation and Improvement of a Machine Learning Model to Predict Interruptions in Antiretroviral Treatment in South Africa</v>
      </c>
      <c r="D10" s="187" t="str">
        <f>IF(SUMMARY!$F9="","",SUMMARY!$F9)</f>
        <v>Validation and Improvement of a Machine Learning Model to Predict Interruptions in Antiretroviral Treatment in South Africa</v>
      </c>
      <c r="E10" s="187" t="str">
        <f>IF(SUMMARY!$F10="","",SUMMARY!$F10)</f>
        <v>Predictive analytics using machine learning to identify ART clients at health system level at greatest risk of treatment interruption in Mozambique and Nigeria</v>
      </c>
      <c r="F10" s="187" t="str">
        <f>IF(SUMMARY!$F11="","",SUMMARY!$F11)</f>
        <v>Predictive analytics using machine learning to identify ART clients at health system level at greatest risk of treatment interruption in Mozambique and Nigeria</v>
      </c>
      <c r="G10" s="187" t="str">
        <f>IF(SUMMARY!$F12="","",SUMMARY!$F12)</f>
        <v>Predictive Analytics for Retention in Care in an Urban HIV Clinic</v>
      </c>
      <c r="H10" s="187" t="str">
        <f>IF(SUMMARY!$F13="","",SUMMARY!$F13)</f>
        <v>Predictive Analytics for Retention in Care in an Urban HIV Clinic</v>
      </c>
      <c r="I10" s="187" t="str">
        <f>IF(SUMMARY!$F14="","",SUMMARY!$F14)</f>
        <v>Who will show? Predicting missed visits among patients in routine HIV primary care in the United States</v>
      </c>
      <c r="J10" s="187" t="str">
        <f>IF(SUMMARY!$F15="","",SUMMARY!$F15)</f>
        <v>Applying machine learning and predictive modeling to retention and viral suppression in South African HIV treatment cohorts</v>
      </c>
      <c r="K10" s="187" t="str">
        <f>IF(SUMMARY!$F16="","",SUMMARY!$F16)</f>
        <v>Triaging clients at risk of disengagement from HIV care: Application of a predictive model to clinical trial data in South Africa</v>
      </c>
      <c r="L10" s="187" t="str">
        <f>IF(SUMMARY!$F17="","",SUMMARY!$F17)</f>
        <v>No-show Prediction Model Performance Among People With HIV:External Validation Study</v>
      </c>
      <c r="M10" s="187" t="str">
        <f>IF(SUMMARY!$F18="","",SUMMARY!$F18)</f>
        <v>Machine learning with routine electronic medical record data to identify people at high risk of disengagement from HIV care in Tanzania</v>
      </c>
      <c r="N10" s="187" t="str">
        <f>IF(SUMMARY!$F19="","",SUMMARY!$F19)</f>
        <v/>
      </c>
      <c r="O10" s="187" t="str">
        <f>IF(SUMMARY!$F20="","",SUMMARY!$F20)</f>
        <v/>
      </c>
      <c r="P10" s="187" t="str">
        <f>IF(SUMMARY!$F21="","",SUMMARY!$F21)</f>
        <v/>
      </c>
      <c r="Q10" s="187" t="str">
        <f>IF(SUMMARY!$F22="","",SUMMARY!$F22)</f>
        <v/>
      </c>
      <c r="R10" s="187" t="str">
        <f>IF(SUMMARY!$F23="","",SUMMARY!$F23)</f>
        <v/>
      </c>
      <c r="S10" s="187" t="str">
        <f>IF(SUMMARY!$F24="","",SUMMARY!$F24)</f>
        <v/>
      </c>
      <c r="T10" s="187" t="str">
        <f>IF(SUMMARY!$F25="","",SUMMARY!$F25)</f>
        <v/>
      </c>
      <c r="U10" s="187" t="str">
        <f>IF(SUMMARY!$F26="","",SUMMARY!$F26)</f>
        <v/>
      </c>
      <c r="V10" s="187" t="str">
        <f>IF(SUMMARY!$F27="","",SUMMARY!$F27)</f>
        <v/>
      </c>
      <c r="W10" s="187" t="str">
        <f>IF(SUMMARY!$F28="","",SUMMARY!$F28)</f>
        <v/>
      </c>
      <c r="X10" s="187" t="str">
        <f>IF(SUMMARY!$F29="","",SUMMARY!$F29)</f>
        <v/>
      </c>
      <c r="Y10" s="187" t="str">
        <f>IF(SUMMARY!$F30="","",SUMMARY!$F30)</f>
        <v/>
      </c>
      <c r="Z10" s="187" t="str">
        <f>IF(SUMMARY!$F31="","",SUMMARY!$F31)</f>
        <v/>
      </c>
      <c r="AA10" s="187" t="str">
        <f>IF(SUMMARY!$F32="","",SUMMARY!$F32)</f>
        <v/>
      </c>
      <c r="AB10" s="187" t="str">
        <f>IF(SUMMARY!$F33="","",SUMMARY!$F33)</f>
        <v/>
      </c>
      <c r="AC10" s="187" t="str">
        <f>IF(SUMMARY!$F34="","",SUMMARY!$F34)</f>
        <v/>
      </c>
      <c r="AD10" s="187" t="str">
        <f>IF(SUMMARY!$F35="","",SUMMARY!$F35)</f>
        <v/>
      </c>
      <c r="AE10" s="187" t="str">
        <f>IF(SUMMARY!$F36="","",SUMMARY!$F36)</f>
        <v/>
      </c>
    </row>
    <row r="11" spans="1:31" s="98" customFormat="1" ht="15" customHeight="1" x14ac:dyDescent="0.2">
      <c r="A11" s="99" t="s">
        <v>36</v>
      </c>
      <c r="B11" s="100" t="str">
        <f>IF(SUMMARY!$G7="","",SUMMARY!$G7)</f>
        <v>JMIR AI</v>
      </c>
      <c r="C11" s="100" t="str">
        <f>IF(SUMMARY!$G8="","",SUMMARY!$G8)</f>
        <v>JAIDS</v>
      </c>
      <c r="D11" s="100" t="str">
        <f>IF(SUMMARY!$G9="","",SUMMARY!$G9)</f>
        <v>JAIDS</v>
      </c>
      <c r="E11" s="100" t="str">
        <f>IF(SUMMARY!$G10="","",SUMMARY!$G10)</f>
        <v>JAIDS</v>
      </c>
      <c r="F11" s="100" t="str">
        <f>IF(SUMMARY!$G11="","",SUMMARY!$G11)</f>
        <v>JAIDS</v>
      </c>
      <c r="G11" s="100" t="str">
        <f>IF(SUMMARY!$G12="","",SUMMARY!$G12)</f>
        <v>Scientific Reports</v>
      </c>
      <c r="H11" s="100" t="str">
        <f>IF(SUMMARY!$G13="","",SUMMARY!$G13)</f>
        <v>Scientific Reports</v>
      </c>
      <c r="I11" s="100" t="str">
        <f>IF(SUMMARY!$G14="","",SUMMARY!$G14)</f>
        <v xml:space="preserve">AIDS and Behaviour </v>
      </c>
      <c r="J11" s="100" t="str">
        <f>IF(SUMMARY!$G15="","",SUMMARY!$G15)</f>
        <v>Scientific Reports</v>
      </c>
      <c r="K11" s="100" t="str">
        <f>IF(SUMMARY!$G16="","",SUMMARY!$G16)</f>
        <v>medRxiv</v>
      </c>
      <c r="L11" s="100" t="str">
        <f>IF(SUMMARY!$G17="","",SUMMARY!$G17)</f>
        <v>J Meds Internet Res</v>
      </c>
      <c r="M11" s="100" t="str">
        <f>IF(SUMMARY!$G18="","",SUMMARY!$G18)</f>
        <v>Plos Global Public Health</v>
      </c>
      <c r="N11" s="100" t="str">
        <f>IF(SUMMARY!$G19="","",SUMMARY!$G19)</f>
        <v/>
      </c>
      <c r="O11" s="100" t="str">
        <f>IF(SUMMARY!$G20="","",SUMMARY!$G20)</f>
        <v/>
      </c>
      <c r="P11" s="100" t="str">
        <f>IF(SUMMARY!$G21="","",SUMMARY!$G21)</f>
        <v/>
      </c>
      <c r="Q11" s="100" t="str">
        <f>IF(SUMMARY!$G22="","",SUMMARY!$G22)</f>
        <v/>
      </c>
      <c r="R11" s="100" t="str">
        <f>IF(SUMMARY!$G23="","",SUMMARY!$G23)</f>
        <v/>
      </c>
      <c r="S11" s="100" t="str">
        <f>IF(SUMMARY!$G24="","",SUMMARY!$G24)</f>
        <v/>
      </c>
      <c r="T11" s="100" t="str">
        <f>IF(SUMMARY!$G25="","",SUMMARY!$G25)</f>
        <v/>
      </c>
      <c r="U11" s="100" t="str">
        <f>IF(SUMMARY!$G26="","",SUMMARY!$G26)</f>
        <v/>
      </c>
      <c r="V11" s="100" t="str">
        <f>IF(SUMMARY!$G27="","",SUMMARY!$G27)</f>
        <v/>
      </c>
      <c r="W11" s="100" t="str">
        <f>IF(SUMMARY!$G28="","",SUMMARY!$G28)</f>
        <v/>
      </c>
      <c r="X11" s="100" t="str">
        <f>IF(SUMMARY!$G29="","",SUMMARY!$G29)</f>
        <v/>
      </c>
      <c r="Y11" s="100" t="str">
        <f>IF(SUMMARY!$G30="","",SUMMARY!$G30)</f>
        <v/>
      </c>
      <c r="Z11" s="100" t="str">
        <f>IF(SUMMARY!$G31="","",SUMMARY!$G31)</f>
        <v/>
      </c>
      <c r="AA11" s="100" t="str">
        <f>IF(SUMMARY!$G32="","",SUMMARY!$G32)</f>
        <v/>
      </c>
      <c r="AB11" s="100" t="str">
        <f>IF(SUMMARY!$G33="","",SUMMARY!$G33)</f>
        <v/>
      </c>
      <c r="AC11" s="100" t="str">
        <f>IF(SUMMARY!$G34="","",SUMMARY!$G34)</f>
        <v/>
      </c>
      <c r="AD11" s="100" t="str">
        <f>IF(SUMMARY!$G35="","",SUMMARY!$G35)</f>
        <v/>
      </c>
      <c r="AE11" s="100" t="str">
        <f>IF(SUMMARY!$G36="","",SUMMARY!$G36)</f>
        <v/>
      </c>
    </row>
    <row r="12" spans="1:31" s="98" customFormat="1" ht="15" customHeight="1" x14ac:dyDescent="0.2">
      <c r="A12" s="101" t="s">
        <v>37</v>
      </c>
      <c r="B12" s="102" t="str">
        <f>IF(SUMMARY!$H7="","",SUMMARY!$H7)</f>
        <v>Extreme Gradient Boosting (XGBoost)</v>
      </c>
      <c r="C12" s="102" t="str">
        <f>IF(SUMMARY!$H8="","",SUMMARY!$H8)</f>
        <v>Adaptive Boosting (AdaBoost)</v>
      </c>
      <c r="D12" s="102" t="str">
        <f>IF(SUMMARY!$H9="","",SUMMARY!$H9)</f>
        <v>Categorical Boosting (CatBoost)</v>
      </c>
      <c r="E12" s="102" t="str">
        <f>IF(SUMMARY!$H10="","",SUMMARY!$H10)</f>
        <v>Random Forest</v>
      </c>
      <c r="F12" s="102" t="str">
        <f>IF(SUMMARY!$H11="","",SUMMARY!$H11)</f>
        <v>Extreme Gradient Boosting (XGBoost)</v>
      </c>
      <c r="G12" s="102" t="str">
        <f>IF(SUMMARY!$H12="","",SUMMARY!$H12)</f>
        <v>Random Forest</v>
      </c>
      <c r="H12" s="102" t="str">
        <f>IF(SUMMARY!$H13="","",SUMMARY!$H13)</f>
        <v>Decision Trees</v>
      </c>
      <c r="I12" s="102" t="str">
        <f>IF(SUMMARY!$H14="","",SUMMARY!$H14)</f>
        <v>Logistic regression</v>
      </c>
      <c r="J12" s="102" t="str">
        <f>IF(SUMMARY!$H15="","",SUMMARY!$H15)</f>
        <v>Adaptive Boosting (AdaBoost)</v>
      </c>
      <c r="K12" s="102" t="str">
        <f>IF(SUMMARY!$H16="","",SUMMARY!$H16)</f>
        <v>Adaptive Boosting (AdaBoost)</v>
      </c>
      <c r="L12" s="102" t="str">
        <f>IF(SUMMARY!$H17="","",SUMMARY!$H17)</f>
        <v>Random Forest</v>
      </c>
      <c r="M12" s="102" t="str">
        <f>IF(SUMMARY!$H18="","",SUMMARY!$H18)</f>
        <v>Essemble Decision Trees</v>
      </c>
      <c r="N12" s="102" t="str">
        <f>IF(SUMMARY!$H19="","",SUMMARY!$H19)</f>
        <v/>
      </c>
      <c r="O12" s="102" t="str">
        <f>IF(SUMMARY!$H20="","",SUMMARY!$H20)</f>
        <v/>
      </c>
      <c r="P12" s="102" t="str">
        <f>IF(SUMMARY!$H21="","",SUMMARY!$H21)</f>
        <v/>
      </c>
      <c r="Q12" s="102" t="str">
        <f>IF(SUMMARY!$H22="","",SUMMARY!$H22)</f>
        <v/>
      </c>
      <c r="R12" s="102" t="str">
        <f>IF(SUMMARY!$H23="","",SUMMARY!$H23)</f>
        <v/>
      </c>
      <c r="S12" s="102" t="str">
        <f>IF(SUMMARY!$H24="","",SUMMARY!$H24)</f>
        <v/>
      </c>
      <c r="T12" s="102" t="str">
        <f>IF(SUMMARY!$H25="","",SUMMARY!$H25)</f>
        <v/>
      </c>
      <c r="U12" s="102" t="str">
        <f>IF(SUMMARY!$H26="","",SUMMARY!$H26)</f>
        <v/>
      </c>
      <c r="V12" s="102" t="str">
        <f>IF(SUMMARY!$H27="","",SUMMARY!$H27)</f>
        <v/>
      </c>
      <c r="W12" s="102" t="str">
        <f>IF(SUMMARY!$H28="","",SUMMARY!$H28)</f>
        <v/>
      </c>
      <c r="X12" s="102" t="str">
        <f>IF(SUMMARY!$H29="","",SUMMARY!$H29)</f>
        <v/>
      </c>
      <c r="Y12" s="102" t="str">
        <f>IF(SUMMARY!$H30="","",SUMMARY!$H30)</f>
        <v/>
      </c>
      <c r="Z12" s="102" t="str">
        <f>IF(SUMMARY!$H31="","",SUMMARY!$H31)</f>
        <v/>
      </c>
      <c r="AA12" s="102" t="str">
        <f>IF(SUMMARY!$H32="","",SUMMARY!$H32)</f>
        <v/>
      </c>
      <c r="AB12" s="102" t="str">
        <f>IF(SUMMARY!$H33="","",SUMMARY!$H33)</f>
        <v/>
      </c>
      <c r="AC12" s="102" t="str">
        <f>IF(SUMMARY!$H34="","",SUMMARY!$H34)</f>
        <v/>
      </c>
      <c r="AD12" s="102" t="str">
        <f>IF(SUMMARY!$H35="","",SUMMARY!$H35)</f>
        <v/>
      </c>
      <c r="AE12" s="102" t="str">
        <f>IF(SUMMARY!$H36="","",SUMMARY!$H36)</f>
        <v/>
      </c>
    </row>
    <row r="13" spans="1:31" ht="18.75" customHeight="1" x14ac:dyDescent="0.2">
      <c r="A13" s="94" t="s">
        <v>153</v>
      </c>
      <c r="B13" s="95"/>
      <c r="C13" s="95"/>
      <c r="D13" s="95"/>
      <c r="E13" s="95"/>
      <c r="F13" s="95"/>
      <c r="G13" s="95"/>
      <c r="H13" s="95"/>
      <c r="I13" s="95"/>
      <c r="J13" s="95"/>
      <c r="K13" s="95"/>
      <c r="L13" s="95"/>
      <c r="M13" s="95"/>
      <c r="N13" s="95"/>
      <c r="O13" s="95"/>
      <c r="P13" s="95"/>
      <c r="Q13" s="95"/>
      <c r="R13" s="95"/>
      <c r="S13" s="95"/>
      <c r="T13" s="95"/>
      <c r="U13" s="95"/>
      <c r="V13" s="95"/>
      <c r="W13" s="95"/>
      <c r="X13" s="95"/>
      <c r="Y13" s="95"/>
      <c r="Z13" s="95"/>
      <c r="AA13" s="95"/>
      <c r="AB13" s="95"/>
      <c r="AC13" s="95"/>
      <c r="AD13" s="95"/>
      <c r="AE13" s="95"/>
    </row>
    <row r="14" spans="1:31" s="104" customFormat="1" ht="15" customHeight="1" x14ac:dyDescent="0.2">
      <c r="A14" s="103" t="s">
        <v>154</v>
      </c>
      <c r="B14" s="27" t="s">
        <v>67</v>
      </c>
      <c r="C14" s="27" t="s">
        <v>67</v>
      </c>
      <c r="D14" s="27" t="s">
        <v>67</v>
      </c>
      <c r="E14" s="27" t="s">
        <v>67</v>
      </c>
      <c r="F14" s="27" t="s">
        <v>67</v>
      </c>
      <c r="G14" s="27" t="s">
        <v>67</v>
      </c>
      <c r="H14" s="27" t="s">
        <v>67</v>
      </c>
      <c r="I14" s="27" t="s">
        <v>67</v>
      </c>
      <c r="J14" s="27" t="s">
        <v>67</v>
      </c>
      <c r="K14" s="27" t="s">
        <v>67</v>
      </c>
      <c r="L14" s="27" t="s">
        <v>67</v>
      </c>
      <c r="M14" s="27" t="s">
        <v>67</v>
      </c>
      <c r="N14" s="27"/>
      <c r="O14" s="27"/>
      <c r="P14" s="27"/>
      <c r="Q14" s="27"/>
      <c r="R14" s="27"/>
      <c r="S14" s="27"/>
      <c r="T14" s="27"/>
      <c r="U14" s="27"/>
      <c r="V14" s="27"/>
      <c r="W14" s="27"/>
      <c r="X14" s="27"/>
      <c r="Y14" s="27"/>
      <c r="Z14" s="27"/>
      <c r="AA14" s="27"/>
      <c r="AB14" s="27"/>
      <c r="AC14" s="27"/>
      <c r="AD14" s="27"/>
      <c r="AE14" s="27"/>
    </row>
    <row r="15" spans="1:31" s="104" customFormat="1" ht="15" customHeight="1" x14ac:dyDescent="0.2">
      <c r="A15" s="105" t="s">
        <v>156</v>
      </c>
      <c r="B15" s="28" t="s">
        <v>67</v>
      </c>
      <c r="C15" s="28" t="s">
        <v>67</v>
      </c>
      <c r="D15" s="28" t="s">
        <v>67</v>
      </c>
      <c r="E15" s="28" t="s">
        <v>67</v>
      </c>
      <c r="F15" s="28" t="s">
        <v>155</v>
      </c>
      <c r="G15" s="28" t="s">
        <v>67</v>
      </c>
      <c r="H15" s="28" t="s">
        <v>67</v>
      </c>
      <c r="I15" s="28" t="s">
        <v>157</v>
      </c>
      <c r="J15" s="28" t="s">
        <v>67</v>
      </c>
      <c r="K15" s="28" t="s">
        <v>67</v>
      </c>
      <c r="L15" s="28" t="s">
        <v>158</v>
      </c>
      <c r="M15" s="28" t="s">
        <v>157</v>
      </c>
      <c r="N15" s="28"/>
      <c r="O15" s="28"/>
      <c r="P15" s="28"/>
      <c r="Q15" s="28"/>
      <c r="R15" s="28"/>
      <c r="S15" s="28"/>
      <c r="T15" s="28"/>
      <c r="U15" s="28"/>
      <c r="V15" s="28"/>
      <c r="W15" s="28"/>
      <c r="X15" s="28"/>
      <c r="Y15" s="28"/>
      <c r="Z15" s="28"/>
      <c r="AA15" s="28"/>
      <c r="AB15" s="28"/>
      <c r="AC15" s="28"/>
      <c r="AD15" s="28"/>
      <c r="AE15" s="28"/>
    </row>
    <row r="16" spans="1:31" s="83" customFormat="1" ht="18.75" customHeight="1" x14ac:dyDescent="0.2">
      <c r="A16" s="106" t="s">
        <v>159</v>
      </c>
      <c r="B16" s="33" t="s">
        <v>161</v>
      </c>
      <c r="C16" s="33" t="s">
        <v>161</v>
      </c>
      <c r="D16" s="33" t="s">
        <v>161</v>
      </c>
      <c r="E16" s="33" t="s">
        <v>161</v>
      </c>
      <c r="F16" s="33" t="s">
        <v>161</v>
      </c>
      <c r="G16" s="33" t="s">
        <v>161</v>
      </c>
      <c r="H16" s="33" t="s">
        <v>161</v>
      </c>
      <c r="I16" s="33" t="s">
        <v>160</v>
      </c>
      <c r="J16" s="33" t="s">
        <v>161</v>
      </c>
      <c r="K16" s="33" t="s">
        <v>161</v>
      </c>
      <c r="L16" s="33" t="s">
        <v>160</v>
      </c>
      <c r="M16" s="33" t="s">
        <v>160</v>
      </c>
      <c r="N16" s="33"/>
      <c r="O16" s="33"/>
      <c r="P16" s="33"/>
      <c r="Q16" s="33"/>
      <c r="R16" s="33"/>
      <c r="S16" s="33"/>
      <c r="T16" s="33"/>
      <c r="U16" s="33"/>
      <c r="V16" s="33"/>
      <c r="W16" s="33"/>
      <c r="X16" s="33"/>
      <c r="Y16" s="33"/>
      <c r="Z16" s="33"/>
      <c r="AA16" s="33"/>
      <c r="AB16" s="33"/>
      <c r="AC16" s="33"/>
      <c r="AD16" s="33"/>
      <c r="AE16" s="33"/>
    </row>
    <row r="17" spans="1:31" s="83" customFormat="1" ht="18.75" customHeight="1" x14ac:dyDescent="0.2">
      <c r="A17" s="107" t="s">
        <v>162</v>
      </c>
      <c r="B17" s="34" t="s">
        <v>163</v>
      </c>
      <c r="C17" s="34" t="s">
        <v>163</v>
      </c>
      <c r="D17" s="34" t="s">
        <v>163</v>
      </c>
      <c r="E17" s="34" t="s">
        <v>163</v>
      </c>
      <c r="F17" s="34" t="s">
        <v>163</v>
      </c>
      <c r="G17" s="34" t="s">
        <v>163</v>
      </c>
      <c r="H17" s="34" t="s">
        <v>163</v>
      </c>
      <c r="I17" s="34" t="s">
        <v>164</v>
      </c>
      <c r="J17" s="34" t="s">
        <v>163</v>
      </c>
      <c r="K17" s="34" t="s">
        <v>163</v>
      </c>
      <c r="L17" s="34" t="s">
        <v>164</v>
      </c>
      <c r="M17" s="34" t="s">
        <v>163</v>
      </c>
      <c r="N17" s="34"/>
      <c r="O17" s="34"/>
      <c r="P17" s="34"/>
      <c r="Q17" s="34"/>
      <c r="R17" s="34"/>
      <c r="S17" s="34"/>
      <c r="T17" s="34"/>
      <c r="U17" s="34"/>
      <c r="V17" s="34"/>
      <c r="W17" s="34"/>
      <c r="X17" s="34"/>
      <c r="Y17" s="34"/>
      <c r="Z17" s="34"/>
      <c r="AA17" s="34"/>
      <c r="AB17" s="34"/>
      <c r="AC17" s="34"/>
      <c r="AD17" s="34"/>
      <c r="AE17" s="34"/>
    </row>
    <row r="18" spans="1:31" s="83" customFormat="1" ht="15" customHeight="1" x14ac:dyDescent="0.2">
      <c r="A18" s="108" t="s">
        <v>165</v>
      </c>
      <c r="B18" s="109"/>
      <c r="C18" s="109"/>
      <c r="D18" s="109"/>
      <c r="E18" s="109"/>
      <c r="F18" s="109"/>
      <c r="G18" s="109"/>
      <c r="H18" s="109"/>
      <c r="I18" s="109"/>
      <c r="J18" s="109"/>
      <c r="K18" s="109"/>
      <c r="L18" s="109"/>
      <c r="M18" s="109"/>
      <c r="N18" s="109"/>
      <c r="O18" s="109"/>
      <c r="P18" s="109"/>
      <c r="Q18" s="109"/>
      <c r="R18" s="109"/>
      <c r="S18" s="109"/>
      <c r="T18" s="109"/>
      <c r="U18" s="109"/>
      <c r="V18" s="109"/>
      <c r="W18" s="109"/>
      <c r="X18" s="109"/>
      <c r="Y18" s="109"/>
      <c r="Z18" s="109"/>
      <c r="AA18" s="109"/>
      <c r="AB18" s="109"/>
      <c r="AC18" s="109"/>
      <c r="AD18" s="109"/>
      <c r="AE18" s="109"/>
    </row>
    <row r="19" spans="1:31" s="83" customFormat="1" ht="15" customHeight="1" x14ac:dyDescent="0.2">
      <c r="A19" s="110" t="s">
        <v>166</v>
      </c>
      <c r="B19" s="111" t="str">
        <f>IF(HLOOKUP(B$6,CHARMS!$A$6:$CQ$92,9,)&lt;&gt;0,HLOOKUP(B$6,CHARMS!$A$6:$CQ$92,9,),"")</f>
        <v>Retrospective cohort</v>
      </c>
      <c r="C19" s="111" t="str">
        <f>IF(HLOOKUP(C$6,CHARMS!$A$6:$CQ$92,9,)&lt;&gt;0,HLOOKUP(C$6,CHARMS!$A$6:$CQ$92,9,),"")</f>
        <v>Existing registry</v>
      </c>
      <c r="D19" s="111" t="str">
        <f>IF(HLOOKUP(D$6,CHARMS!$A$6:$CQ$92,9,)&lt;&gt;0,HLOOKUP(D$6,CHARMS!$A$6:$CQ$92,9,),"")</f>
        <v>Existing registry</v>
      </c>
      <c r="E19" s="111" t="str">
        <f>IF(HLOOKUP(E$6,CHARMS!$A$6:$CQ$92,9,)&lt;&gt;0,HLOOKUP(E$6,CHARMS!$A$6:$CQ$92,9,),"")</f>
        <v>Retrospective cohort</v>
      </c>
      <c r="F19" s="111" t="str">
        <f>IF(HLOOKUP(F$6,CHARMS!$A$6:$CQ$92,9,)&lt;&gt;0,HLOOKUP(F$6,CHARMS!$A$6:$CQ$92,9,),"")</f>
        <v>Retrospective cohort</v>
      </c>
      <c r="G19" s="111" t="str">
        <f>IF(HLOOKUP(G$6,CHARMS!$A$6:$CQ$92,9,)&lt;&gt;0,HLOOKUP(G$6,CHARMS!$A$6:$CQ$92,9,),"")</f>
        <v>Retrospective cohort</v>
      </c>
      <c r="H19" s="111" t="str">
        <f>IF(HLOOKUP(H$6,CHARMS!$A$6:$CQ$92,9,)&lt;&gt;0,HLOOKUP(H$6,CHARMS!$A$6:$CQ$92,9,),"")</f>
        <v>Retrospective cohort</v>
      </c>
      <c r="I19" s="111" t="str">
        <f>IF(HLOOKUP(I$6,CHARMS!$A$6:$CQ$92,9,)&lt;&gt;0,HLOOKUP(I$6,CHARMS!$A$6:$CQ$92,9,),"")</f>
        <v>Retrospective cohort</v>
      </c>
      <c r="J19" s="111" t="str">
        <f>IF(HLOOKUP(J$6,CHARMS!$A$6:$CQ$92,9,)&lt;&gt;0,HLOOKUP(J$6,CHARMS!$A$6:$CQ$92,9,),"")</f>
        <v>Retrospective cohort</v>
      </c>
      <c r="K19" s="111" t="str">
        <f>IF(HLOOKUP(K$6,CHARMS!$A$6:$CQ$92,9,)&lt;&gt;0,HLOOKUP(K$6,CHARMS!$A$6:$CQ$92,9,),"")</f>
        <v>Retrospective cohort</v>
      </c>
      <c r="L19" s="111" t="str">
        <f>IF(HLOOKUP(L$6,CHARMS!$A$6:$CQ$92,9,)&lt;&gt;0,HLOOKUP(L$6,CHARMS!$A$6:$CQ$92,9,),"")</f>
        <v>Existing registry</v>
      </c>
      <c r="M19" s="111" t="str">
        <f>IF(HLOOKUP(M$6,CHARMS!$A$6:$CQ$92,9,)&lt;&gt;0,HLOOKUP(M$6,CHARMS!$A$6:$CQ$92,9,),"")</f>
        <v>Retrospective cohort</v>
      </c>
      <c r="N19" s="111" t="str">
        <f>IF(HLOOKUP(N$6,CHARMS!$A$6:$CQ$92,9,)&lt;&gt;0,HLOOKUP(N$6,CHARMS!$A$6:$CQ$92,9,),"")</f>
        <v/>
      </c>
      <c r="O19" s="111" t="str">
        <f>IF(HLOOKUP(O$6,CHARMS!$A$6:$CQ$92,9,)&lt;&gt;0,HLOOKUP(O$6,CHARMS!$A$6:$CQ$92,9,),"")</f>
        <v/>
      </c>
      <c r="P19" s="111" t="str">
        <f>IF(HLOOKUP(P$6,CHARMS!$A$6:$CQ$92,9,)&lt;&gt;0,HLOOKUP(P$6,CHARMS!$A$6:$CQ$92,9,),"")</f>
        <v/>
      </c>
      <c r="Q19" s="111" t="str">
        <f>IF(HLOOKUP(Q$6,CHARMS!$A$6:$CQ$92,9,)&lt;&gt;0,HLOOKUP(Q$6,CHARMS!$A$6:$CQ$92,9,),"")</f>
        <v/>
      </c>
      <c r="R19" s="111" t="str">
        <f>IF(HLOOKUP(R$6,CHARMS!$A$6:$CQ$92,9,)&lt;&gt;0,HLOOKUP(R$6,CHARMS!$A$6:$CQ$92,9,),"")</f>
        <v/>
      </c>
      <c r="S19" s="111" t="str">
        <f>IF(HLOOKUP(S$6,CHARMS!$A$6:$CQ$92,9,)&lt;&gt;0,HLOOKUP(S$6,CHARMS!$A$6:$CQ$92,9,),"")</f>
        <v/>
      </c>
      <c r="T19" s="111" t="str">
        <f>IF(HLOOKUP(T$6,CHARMS!$A$6:$CQ$92,9,)&lt;&gt;0,HLOOKUP(T$6,CHARMS!$A$6:$CQ$92,9,),"")</f>
        <v/>
      </c>
      <c r="U19" s="111" t="str">
        <f>IF(HLOOKUP(U$6,CHARMS!$A$6:$CQ$92,9,)&lt;&gt;0,HLOOKUP(U$6,CHARMS!$A$6:$CQ$92,9,),"")</f>
        <v/>
      </c>
      <c r="V19" s="111" t="str">
        <f>IF(HLOOKUP(V$6,CHARMS!$A$6:$CQ$92,9,)&lt;&gt;0,HLOOKUP(V$6,CHARMS!$A$6:$CQ$92,9,),"")</f>
        <v/>
      </c>
      <c r="W19" s="111" t="str">
        <f>IF(HLOOKUP(W$6,CHARMS!$A$6:$CQ$92,9,)&lt;&gt;0,HLOOKUP(W$6,CHARMS!$A$6:$CQ$92,9,),"")</f>
        <v/>
      </c>
      <c r="X19" s="111" t="str">
        <f>IF(HLOOKUP(X$6,CHARMS!$A$6:$CQ$92,9,)&lt;&gt;0,HLOOKUP(X$6,CHARMS!$A$6:$CQ$92,9,),"")</f>
        <v/>
      </c>
      <c r="Y19" s="111" t="str">
        <f>IF(HLOOKUP(Y$6,CHARMS!$A$6:$CQ$92,9,)&lt;&gt;0,HLOOKUP(Y$6,CHARMS!$A$6:$CQ$92,9,),"")</f>
        <v/>
      </c>
      <c r="Z19" s="111" t="str">
        <f>IF(HLOOKUP(Z$6,CHARMS!$A$6:$CQ$92,9,)&lt;&gt;0,HLOOKUP(Z$6,CHARMS!$A$6:$CQ$92,9,),"")</f>
        <v/>
      </c>
      <c r="AA19" s="111" t="str">
        <f>IF(HLOOKUP(AA$6,CHARMS!$A$6:$CQ$92,9,)&lt;&gt;0,HLOOKUP(AA$6,CHARMS!$A$6:$CQ$92,9,),"")</f>
        <v/>
      </c>
      <c r="AB19" s="111" t="str">
        <f>IF(HLOOKUP(AB$6,CHARMS!$A$6:$CQ$92,9,)&lt;&gt;0,HLOOKUP(AB$6,CHARMS!$A$6:$CQ$92,9,),"")</f>
        <v/>
      </c>
      <c r="AC19" s="111" t="str">
        <f>IF(HLOOKUP(AC$6,CHARMS!$A$6:$CQ$92,9,)&lt;&gt;0,HLOOKUP(AC$6,CHARMS!$A$6:$CQ$92,9,),"")</f>
        <v/>
      </c>
      <c r="AD19" s="111" t="str">
        <f>IF(HLOOKUP(AD$6,CHARMS!$A$6:$CQ$92,9,)&lt;&gt;0,HLOOKUP(AD$6,CHARMS!$A$6:$CQ$92,9,),"")</f>
        <v/>
      </c>
      <c r="AE19" s="111" t="str">
        <f>IF(HLOOKUP(AE$6,CHARMS!$A$6:$CQ$92,9,)&lt;&gt;0,HLOOKUP(AE$6,CHARMS!$A$6:$CQ$92,9,),"")</f>
        <v/>
      </c>
    </row>
    <row r="20" spans="1:31" s="83" customFormat="1" ht="15" customHeight="1" x14ac:dyDescent="0.2">
      <c r="A20" s="110" t="s">
        <v>167</v>
      </c>
      <c r="B20" s="111" t="str">
        <f>IF(HLOOKUP(B$6,CHARMS!$A$6:$CQ$92,11,)&lt;&gt;0,HLOOKUP(B$6,CHARMS!$A$6:$CQ$92,11,),"")</f>
        <v>Retrospective recruitment</v>
      </c>
      <c r="C20" s="111" t="str">
        <f>IF(HLOOKUP(C$6,CHARMS!$A$6:$CQ$92,11,)&lt;&gt;0,HLOOKUP(C$6,CHARMS!$A$6:$CQ$92,11,),"")</f>
        <v>Retrospective recruitment</v>
      </c>
      <c r="D20" s="111" t="str">
        <f>IF(HLOOKUP(D$6,CHARMS!$A$6:$CQ$92,11,)&lt;&gt;0,HLOOKUP(D$6,CHARMS!$A$6:$CQ$92,11,),"")</f>
        <v>Retrospective recruitment</v>
      </c>
      <c r="E20" s="111" t="str">
        <f>IF(HLOOKUP(E$6,CHARMS!$A$6:$CQ$92,11,)&lt;&gt;0,HLOOKUP(E$6,CHARMS!$A$6:$CQ$92,11,),"")</f>
        <v>Retrospective recruitment</v>
      </c>
      <c r="F20" s="111" t="str">
        <f>IF(HLOOKUP(F$6,CHARMS!$A$6:$CQ$92,11,)&lt;&gt;0,HLOOKUP(F$6,CHARMS!$A$6:$CQ$92,11,),"")</f>
        <v>Retrospective recruitment</v>
      </c>
      <c r="G20" s="111" t="str">
        <f>IF(HLOOKUP(G$6,CHARMS!$A$6:$CQ$92,11,)&lt;&gt;0,HLOOKUP(G$6,CHARMS!$A$6:$CQ$92,11,),"")</f>
        <v xml:space="preserve">Retrospecive recruitmrnt </v>
      </c>
      <c r="H20" s="111" t="str">
        <f>IF(HLOOKUP(H$6,CHARMS!$A$6:$CQ$92,11,)&lt;&gt;0,HLOOKUP(H$6,CHARMS!$A$6:$CQ$92,11,),"")</f>
        <v xml:space="preserve">Retrospective recruitment </v>
      </c>
      <c r="I20" s="111" t="str">
        <f>IF(HLOOKUP(I$6,CHARMS!$A$6:$CQ$92,11,)&lt;&gt;0,HLOOKUP(I$6,CHARMS!$A$6:$CQ$92,11,),"")</f>
        <v>purporsive recruitment</v>
      </c>
      <c r="J20" s="111" t="str">
        <f>IF(HLOOKUP(J$6,CHARMS!$A$6:$CQ$92,11,)&lt;&gt;0,HLOOKUP(J$6,CHARMS!$A$6:$CQ$92,11,),"")</f>
        <v>Prospective recruitment</v>
      </c>
      <c r="K20" s="111" t="str">
        <f>IF(HLOOKUP(K$6,CHARMS!$A$6:$CQ$92,11,)&lt;&gt;0,HLOOKUP(K$6,CHARMS!$A$6:$CQ$92,11,),"")</f>
        <v>Prospective recruitment</v>
      </c>
      <c r="L20" s="111" t="str">
        <f>IF(HLOOKUP(L$6,CHARMS!$A$6:$CQ$92,11,)&lt;&gt;0,HLOOKUP(L$6,CHARMS!$A$6:$CQ$92,11,),"")</f>
        <v>Propective recruitment</v>
      </c>
      <c r="M20" s="111" t="str">
        <f>IF(HLOOKUP(M$6,CHARMS!$A$6:$CQ$92,11,)&lt;&gt;0,HLOOKUP(M$6,CHARMS!$A$6:$CQ$92,11,),"")</f>
        <v>Prospective recruitment</v>
      </c>
      <c r="N20" s="111" t="str">
        <f>IF(HLOOKUP(N$6,CHARMS!$A$6:$CQ$92,11,)&lt;&gt;0,HLOOKUP(N$6,CHARMS!$A$6:$CQ$92,11,),"")</f>
        <v/>
      </c>
      <c r="O20" s="111" t="str">
        <f>IF(HLOOKUP(O$6,CHARMS!$A$6:$CQ$92,11,)&lt;&gt;0,HLOOKUP(O$6,CHARMS!$A$6:$CQ$92,11,),"")</f>
        <v/>
      </c>
      <c r="P20" s="111" t="str">
        <f>IF(HLOOKUP(P$6,CHARMS!$A$6:$CQ$92,11,)&lt;&gt;0,HLOOKUP(P$6,CHARMS!$A$6:$CQ$92,11,),"")</f>
        <v/>
      </c>
      <c r="Q20" s="111" t="str">
        <f>IF(HLOOKUP(Q$6,CHARMS!$A$6:$CQ$92,11,)&lt;&gt;0,HLOOKUP(Q$6,CHARMS!$A$6:$CQ$92,11,),"")</f>
        <v/>
      </c>
      <c r="R20" s="111" t="str">
        <f>IF(HLOOKUP(R$6,CHARMS!$A$6:$CQ$92,11,)&lt;&gt;0,HLOOKUP(R$6,CHARMS!$A$6:$CQ$92,11,),"")</f>
        <v/>
      </c>
      <c r="S20" s="111" t="str">
        <f>IF(HLOOKUP(S$6,CHARMS!$A$6:$CQ$92,11,)&lt;&gt;0,HLOOKUP(S$6,CHARMS!$A$6:$CQ$92,11,),"")</f>
        <v/>
      </c>
      <c r="T20" s="111" t="str">
        <f>IF(HLOOKUP(T$6,CHARMS!$A$6:$CQ$92,11,)&lt;&gt;0,HLOOKUP(T$6,CHARMS!$A$6:$CQ$92,11,),"")</f>
        <v/>
      </c>
      <c r="U20" s="111" t="str">
        <f>IF(HLOOKUP(U$6,CHARMS!$A$6:$CQ$92,11,)&lt;&gt;0,HLOOKUP(U$6,CHARMS!$A$6:$CQ$92,11,),"")</f>
        <v/>
      </c>
      <c r="V20" s="111" t="str">
        <f>IF(HLOOKUP(V$6,CHARMS!$A$6:$CQ$92,11,)&lt;&gt;0,HLOOKUP(V$6,CHARMS!$A$6:$CQ$92,11,),"")</f>
        <v/>
      </c>
      <c r="W20" s="111" t="str">
        <f>IF(HLOOKUP(W$6,CHARMS!$A$6:$CQ$92,11,)&lt;&gt;0,HLOOKUP(W$6,CHARMS!$A$6:$CQ$92,11,),"")</f>
        <v/>
      </c>
      <c r="X20" s="111" t="str">
        <f>IF(HLOOKUP(X$6,CHARMS!$A$6:$CQ$92,11,)&lt;&gt;0,HLOOKUP(X$6,CHARMS!$A$6:$CQ$92,11,),"")</f>
        <v/>
      </c>
      <c r="Y20" s="111" t="str">
        <f>IF(HLOOKUP(Y$6,CHARMS!$A$6:$CQ$92,11,)&lt;&gt;0,HLOOKUP(Y$6,CHARMS!$A$6:$CQ$92,11,),"")</f>
        <v/>
      </c>
      <c r="Z20" s="111" t="str">
        <f>IF(HLOOKUP(Z$6,CHARMS!$A$6:$CQ$92,11,)&lt;&gt;0,HLOOKUP(Z$6,CHARMS!$A$6:$CQ$92,11,),"")</f>
        <v/>
      </c>
      <c r="AA20" s="111" t="str">
        <f>IF(HLOOKUP(AA$6,CHARMS!$A$6:$CQ$92,11,)&lt;&gt;0,HLOOKUP(AA$6,CHARMS!$A$6:$CQ$92,11,),"")</f>
        <v/>
      </c>
      <c r="AB20" s="111" t="str">
        <f>IF(HLOOKUP(AB$6,CHARMS!$A$6:$CQ$92,11,)&lt;&gt;0,HLOOKUP(AB$6,CHARMS!$A$6:$CQ$92,11,),"")</f>
        <v/>
      </c>
      <c r="AC20" s="111" t="str">
        <f>IF(HLOOKUP(AC$6,CHARMS!$A$6:$CQ$92,11,)&lt;&gt;0,HLOOKUP(AC$6,CHARMS!$A$6:$CQ$92,11,),"")</f>
        <v/>
      </c>
      <c r="AD20" s="111" t="str">
        <f>IF(HLOOKUP(AD$6,CHARMS!$A$6:$CQ$92,11,)&lt;&gt;0,HLOOKUP(AD$6,CHARMS!$A$6:$CQ$92,11,),"")</f>
        <v/>
      </c>
      <c r="AE20" s="111" t="str">
        <f>IF(HLOOKUP(AE$6,CHARMS!$A$6:$CQ$92,11,)&lt;&gt;0,HLOOKUP(AE$6,CHARMS!$A$6:$CQ$92,11,),"")</f>
        <v/>
      </c>
    </row>
    <row r="21" spans="1:31" s="83" customFormat="1" ht="15" customHeight="1" x14ac:dyDescent="0.2">
      <c r="A21" s="110" t="s">
        <v>168</v>
      </c>
      <c r="B21" s="111" t="str">
        <f>IF(HLOOKUP(B$6,CHARMS!$A$6:$CQ$92,12,)&lt;&gt;0,HLOOKUP(B$6,CHARMS!$A$6:$CQ$92,12,),"")</f>
        <v>January 2005 to February 2021</v>
      </c>
      <c r="C21" s="111" t="str">
        <f>IF(HLOOKUP(C$6,CHARMS!$A$6:$CQ$92,12,)&lt;&gt;0,HLOOKUP(C$6,CHARMS!$A$6:$CQ$92,12,),"")</f>
        <v>January 1, 2017 to March 31, 2020</v>
      </c>
      <c r="D21" s="111" t="str">
        <f>IF(HLOOKUP(D$6,CHARMS!$A$6:$CQ$92,12,)&lt;&gt;0,HLOOKUP(D$6,CHARMS!$A$6:$CQ$92,12,),"")</f>
        <v>January 1, 2017 - October 1, 2018</v>
      </c>
      <c r="E21" s="111" t="str">
        <f>IF(HLOOKUP(E$6,CHARMS!$A$6:$CQ$92,12,)&lt;&gt;0,HLOOKUP(E$6,CHARMS!$A$6:$CQ$92,12,),"")</f>
        <v>January 1, 2010 -  November 28, 2019</v>
      </c>
      <c r="F21" s="111" t="str">
        <f>IF(HLOOKUP(F$6,CHARMS!$A$6:$CQ$92,12,)&lt;&gt;0,HLOOKUP(F$6,CHARMS!$A$6:$CQ$92,12,),"")</f>
        <v>January 1, 2010 -  November 28, 2019</v>
      </c>
      <c r="G21" s="111" t="str">
        <f>IF(HLOOKUP(G$6,CHARMS!$A$6:$CQ$92,12,)&lt;&gt;0,HLOOKUP(G$6,CHARMS!$A$6:$CQ$92,12,),"")</f>
        <v>January 1, 2008 to May 31, 2015</v>
      </c>
      <c r="H21" s="111" t="str">
        <f>IF(HLOOKUP(H$6,CHARMS!$A$6:$CQ$92,12,)&lt;&gt;0,HLOOKUP(H$6,CHARMS!$A$6:$CQ$92,12,),"")</f>
        <v>January 1, 2008 to May 31, 2015</v>
      </c>
      <c r="I21" s="111" t="str">
        <f>IF(HLOOKUP(I$6,CHARMS!$A$6:$CQ$92,12,)&lt;&gt;0,HLOOKUP(I$6,CHARMS!$A$6:$CQ$92,12,),"")</f>
        <v>2002 - 2015</v>
      </c>
      <c r="J21" s="111" t="str">
        <f>IF(HLOOKUP(J$6,CHARMS!$A$6:$CQ$92,12,)&lt;&gt;0,HLOOKUP(J$6,CHARMS!$A$6:$CQ$92,12,),"")</f>
        <v>January 2016 to December 2018</v>
      </c>
      <c r="K21" s="111" t="str">
        <f>IF(HLOOKUP(K$6,CHARMS!$A$6:$CQ$92,12,)&lt;&gt;0,HLOOKUP(K$6,CHARMS!$A$6:$CQ$92,12,),"")</f>
        <v>January 2016 - December 2018</v>
      </c>
      <c r="L21" s="111" t="str">
        <f>IF(HLOOKUP(L$6,CHARMS!$A$6:$CQ$92,12,)&lt;&gt;0,HLOOKUP(L$6,CHARMS!$A$6:$CQ$92,12,),"")</f>
        <v>Jan 21 - March 30, 2022</v>
      </c>
      <c r="M21" s="111">
        <f>IF(HLOOKUP(M$6,CHARMS!$A$6:$CQ$92,12,)&lt;&gt;0,HLOOKUP(M$6,CHARMS!$A$6:$CQ$92,12,),"")</f>
        <v>2018</v>
      </c>
      <c r="N21" s="111" t="str">
        <f>IF(HLOOKUP(N$6,CHARMS!$A$6:$CQ$92,12,)&lt;&gt;0,HLOOKUP(N$6,CHARMS!$A$6:$CQ$92,12,),"")</f>
        <v/>
      </c>
      <c r="O21" s="111" t="str">
        <f>IF(HLOOKUP(O$6,CHARMS!$A$6:$CQ$92,12,)&lt;&gt;0,HLOOKUP(O$6,CHARMS!$A$6:$CQ$92,12,),"")</f>
        <v/>
      </c>
      <c r="P21" s="111" t="str">
        <f>IF(HLOOKUP(P$6,CHARMS!$A$6:$CQ$92,12,)&lt;&gt;0,HLOOKUP(P$6,CHARMS!$A$6:$CQ$92,12,),"")</f>
        <v/>
      </c>
      <c r="Q21" s="111" t="str">
        <f>IF(HLOOKUP(Q$6,CHARMS!$A$6:$CQ$92,12,)&lt;&gt;0,HLOOKUP(Q$6,CHARMS!$A$6:$CQ$92,12,),"")</f>
        <v/>
      </c>
      <c r="R21" s="111" t="str">
        <f>IF(HLOOKUP(R$6,CHARMS!$A$6:$CQ$92,12,)&lt;&gt;0,HLOOKUP(R$6,CHARMS!$A$6:$CQ$92,12,),"")</f>
        <v/>
      </c>
      <c r="S21" s="111" t="str">
        <f>IF(HLOOKUP(S$6,CHARMS!$A$6:$CQ$92,12,)&lt;&gt;0,HLOOKUP(S$6,CHARMS!$A$6:$CQ$92,12,),"")</f>
        <v/>
      </c>
      <c r="T21" s="111" t="str">
        <f>IF(HLOOKUP(T$6,CHARMS!$A$6:$CQ$92,12,)&lt;&gt;0,HLOOKUP(T$6,CHARMS!$A$6:$CQ$92,12,),"")</f>
        <v/>
      </c>
      <c r="U21" s="111" t="str">
        <f>IF(HLOOKUP(U$6,CHARMS!$A$6:$CQ$92,12,)&lt;&gt;0,HLOOKUP(U$6,CHARMS!$A$6:$CQ$92,12,),"")</f>
        <v/>
      </c>
      <c r="V21" s="111" t="str">
        <f>IF(HLOOKUP(V$6,CHARMS!$A$6:$CQ$92,12,)&lt;&gt;0,HLOOKUP(V$6,CHARMS!$A$6:$CQ$92,12,),"")</f>
        <v/>
      </c>
      <c r="W21" s="111" t="str">
        <f>IF(HLOOKUP(W$6,CHARMS!$A$6:$CQ$92,12,)&lt;&gt;0,HLOOKUP(W$6,CHARMS!$A$6:$CQ$92,12,),"")</f>
        <v/>
      </c>
      <c r="X21" s="111" t="str">
        <f>IF(HLOOKUP(X$6,CHARMS!$A$6:$CQ$92,12,)&lt;&gt;0,HLOOKUP(X$6,CHARMS!$A$6:$CQ$92,12,),"")</f>
        <v/>
      </c>
      <c r="Y21" s="111" t="str">
        <f>IF(HLOOKUP(Y$6,CHARMS!$A$6:$CQ$92,12,)&lt;&gt;0,HLOOKUP(Y$6,CHARMS!$A$6:$CQ$92,12,),"")</f>
        <v/>
      </c>
      <c r="Z21" s="111" t="str">
        <f>IF(HLOOKUP(Z$6,CHARMS!$A$6:$CQ$92,12,)&lt;&gt;0,HLOOKUP(Z$6,CHARMS!$A$6:$CQ$92,12,),"")</f>
        <v/>
      </c>
      <c r="AA21" s="111" t="str">
        <f>IF(HLOOKUP(AA$6,CHARMS!$A$6:$CQ$92,12,)&lt;&gt;0,HLOOKUP(AA$6,CHARMS!$A$6:$CQ$92,12,),"")</f>
        <v/>
      </c>
      <c r="AB21" s="111" t="str">
        <f>IF(HLOOKUP(AB$6,CHARMS!$A$6:$CQ$92,12,)&lt;&gt;0,HLOOKUP(AB$6,CHARMS!$A$6:$CQ$92,12,),"")</f>
        <v/>
      </c>
      <c r="AC21" s="111" t="str">
        <f>IF(HLOOKUP(AC$6,CHARMS!$A$6:$CQ$92,12,)&lt;&gt;0,HLOOKUP(AC$6,CHARMS!$A$6:$CQ$92,12,),"")</f>
        <v/>
      </c>
      <c r="AD21" s="111" t="str">
        <f>IF(HLOOKUP(AD$6,CHARMS!$A$6:$CQ$92,12,)&lt;&gt;0,HLOOKUP(AD$6,CHARMS!$A$6:$CQ$92,12,),"")</f>
        <v/>
      </c>
      <c r="AE21" s="111" t="str">
        <f>IF(HLOOKUP(AE$6,CHARMS!$A$6:$CQ$92,12,)&lt;&gt;0,HLOOKUP(AE$6,CHARMS!$A$6:$CQ$92,12,),"")</f>
        <v/>
      </c>
    </row>
    <row r="22" spans="1:31" s="83" customFormat="1" ht="15" customHeight="1" x14ac:dyDescent="0.2">
      <c r="A22" s="110" t="s">
        <v>169</v>
      </c>
      <c r="B22" s="111" t="str">
        <f>IF(HLOOKUP(B$6,CHARMS!$A$6:$CQ$92,13,)&lt;&gt;0,HLOOKUP(B$6,CHARMS!$A$6:$CQ$92,13,),"")</f>
        <v>Health facility</v>
      </c>
      <c r="C22" s="111" t="str">
        <f>IF(HLOOKUP(C$6,CHARMS!$A$6:$CQ$92,13,)&lt;&gt;0,HLOOKUP(C$6,CHARMS!$A$6:$CQ$92,13,),"")</f>
        <v>Public health faciliities</v>
      </c>
      <c r="D22" s="111" t="str">
        <f>IF(HLOOKUP(D$6,CHARMS!$A$6:$CQ$92,13,)&lt;&gt;0,HLOOKUP(D$6,CHARMS!$A$6:$CQ$92,13,),"")</f>
        <v>Public health faciliities</v>
      </c>
      <c r="E22" s="111" t="str">
        <f>IF(HLOOKUP(E$6,CHARMS!$A$6:$CQ$92,13,)&lt;&gt;0,HLOOKUP(E$6,CHARMS!$A$6:$CQ$92,13,),"")</f>
        <v>Public Sector ART clinics</v>
      </c>
      <c r="F22" s="111" t="str">
        <f>IF(HLOOKUP(F$6,CHARMS!$A$6:$CQ$92,13,)&lt;&gt;0,HLOOKUP(F$6,CHARMS!$A$6:$CQ$92,13,),"")</f>
        <v>Public Sector ART clinics</v>
      </c>
      <c r="G22" s="111" t="str">
        <f>IF(HLOOKUP(G$6,CHARMS!$A$6:$CQ$92,13,)&lt;&gt;0,HLOOKUP(G$6,CHARMS!$A$6:$CQ$92,13,),"")</f>
        <v>University of Chicago HIV care clinic</v>
      </c>
      <c r="H22" s="111" t="str">
        <f>IF(HLOOKUP(H$6,CHARMS!$A$6:$CQ$92,13,)&lt;&gt;0,HLOOKUP(H$6,CHARMS!$A$6:$CQ$92,13,),"")</f>
        <v>University of Chicago HIV care clinic</v>
      </c>
      <c r="I22" s="111" t="str">
        <f>IF(HLOOKUP(I$6,CHARMS!$A$6:$CQ$92,13,)&lt;&gt;0,HLOOKUP(I$6,CHARMS!$A$6:$CQ$92,13,),"")</f>
        <v>US-based HIV primary care clinics</v>
      </c>
      <c r="J22" s="111" t="str">
        <f>IF(HLOOKUP(J$6,CHARMS!$A$6:$CQ$92,13,)&lt;&gt;0,HLOOKUP(J$6,CHARMS!$A$6:$CQ$92,13,),"")</f>
        <v>Public Sector HIV care facilities</v>
      </c>
      <c r="K22" s="111" t="str">
        <f>IF(HLOOKUP(K$6,CHARMS!$A$6:$CQ$92,13,)&lt;&gt;0,HLOOKUP(K$6,CHARMS!$A$6:$CQ$92,13,),"")</f>
        <v>Public Sector HIV care facilities</v>
      </c>
      <c r="L22" s="111" t="str">
        <f>IF(HLOOKUP(L$6,CHARMS!$A$6:$CQ$92,13,)&lt;&gt;0,HLOOKUP(L$6,CHARMS!$A$6:$CQ$92,13,),"")</f>
        <v>Hospital in a university</v>
      </c>
      <c r="M22" s="111" t="str">
        <f>IF(HLOOKUP(M$6,CHARMS!$A$6:$CQ$92,13,)&lt;&gt;0,HLOOKUP(M$6,CHARMS!$A$6:$CQ$92,13,),"")</f>
        <v>HIV care center</v>
      </c>
      <c r="N22" s="111" t="str">
        <f>IF(HLOOKUP(N$6,CHARMS!$A$6:$CQ$92,13,)&lt;&gt;0,HLOOKUP(N$6,CHARMS!$A$6:$CQ$92,13,),"")</f>
        <v/>
      </c>
      <c r="O22" s="111" t="str">
        <f>IF(HLOOKUP(O$6,CHARMS!$A$6:$CQ$92,13,)&lt;&gt;0,HLOOKUP(O$6,CHARMS!$A$6:$CQ$92,13,),"")</f>
        <v/>
      </c>
      <c r="P22" s="111" t="str">
        <f>IF(HLOOKUP(P$6,CHARMS!$A$6:$CQ$92,13,)&lt;&gt;0,HLOOKUP(P$6,CHARMS!$A$6:$CQ$92,13,),"")</f>
        <v/>
      </c>
      <c r="Q22" s="111" t="str">
        <f>IF(HLOOKUP(Q$6,CHARMS!$A$6:$CQ$92,13,)&lt;&gt;0,HLOOKUP(Q$6,CHARMS!$A$6:$CQ$92,13,),"")</f>
        <v/>
      </c>
      <c r="R22" s="111" t="str">
        <f>IF(HLOOKUP(R$6,CHARMS!$A$6:$CQ$92,13,)&lt;&gt;0,HLOOKUP(R$6,CHARMS!$A$6:$CQ$92,13,),"")</f>
        <v/>
      </c>
      <c r="S22" s="111" t="str">
        <f>IF(HLOOKUP(S$6,CHARMS!$A$6:$CQ$92,13,)&lt;&gt;0,HLOOKUP(S$6,CHARMS!$A$6:$CQ$92,13,),"")</f>
        <v/>
      </c>
      <c r="T22" s="111" t="str">
        <f>IF(HLOOKUP(T$6,CHARMS!$A$6:$CQ$92,13,)&lt;&gt;0,HLOOKUP(T$6,CHARMS!$A$6:$CQ$92,13,),"")</f>
        <v/>
      </c>
      <c r="U22" s="111" t="str">
        <f>IF(HLOOKUP(U$6,CHARMS!$A$6:$CQ$92,13,)&lt;&gt;0,HLOOKUP(U$6,CHARMS!$A$6:$CQ$92,13,),"")</f>
        <v/>
      </c>
      <c r="V22" s="111" t="str">
        <f>IF(HLOOKUP(V$6,CHARMS!$A$6:$CQ$92,13,)&lt;&gt;0,HLOOKUP(V$6,CHARMS!$A$6:$CQ$92,13,),"")</f>
        <v/>
      </c>
      <c r="W22" s="111" t="str">
        <f>IF(HLOOKUP(W$6,CHARMS!$A$6:$CQ$92,13,)&lt;&gt;0,HLOOKUP(W$6,CHARMS!$A$6:$CQ$92,13,),"")</f>
        <v/>
      </c>
      <c r="X22" s="111" t="str">
        <f>IF(HLOOKUP(X$6,CHARMS!$A$6:$CQ$92,13,)&lt;&gt;0,HLOOKUP(X$6,CHARMS!$A$6:$CQ$92,13,),"")</f>
        <v/>
      </c>
      <c r="Y22" s="111" t="str">
        <f>IF(HLOOKUP(Y$6,CHARMS!$A$6:$CQ$92,13,)&lt;&gt;0,HLOOKUP(Y$6,CHARMS!$A$6:$CQ$92,13,),"")</f>
        <v/>
      </c>
      <c r="Z22" s="111" t="str">
        <f>IF(HLOOKUP(Z$6,CHARMS!$A$6:$CQ$92,13,)&lt;&gt;0,HLOOKUP(Z$6,CHARMS!$A$6:$CQ$92,13,),"")</f>
        <v/>
      </c>
      <c r="AA22" s="111" t="str">
        <f>IF(HLOOKUP(AA$6,CHARMS!$A$6:$CQ$92,13,)&lt;&gt;0,HLOOKUP(AA$6,CHARMS!$A$6:$CQ$92,13,),"")</f>
        <v/>
      </c>
      <c r="AB22" s="111" t="str">
        <f>IF(HLOOKUP(AB$6,CHARMS!$A$6:$CQ$92,13,)&lt;&gt;0,HLOOKUP(AB$6,CHARMS!$A$6:$CQ$92,13,),"")</f>
        <v/>
      </c>
      <c r="AC22" s="111" t="str">
        <f>IF(HLOOKUP(AC$6,CHARMS!$A$6:$CQ$92,13,)&lt;&gt;0,HLOOKUP(AC$6,CHARMS!$A$6:$CQ$92,13,),"")</f>
        <v/>
      </c>
      <c r="AD22" s="111" t="str">
        <f>IF(HLOOKUP(AD$6,CHARMS!$A$6:$CQ$92,13,)&lt;&gt;0,HLOOKUP(AD$6,CHARMS!$A$6:$CQ$92,13,),"")</f>
        <v/>
      </c>
      <c r="AE22" s="111" t="str">
        <f>IF(HLOOKUP(AE$6,CHARMS!$A$6:$CQ$92,13,)&lt;&gt;0,HLOOKUP(AE$6,CHARMS!$A$6:$CQ$92,13,),"")</f>
        <v/>
      </c>
    </row>
    <row r="23" spans="1:31" s="83" customFormat="1" ht="48.75" customHeight="1" x14ac:dyDescent="0.2">
      <c r="A23" s="110" t="s">
        <v>170</v>
      </c>
      <c r="B23" s="111" t="str">
        <f>IF(HLOOKUP(B$6,CHARMS!$A$6:$CQ$92,16,)&lt;&gt;0,HLOOKUP(B$6,CHARMS!$A$6:$CQ$92,16,),"")</f>
        <v>All patients aged 21-35 years, newly enrooled on ART and provided 30-day supply of ARVs at one of the SIDHAS-supported treatment facilities</v>
      </c>
      <c r="C23" s="111" t="str">
        <f>IF(HLOOKUP(C$6,CHARMS!$A$6:$CQ$92,16,)&lt;&gt;0,HLOOKUP(C$6,CHARMS!$A$6:$CQ$92,16,),"")</f>
        <v>Participants were the newly initiated on ART between January 2017 to October 2018 who had at least 18 months of observation before the study's end date of 31st March 2020.</v>
      </c>
      <c r="D23" s="111" t="str">
        <f>IF(HLOOKUP(D$6,CHARMS!$A$6:$CQ$92,16,)&lt;&gt;0,HLOOKUP(D$6,CHARMS!$A$6:$CQ$92,16,),"")</f>
        <v>Participants were the newly initiated on ART between January 2017 to October 2018 who had at least 18 months of observation before the study's end date of 31st March 2020.</v>
      </c>
      <c r="E23" s="111" t="str">
        <f>IF(HLOOKUP(E$6,CHARMS!$A$6:$CQ$92,16,)&lt;&gt;0,HLOOKUP(E$6,CHARMS!$A$6:$CQ$92,16,),"")</f>
        <v>Patient enrolled in ART care at PEPFAR-suported clinics in Mozambique</v>
      </c>
      <c r="F23" s="111" t="str">
        <f>IF(HLOOKUP(F$6,CHARMS!$A$6:$CQ$92,16,)&lt;&gt;0,HLOOKUP(F$6,CHARMS!$A$6:$CQ$92,16,),"")</f>
        <v>Included only records for all patients newly initiated on ART between 1st January 2017 to 1st October 2018</v>
      </c>
      <c r="G23" s="111" t="str">
        <f>IF(HLOOKUP(G$6,CHARMS!$A$6:$CQ$92,16,)&lt;&gt;0,HLOOKUP(G$6,CHARMS!$A$6:$CQ$92,16,),"")</f>
        <v>18 years and &gt; HIV positive individuals who attended at least one medical appointment at the university of Chicago adult HIV care clinic between 1st January 2008 and 31st May 2025</v>
      </c>
      <c r="H23" s="111" t="str">
        <f>IF(HLOOKUP(H$6,CHARMS!$A$6:$CQ$92,16,)&lt;&gt;0,HLOOKUP(H$6,CHARMS!$A$6:$CQ$92,16,),"")</f>
        <v>18 years and &gt; HIV positive individuals who attended at least one medical appointment at the university of Chicago adult HIV care clinic between 1st January 2008 and 31st May 2025</v>
      </c>
      <c r="I23" s="111" t="str">
        <f>IF(HLOOKUP(I$6,CHARMS!$A$6:$CQ$92,16,)&lt;&gt;0,HLOOKUP(I$6,CHARMS!$A$6:$CQ$92,16,),"")</f>
        <v>All CNICS patients who attended 2 or more HIV primary care appointments in 2002 - 2015 at 6 CNICS sites</v>
      </c>
      <c r="J23" s="111" t="str">
        <f>IF(HLOOKUP(J$6,CHARMS!$A$6:$CQ$92,16,)&lt;&gt;0,HLOOKUP(J$6,CHARMS!$A$6:$CQ$92,16,),"")</f>
        <v>Patients who accessed HIV care and had at least one recorded clinic visit during 2016-2018</v>
      </c>
      <c r="K23" s="111" t="str">
        <f>IF(HLOOKUP(K$6,CHARMS!$A$6:$CQ$92,16,)&lt;&gt;0,HLOOKUP(K$6,CHARMS!$A$6:$CQ$92,16,),"")</f>
        <v>We restricted the analysis to visits scheduled a minimum of three months prior to the database censor date to allow for one month to meet the outcome definition and a further two months to allow for capturing visit data into the EMR</v>
      </c>
      <c r="L23" s="111" t="str">
        <f>IF(HLOOKUP(L$6,CHARMS!$A$6:$CQ$92,16,)&lt;&gt;0,HLOOKUP(L$6,CHARMS!$A$6:$CQ$92,16,),"")</f>
        <v>Unclear</v>
      </c>
      <c r="M23" s="111" t="str">
        <f>IF(HLOOKUP(M$6,CHARMS!$A$6:$CQ$92,16,)&lt;&gt;0,HLOOKUP(M$6,CHARMS!$A$6:$CQ$92,16,),"")</f>
        <v>HIV-positive individuals aged 18 years or older who had initiated ART within the past 30 days were recruited during routine clinic visits in 2018</v>
      </c>
      <c r="N23" s="111" t="str">
        <f>IF(HLOOKUP(N$6,CHARMS!$A$6:$CQ$92,16,)&lt;&gt;0,HLOOKUP(N$6,CHARMS!$A$6:$CQ$92,16,),"")</f>
        <v/>
      </c>
      <c r="O23" s="111" t="str">
        <f>IF(HLOOKUP(O$6,CHARMS!$A$6:$CQ$92,16,)&lt;&gt;0,HLOOKUP(O$6,CHARMS!$A$6:$CQ$92,16,),"")</f>
        <v/>
      </c>
      <c r="P23" s="111" t="str">
        <f>IF(HLOOKUP(P$6,CHARMS!$A$6:$CQ$92,16,)&lt;&gt;0,HLOOKUP(P$6,CHARMS!$A$6:$CQ$92,16,),"")</f>
        <v/>
      </c>
      <c r="Q23" s="111" t="str">
        <f>IF(HLOOKUP(Q$6,CHARMS!$A$6:$CQ$92,16,)&lt;&gt;0,HLOOKUP(Q$6,CHARMS!$A$6:$CQ$92,16,),"")</f>
        <v/>
      </c>
      <c r="R23" s="111" t="str">
        <f>IF(HLOOKUP(R$6,CHARMS!$A$6:$CQ$92,16,)&lt;&gt;0,HLOOKUP(R$6,CHARMS!$A$6:$CQ$92,16,),"")</f>
        <v/>
      </c>
      <c r="S23" s="111" t="str">
        <f>IF(HLOOKUP(S$6,CHARMS!$A$6:$CQ$92,16,)&lt;&gt;0,HLOOKUP(S$6,CHARMS!$A$6:$CQ$92,16,),"")</f>
        <v/>
      </c>
      <c r="T23" s="111" t="str">
        <f>IF(HLOOKUP(T$6,CHARMS!$A$6:$CQ$92,16,)&lt;&gt;0,HLOOKUP(T$6,CHARMS!$A$6:$CQ$92,16,),"")</f>
        <v/>
      </c>
      <c r="U23" s="111" t="str">
        <f>IF(HLOOKUP(U$6,CHARMS!$A$6:$CQ$92,16,)&lt;&gt;0,HLOOKUP(U$6,CHARMS!$A$6:$CQ$92,16,),"")</f>
        <v/>
      </c>
      <c r="V23" s="111" t="str">
        <f>IF(HLOOKUP(V$6,CHARMS!$A$6:$CQ$92,16,)&lt;&gt;0,HLOOKUP(V$6,CHARMS!$A$6:$CQ$92,16,),"")</f>
        <v/>
      </c>
      <c r="W23" s="111" t="str">
        <f>IF(HLOOKUP(W$6,CHARMS!$A$6:$CQ$92,16,)&lt;&gt;0,HLOOKUP(W$6,CHARMS!$A$6:$CQ$92,16,),"")</f>
        <v/>
      </c>
      <c r="X23" s="111" t="str">
        <f>IF(HLOOKUP(X$6,CHARMS!$A$6:$CQ$92,16,)&lt;&gt;0,HLOOKUP(X$6,CHARMS!$A$6:$CQ$92,16,),"")</f>
        <v/>
      </c>
      <c r="Y23" s="111" t="str">
        <f>IF(HLOOKUP(Y$6,CHARMS!$A$6:$CQ$92,16,)&lt;&gt;0,HLOOKUP(Y$6,CHARMS!$A$6:$CQ$92,16,),"")</f>
        <v/>
      </c>
      <c r="Z23" s="111" t="str">
        <f>IF(HLOOKUP(Z$6,CHARMS!$A$6:$CQ$92,16,)&lt;&gt;0,HLOOKUP(Z$6,CHARMS!$A$6:$CQ$92,16,),"")</f>
        <v/>
      </c>
      <c r="AA23" s="111" t="str">
        <f>IF(HLOOKUP(AA$6,CHARMS!$A$6:$CQ$92,16,)&lt;&gt;0,HLOOKUP(AA$6,CHARMS!$A$6:$CQ$92,16,),"")</f>
        <v/>
      </c>
      <c r="AB23" s="111" t="str">
        <f>IF(HLOOKUP(AB$6,CHARMS!$A$6:$CQ$92,16,)&lt;&gt;0,HLOOKUP(AB$6,CHARMS!$A$6:$CQ$92,16,),"")</f>
        <v/>
      </c>
      <c r="AC23" s="111" t="str">
        <f>IF(HLOOKUP(AC$6,CHARMS!$A$6:$CQ$92,16,)&lt;&gt;0,HLOOKUP(AC$6,CHARMS!$A$6:$CQ$92,16,),"")</f>
        <v/>
      </c>
      <c r="AD23" s="111" t="str">
        <f>IF(HLOOKUP(AD$6,CHARMS!$A$6:$CQ$92,16,)&lt;&gt;0,HLOOKUP(AD$6,CHARMS!$A$6:$CQ$92,16,),"")</f>
        <v/>
      </c>
      <c r="AE23" s="111" t="str">
        <f>IF(HLOOKUP(AE$6,CHARMS!$A$6:$CQ$92,16,)&lt;&gt;0,HLOOKUP(AE$6,CHARMS!$A$6:$CQ$92,16,),"")</f>
        <v/>
      </c>
    </row>
    <row r="24" spans="1:31" s="83" customFormat="1" ht="48.75" customHeight="1" x14ac:dyDescent="0.2">
      <c r="A24" s="112" t="s">
        <v>171</v>
      </c>
      <c r="B24" s="113" t="str">
        <f>IF(HLOOKUP(B$6,CHARMS!$A$6:$CQ$92,17,)&lt;&gt;0,HLOOKUP(B$6,CHARMS!$A$6:$CQ$92,17,),"")</f>
        <v>Participants transferred in from other facilities; participants enrrolled too recently to have an observed end point and date of next appointment after enrollment was missing.</v>
      </c>
      <c r="C24" s="113" t="str">
        <f>IF(HLOOKUP(C$6,CHARMS!$A$6:$CQ$92,17,)&lt;&gt;0,HLOOKUP(C$6,CHARMS!$A$6:$CQ$92,17,),"")</f>
        <v>Patients who had transferred out to different facilities, patients who had died, pre-ART visits, patients with at least one missing or incorrectly captured visit</v>
      </c>
      <c r="D24" s="113" t="str">
        <f>IF(HLOOKUP(D$6,CHARMS!$A$6:$CQ$92,17,)&lt;&gt;0,HLOOKUP(D$6,CHARMS!$A$6:$CQ$92,17,),"")</f>
        <v>Patients who had transferred out to different facilities, patients who had died, pre-ART visits, patients with at least one missing or incorrectly captured visit</v>
      </c>
      <c r="E24" s="113" t="str">
        <f>IF(HLOOKUP(E$6,CHARMS!$A$6:$CQ$92,17,)&lt;&gt;0,HLOOKUP(E$6,CHARMS!$A$6:$CQ$92,17,),"")</f>
        <v>Patients with missing critical data such as incomplete clinical or pharmacy visit records and patients who were not actively enrolled in ART or those who did not meet he defined threshhold  for being late for visits (more than 28 days late)</v>
      </c>
      <c r="F24" s="113" t="str">
        <f>IF(HLOOKUP(F$6,CHARMS!$A$6:$CQ$92,17,)&lt;&gt;0,HLOOKUP(F$6,CHARMS!$A$6:$CQ$92,17,),"")</f>
        <v>Patients with missing critical data such as incomplete clinical or pharmacy visit records and patients who were not actively enrolled in ART or those who did not meet he defined threshhold  for being late for visits (more than 28 days late)</v>
      </c>
      <c r="G24" s="113" t="str">
        <f>IF(HLOOKUP(G$6,CHARMS!$A$6:$CQ$92,17,)&lt;&gt;0,HLOOKUP(G$6,CHARMS!$A$6:$CQ$92,17,),"")</f>
        <v>All other outpatients appointments, hospitalisations and emergency departments visits within the University of Chicago clinic</v>
      </c>
      <c r="H24" s="113" t="str">
        <f>IF(HLOOKUP(H$6,CHARMS!$A$6:$CQ$92,17,)&lt;&gt;0,HLOOKUP(H$6,CHARMS!$A$6:$CQ$92,17,),"")</f>
        <v>All other outpatients appointments, hospitalisations and emergency departments visits within the University of Chicago clinic</v>
      </c>
      <c r="I24" s="113" t="str">
        <f>IF(HLOOKUP(I$6,CHARMS!$A$6:$CQ$92,17,)&lt;&gt;0,HLOOKUP(I$6,CHARMS!$A$6:$CQ$92,17,),"")</f>
        <v>Unclear</v>
      </c>
      <c r="J24" s="113" t="str">
        <f>IF(HLOOKUP(J$6,CHARMS!$A$6:$CQ$92,17,)&lt;&gt;0,HLOOKUP(J$6,CHARMS!$A$6:$CQ$92,17,),"")</f>
        <v>Patients with no clinic visit recorded during the study period, invalid visit observations, missing next appointment dates</v>
      </c>
      <c r="K24" s="113" t="str">
        <f>IF(HLOOKUP(K$6,CHARMS!$A$6:$CQ$92,17,)&lt;&gt;0,HLOOKUP(K$6,CHARMS!$A$6:$CQ$92,17,),"")</f>
        <v>Unclear</v>
      </c>
      <c r="L24" s="113" t="str">
        <f>IF(HLOOKUP(L$6,CHARMS!$A$6:$CQ$92,17,)&lt;&gt;0,HLOOKUP(L$6,CHARMS!$A$6:$CQ$92,17,),"")</f>
        <v>Unclear</v>
      </c>
      <c r="M24" s="113" t="str">
        <f>IF(HLOOKUP(M$6,CHARMS!$A$6:$CQ$92,17,)&lt;&gt;0,HLOOKUP(M$6,CHARMS!$A$6:$CQ$92,17,),"")</f>
        <v>Unclear</v>
      </c>
      <c r="N24" s="113" t="str">
        <f>IF(HLOOKUP(N$6,CHARMS!$A$6:$CQ$92,17,)&lt;&gt;0,HLOOKUP(N$6,CHARMS!$A$6:$CQ$92,17,),"")</f>
        <v/>
      </c>
      <c r="O24" s="113" t="str">
        <f>IF(HLOOKUP(O$6,CHARMS!$A$6:$CQ$92,17,)&lt;&gt;0,HLOOKUP(O$6,CHARMS!$A$6:$CQ$92,17,),"")</f>
        <v/>
      </c>
      <c r="P24" s="113" t="str">
        <f>IF(HLOOKUP(P$6,CHARMS!$A$6:$CQ$92,17,)&lt;&gt;0,HLOOKUP(P$6,CHARMS!$A$6:$CQ$92,17,),"")</f>
        <v/>
      </c>
      <c r="Q24" s="113" t="str">
        <f>IF(HLOOKUP(Q$6,CHARMS!$A$6:$CQ$92,17,)&lt;&gt;0,HLOOKUP(Q$6,CHARMS!$A$6:$CQ$92,17,),"")</f>
        <v/>
      </c>
      <c r="R24" s="113" t="str">
        <f>IF(HLOOKUP(R$6,CHARMS!$A$6:$CQ$92,17,)&lt;&gt;0,HLOOKUP(R$6,CHARMS!$A$6:$CQ$92,17,),"")</f>
        <v/>
      </c>
      <c r="S24" s="113" t="str">
        <f>IF(HLOOKUP(S$6,CHARMS!$A$6:$CQ$92,17,)&lt;&gt;0,HLOOKUP(S$6,CHARMS!$A$6:$CQ$92,17,),"")</f>
        <v/>
      </c>
      <c r="T24" s="113" t="str">
        <f>IF(HLOOKUP(T$6,CHARMS!$A$6:$CQ$92,17,)&lt;&gt;0,HLOOKUP(T$6,CHARMS!$A$6:$CQ$92,17,),"")</f>
        <v/>
      </c>
      <c r="U24" s="113" t="str">
        <f>IF(HLOOKUP(U$6,CHARMS!$A$6:$CQ$92,17,)&lt;&gt;0,HLOOKUP(U$6,CHARMS!$A$6:$CQ$92,17,),"")</f>
        <v/>
      </c>
      <c r="V24" s="113" t="str">
        <f>IF(HLOOKUP(V$6,CHARMS!$A$6:$CQ$92,17,)&lt;&gt;0,HLOOKUP(V$6,CHARMS!$A$6:$CQ$92,17,),"")</f>
        <v/>
      </c>
      <c r="W24" s="113" t="str">
        <f>IF(HLOOKUP(W$6,CHARMS!$A$6:$CQ$92,17,)&lt;&gt;0,HLOOKUP(W$6,CHARMS!$A$6:$CQ$92,17,),"")</f>
        <v/>
      </c>
      <c r="X24" s="113" t="str">
        <f>IF(HLOOKUP(X$6,CHARMS!$A$6:$CQ$92,17,)&lt;&gt;0,HLOOKUP(X$6,CHARMS!$A$6:$CQ$92,17,),"")</f>
        <v/>
      </c>
      <c r="Y24" s="113" t="str">
        <f>IF(HLOOKUP(Y$6,CHARMS!$A$6:$CQ$92,17,)&lt;&gt;0,HLOOKUP(Y$6,CHARMS!$A$6:$CQ$92,17,),"")</f>
        <v/>
      </c>
      <c r="Z24" s="113" t="str">
        <f>IF(HLOOKUP(Z$6,CHARMS!$A$6:$CQ$92,17,)&lt;&gt;0,HLOOKUP(Z$6,CHARMS!$A$6:$CQ$92,17,),"")</f>
        <v/>
      </c>
      <c r="AA24" s="113" t="str">
        <f>IF(HLOOKUP(AA$6,CHARMS!$A$6:$CQ$92,17,)&lt;&gt;0,HLOOKUP(AA$6,CHARMS!$A$6:$CQ$92,17,),"")</f>
        <v/>
      </c>
      <c r="AB24" s="113" t="str">
        <f>IF(HLOOKUP(AB$6,CHARMS!$A$6:$CQ$92,17,)&lt;&gt;0,HLOOKUP(AB$6,CHARMS!$A$6:$CQ$92,17,),"")</f>
        <v/>
      </c>
      <c r="AC24" s="113" t="str">
        <f>IF(HLOOKUP(AC$6,CHARMS!$A$6:$CQ$92,17,)&lt;&gt;0,HLOOKUP(AC$6,CHARMS!$A$6:$CQ$92,17,),"")</f>
        <v/>
      </c>
      <c r="AD24" s="113" t="str">
        <f>IF(HLOOKUP(AD$6,CHARMS!$A$6:$CQ$92,17,)&lt;&gt;0,HLOOKUP(AD$6,CHARMS!$A$6:$CQ$92,17,),"")</f>
        <v/>
      </c>
      <c r="AE24" s="113" t="str">
        <f>IF(HLOOKUP(AE$6,CHARMS!$A$6:$CQ$92,17,)&lt;&gt;0,HLOOKUP(AE$6,CHARMS!$A$6:$CQ$92,17,),"")</f>
        <v/>
      </c>
    </row>
    <row r="25" spans="1:31" s="83" customFormat="1" ht="75" customHeight="1" x14ac:dyDescent="0.2">
      <c r="A25" s="114" t="s">
        <v>172</v>
      </c>
      <c r="B25" s="29" t="s">
        <v>416</v>
      </c>
      <c r="C25" s="29"/>
      <c r="D25" s="29" t="s">
        <v>417</v>
      </c>
      <c r="E25" s="29" t="s">
        <v>418</v>
      </c>
      <c r="F25" s="29" t="s">
        <v>418</v>
      </c>
      <c r="G25" s="29" t="s">
        <v>419</v>
      </c>
      <c r="H25" s="29" t="s">
        <v>419</v>
      </c>
      <c r="I25" s="29" t="s">
        <v>420</v>
      </c>
      <c r="J25" s="29"/>
      <c r="K25" s="29" t="s">
        <v>452</v>
      </c>
      <c r="L25" s="29"/>
      <c r="M25" s="29" t="s">
        <v>485</v>
      </c>
      <c r="N25" s="29"/>
      <c r="O25" s="29"/>
      <c r="P25" s="29"/>
      <c r="Q25" s="29"/>
      <c r="R25" s="29"/>
      <c r="S25" s="29"/>
      <c r="T25" s="29"/>
      <c r="U25" s="29"/>
      <c r="V25" s="29"/>
      <c r="W25" s="29"/>
      <c r="X25" s="29"/>
      <c r="Y25" s="29"/>
      <c r="Z25" s="29"/>
      <c r="AA25" s="29"/>
      <c r="AB25" s="29"/>
      <c r="AC25" s="29"/>
      <c r="AD25" s="29"/>
      <c r="AE25" s="29"/>
    </row>
    <row r="26" spans="1:31" ht="18.75" customHeight="1" x14ac:dyDescent="0.2">
      <c r="A26" s="94" t="s">
        <v>173</v>
      </c>
      <c r="B26" s="95"/>
      <c r="C26" s="95"/>
      <c r="D26" s="95"/>
      <c r="E26" s="95"/>
      <c r="F26" s="95"/>
      <c r="G26" s="95"/>
      <c r="H26" s="95"/>
      <c r="I26" s="95"/>
      <c r="J26" s="95"/>
      <c r="K26" s="95"/>
      <c r="L26" s="95"/>
      <c r="M26" s="95"/>
      <c r="N26" s="95"/>
      <c r="O26" s="95"/>
      <c r="P26" s="95"/>
      <c r="Q26" s="95"/>
      <c r="R26" s="95"/>
      <c r="S26" s="95"/>
      <c r="T26" s="95"/>
      <c r="U26" s="95"/>
      <c r="V26" s="95"/>
      <c r="W26" s="95"/>
      <c r="X26" s="95"/>
      <c r="Y26" s="95"/>
      <c r="Z26" s="95"/>
      <c r="AA26" s="95"/>
      <c r="AB26" s="95"/>
      <c r="AC26" s="95"/>
      <c r="AD26" s="95"/>
      <c r="AE26" s="95"/>
    </row>
    <row r="27" spans="1:31" s="104" customFormat="1" ht="15" customHeight="1" x14ac:dyDescent="0.2">
      <c r="A27" s="103" t="s">
        <v>174</v>
      </c>
      <c r="B27" s="27" t="s">
        <v>67</v>
      </c>
      <c r="C27" s="27" t="s">
        <v>67</v>
      </c>
      <c r="D27" s="27" t="s">
        <v>67</v>
      </c>
      <c r="E27" s="27" t="s">
        <v>67</v>
      </c>
      <c r="F27" s="27" t="s">
        <v>67</v>
      </c>
      <c r="G27" s="27" t="s">
        <v>67</v>
      </c>
      <c r="H27" s="27" t="s">
        <v>67</v>
      </c>
      <c r="I27" s="27" t="s">
        <v>67</v>
      </c>
      <c r="J27" s="27" t="s">
        <v>67</v>
      </c>
      <c r="K27" s="27" t="s">
        <v>67</v>
      </c>
      <c r="L27" s="27" t="s">
        <v>67</v>
      </c>
      <c r="M27" s="27" t="s">
        <v>67</v>
      </c>
      <c r="N27" s="27"/>
      <c r="O27" s="27"/>
      <c r="P27" s="27"/>
      <c r="Q27" s="27"/>
      <c r="R27" s="27"/>
      <c r="S27" s="27"/>
      <c r="T27" s="27"/>
      <c r="U27" s="27"/>
      <c r="V27" s="27"/>
      <c r="W27" s="27"/>
      <c r="X27" s="27"/>
      <c r="Y27" s="27"/>
      <c r="Z27" s="27"/>
      <c r="AA27" s="27"/>
      <c r="AB27" s="27"/>
      <c r="AC27" s="27"/>
      <c r="AD27" s="27"/>
      <c r="AE27" s="27"/>
    </row>
    <row r="28" spans="1:31" s="104" customFormat="1" ht="15" customHeight="1" x14ac:dyDescent="0.2">
      <c r="A28" s="115" t="s">
        <v>175</v>
      </c>
      <c r="B28" s="30" t="s">
        <v>67</v>
      </c>
      <c r="C28" s="30" t="s">
        <v>67</v>
      </c>
      <c r="D28" s="30" t="s">
        <v>67</v>
      </c>
      <c r="E28" s="30" t="s">
        <v>67</v>
      </c>
      <c r="F28" s="30" t="s">
        <v>67</v>
      </c>
      <c r="G28" s="30" t="s">
        <v>67</v>
      </c>
      <c r="H28" s="30" t="s">
        <v>67</v>
      </c>
      <c r="I28" s="30" t="s">
        <v>67</v>
      </c>
      <c r="J28" s="30" t="s">
        <v>155</v>
      </c>
      <c r="K28" s="30" t="s">
        <v>67</v>
      </c>
      <c r="L28" s="30" t="s">
        <v>67</v>
      </c>
      <c r="M28" s="30" t="s">
        <v>67</v>
      </c>
      <c r="N28" s="30"/>
      <c r="O28" s="30"/>
      <c r="P28" s="30"/>
      <c r="Q28" s="30"/>
      <c r="R28" s="30"/>
      <c r="S28" s="30"/>
      <c r="T28" s="30"/>
      <c r="U28" s="30"/>
      <c r="V28" s="30"/>
      <c r="W28" s="30"/>
      <c r="X28" s="30"/>
      <c r="Y28" s="30"/>
      <c r="Z28" s="30"/>
      <c r="AA28" s="30"/>
      <c r="AB28" s="30"/>
      <c r="AC28" s="30"/>
      <c r="AD28" s="30"/>
      <c r="AE28" s="30"/>
    </row>
    <row r="29" spans="1:31" s="104" customFormat="1" ht="15" customHeight="1" x14ac:dyDescent="0.2">
      <c r="A29" s="105" t="s">
        <v>176</v>
      </c>
      <c r="B29" s="28" t="s">
        <v>67</v>
      </c>
      <c r="C29" s="28" t="s">
        <v>67</v>
      </c>
      <c r="D29" s="28" t="s">
        <v>67</v>
      </c>
      <c r="E29" s="28" t="s">
        <v>67</v>
      </c>
      <c r="F29" s="28" t="s">
        <v>67</v>
      </c>
      <c r="G29" s="28" t="s">
        <v>67</v>
      </c>
      <c r="H29" s="28" t="s">
        <v>67</v>
      </c>
      <c r="I29" s="28" t="s">
        <v>67</v>
      </c>
      <c r="J29" s="28" t="s">
        <v>67</v>
      </c>
      <c r="K29" s="28" t="s">
        <v>155</v>
      </c>
      <c r="L29" s="28" t="s">
        <v>67</v>
      </c>
      <c r="M29" s="28" t="s">
        <v>67</v>
      </c>
      <c r="N29" s="28"/>
      <c r="O29" s="28"/>
      <c r="P29" s="28"/>
      <c r="Q29" s="28"/>
      <c r="R29" s="28"/>
      <c r="S29" s="28"/>
      <c r="T29" s="28"/>
      <c r="U29" s="28"/>
      <c r="V29" s="28"/>
      <c r="W29" s="28"/>
      <c r="X29" s="28"/>
      <c r="Y29" s="28"/>
      <c r="Z29" s="28"/>
      <c r="AA29" s="28"/>
      <c r="AB29" s="28"/>
      <c r="AC29" s="28"/>
      <c r="AD29" s="28"/>
      <c r="AE29" s="28"/>
    </row>
    <row r="30" spans="1:31" s="83" customFormat="1" ht="18.75" customHeight="1" x14ac:dyDescent="0.2">
      <c r="A30" s="106" t="s">
        <v>177</v>
      </c>
      <c r="B30" s="33" t="s">
        <v>161</v>
      </c>
      <c r="C30" s="33" t="s">
        <v>161</v>
      </c>
      <c r="D30" s="33" t="s">
        <v>161</v>
      </c>
      <c r="E30" s="33" t="s">
        <v>161</v>
      </c>
      <c r="F30" s="33" t="s">
        <v>161</v>
      </c>
      <c r="G30" s="33" t="s">
        <v>161</v>
      </c>
      <c r="H30" s="33" t="s">
        <v>161</v>
      </c>
      <c r="I30" s="33" t="s">
        <v>161</v>
      </c>
      <c r="J30" s="33" t="s">
        <v>161</v>
      </c>
      <c r="K30" s="33" t="s">
        <v>161</v>
      </c>
      <c r="L30" s="33" t="s">
        <v>161</v>
      </c>
      <c r="M30" s="33" t="s">
        <v>161</v>
      </c>
      <c r="N30" s="33"/>
      <c r="O30" s="33"/>
      <c r="P30" s="33"/>
      <c r="Q30" s="33"/>
      <c r="R30" s="33"/>
      <c r="S30" s="33"/>
      <c r="T30" s="33"/>
      <c r="U30" s="33"/>
      <c r="V30" s="33"/>
      <c r="W30" s="33"/>
      <c r="X30" s="33"/>
      <c r="Y30" s="33"/>
      <c r="Z30" s="33"/>
      <c r="AA30" s="33"/>
      <c r="AB30" s="33"/>
      <c r="AC30" s="33"/>
      <c r="AD30" s="33"/>
      <c r="AE30" s="33"/>
    </row>
    <row r="31" spans="1:31" s="83" customFormat="1" ht="18.75" customHeight="1" x14ac:dyDescent="0.2">
      <c r="A31" s="107" t="s">
        <v>162</v>
      </c>
      <c r="B31" s="34" t="s">
        <v>163</v>
      </c>
      <c r="C31" s="34" t="s">
        <v>163</v>
      </c>
      <c r="D31" s="34" t="s">
        <v>163</v>
      </c>
      <c r="E31" s="34" t="s">
        <v>163</v>
      </c>
      <c r="F31" s="34" t="s">
        <v>163</v>
      </c>
      <c r="G31" s="34" t="s">
        <v>163</v>
      </c>
      <c r="H31" s="34" t="s">
        <v>163</v>
      </c>
      <c r="I31" s="34" t="s">
        <v>163</v>
      </c>
      <c r="J31" s="34" t="s">
        <v>163</v>
      </c>
      <c r="K31" s="34" t="s">
        <v>163</v>
      </c>
      <c r="L31" s="34" t="s">
        <v>163</v>
      </c>
      <c r="M31" s="34" t="s">
        <v>163</v>
      </c>
      <c r="N31" s="34"/>
      <c r="O31" s="34"/>
      <c r="P31" s="34"/>
      <c r="Q31" s="34"/>
      <c r="R31" s="34"/>
      <c r="S31" s="34"/>
      <c r="T31" s="34"/>
      <c r="U31" s="34"/>
      <c r="V31" s="34"/>
      <c r="W31" s="34"/>
      <c r="X31" s="34"/>
      <c r="Y31" s="34"/>
      <c r="Z31" s="34"/>
      <c r="AA31" s="34"/>
      <c r="AB31" s="34"/>
      <c r="AC31" s="34"/>
      <c r="AD31" s="34"/>
      <c r="AE31" s="34"/>
    </row>
    <row r="32" spans="1:31" s="83" customFormat="1" ht="15" customHeight="1" x14ac:dyDescent="0.2">
      <c r="A32" s="108" t="s">
        <v>165</v>
      </c>
      <c r="B32" s="109"/>
      <c r="C32" s="109"/>
      <c r="D32" s="109"/>
      <c r="E32" s="109"/>
      <c r="F32" s="109"/>
      <c r="G32" s="109"/>
      <c r="H32" s="109"/>
      <c r="I32" s="109"/>
      <c r="J32" s="109"/>
      <c r="K32" s="109"/>
      <c r="L32" s="109"/>
      <c r="M32" s="109"/>
      <c r="N32" s="109"/>
      <c r="O32" s="109"/>
      <c r="P32" s="109"/>
      <c r="Q32" s="109"/>
      <c r="R32" s="109"/>
      <c r="S32" s="109"/>
      <c r="T32" s="109"/>
      <c r="U32" s="109"/>
      <c r="V32" s="109"/>
      <c r="W32" s="109"/>
      <c r="X32" s="109"/>
      <c r="Y32" s="109"/>
      <c r="Z32" s="109"/>
      <c r="AA32" s="109"/>
      <c r="AB32" s="109"/>
      <c r="AC32" s="109"/>
      <c r="AD32" s="109"/>
      <c r="AE32" s="109"/>
    </row>
    <row r="33" spans="1:31" s="83" customFormat="1" ht="15" customHeight="1" x14ac:dyDescent="0.2">
      <c r="A33" s="110" t="s">
        <v>178</v>
      </c>
      <c r="B33" s="111" t="str">
        <f>IF(HLOOKUP(B$6,CHARMS!$A$6:$CQ$92,36,)&lt;&gt;0,HLOOKUP(B$6,CHARMS!$A$6:$CQ$92,36,),"")</f>
        <v>Yes</v>
      </c>
      <c r="C33" s="111" t="str">
        <f>IF(HLOOKUP(C$6,CHARMS!$A$6:$CQ$92,36,)&lt;&gt;0,HLOOKUP(C$6,CHARMS!$A$6:$CQ$92,36,),"")</f>
        <v>Yes</v>
      </c>
      <c r="D33" s="111" t="str">
        <f>IF(HLOOKUP(D$6,CHARMS!$A$6:$CQ$92,36,)&lt;&gt;0,HLOOKUP(D$6,CHARMS!$A$6:$CQ$92,36,),"")</f>
        <v>Yes</v>
      </c>
      <c r="E33" s="111" t="str">
        <f>IF(HLOOKUP(E$6,CHARMS!$A$6:$CQ$92,36,)&lt;&gt;0,HLOOKUP(E$6,CHARMS!$A$6:$CQ$92,36,),"")</f>
        <v>Yes</v>
      </c>
      <c r="F33" s="111" t="str">
        <f>IF(HLOOKUP(F$6,CHARMS!$A$6:$CQ$92,36,)&lt;&gt;0,HLOOKUP(F$6,CHARMS!$A$6:$CQ$92,36,),"")</f>
        <v>Yes</v>
      </c>
      <c r="G33" s="111" t="str">
        <f>IF(HLOOKUP(G$6,CHARMS!$A$6:$CQ$92,36,)&lt;&gt;0,HLOOKUP(G$6,CHARMS!$A$6:$CQ$92,36,),"")</f>
        <v>Yes</v>
      </c>
      <c r="H33" s="111" t="str">
        <f>IF(HLOOKUP(H$6,CHARMS!$A$6:$CQ$92,36,)&lt;&gt;0,HLOOKUP(H$6,CHARMS!$A$6:$CQ$92,36,),"")</f>
        <v>Yes</v>
      </c>
      <c r="I33" s="111" t="str">
        <f>IF(HLOOKUP(I$6,CHARMS!$A$6:$CQ$92,36,)&lt;&gt;0,HLOOKUP(I$6,CHARMS!$A$6:$CQ$92,36,),"")</f>
        <v>Yes</v>
      </c>
      <c r="J33" s="111" t="str">
        <f>IF(HLOOKUP(J$6,CHARMS!$A$6:$CQ$92,36,)&lt;&gt;0,HLOOKUP(J$6,CHARMS!$A$6:$CQ$92,36,),"")</f>
        <v>Yes</v>
      </c>
      <c r="K33" s="111" t="str">
        <f>IF(HLOOKUP(K$6,CHARMS!$A$6:$CQ$92,36,)&lt;&gt;0,HLOOKUP(K$6,CHARMS!$A$6:$CQ$92,36,),"")</f>
        <v>Yes</v>
      </c>
      <c r="L33" s="111" t="str">
        <f>IF(HLOOKUP(L$6,CHARMS!$A$6:$CQ$92,36,)&lt;&gt;0,HLOOKUP(L$6,CHARMS!$A$6:$CQ$92,36,),"")</f>
        <v>Yes</v>
      </c>
      <c r="M33" s="111" t="str">
        <f>IF(HLOOKUP(M$6,CHARMS!$A$6:$CQ$92,36,)&lt;&gt;0,HLOOKUP(M$6,CHARMS!$A$6:$CQ$92,36,),"")</f>
        <v>Yes</v>
      </c>
      <c r="N33" s="111" t="str">
        <f>IF(HLOOKUP(N$6,CHARMS!$A$6:$CQ$92,36,)&lt;&gt;0,HLOOKUP(N$6,CHARMS!$A$6:$CQ$92,36,),"")</f>
        <v/>
      </c>
      <c r="O33" s="111" t="str">
        <f>IF(HLOOKUP(O$6,CHARMS!$A$6:$CQ$92,36,)&lt;&gt;0,HLOOKUP(O$6,CHARMS!$A$6:$CQ$92,36,),"")</f>
        <v/>
      </c>
      <c r="P33" s="111" t="str">
        <f>IF(HLOOKUP(P$6,CHARMS!$A$6:$CQ$92,36,)&lt;&gt;0,HLOOKUP(P$6,CHARMS!$A$6:$CQ$92,36,),"")</f>
        <v/>
      </c>
      <c r="Q33" s="111" t="str">
        <f>IF(HLOOKUP(Q$6,CHARMS!$A$6:$CQ$92,36,)&lt;&gt;0,HLOOKUP(Q$6,CHARMS!$A$6:$CQ$92,36,),"")</f>
        <v/>
      </c>
      <c r="R33" s="111" t="str">
        <f>IF(HLOOKUP(R$6,CHARMS!$A$6:$CQ$92,36,)&lt;&gt;0,HLOOKUP(R$6,CHARMS!$A$6:$CQ$92,36,),"")</f>
        <v/>
      </c>
      <c r="S33" s="111" t="str">
        <f>IF(HLOOKUP(S$6,CHARMS!$A$6:$CQ$92,36,)&lt;&gt;0,HLOOKUP(S$6,CHARMS!$A$6:$CQ$92,36,),"")</f>
        <v/>
      </c>
      <c r="T33" s="111" t="str">
        <f>IF(HLOOKUP(T$6,CHARMS!$A$6:$CQ$92,36,)&lt;&gt;0,HLOOKUP(T$6,CHARMS!$A$6:$CQ$92,36,),"")</f>
        <v/>
      </c>
      <c r="U33" s="111" t="str">
        <f>IF(HLOOKUP(U$6,CHARMS!$A$6:$CQ$92,36,)&lt;&gt;0,HLOOKUP(U$6,CHARMS!$A$6:$CQ$92,36,),"")</f>
        <v/>
      </c>
      <c r="V33" s="111" t="str">
        <f>IF(HLOOKUP(V$6,CHARMS!$A$6:$CQ$92,36,)&lt;&gt;0,HLOOKUP(V$6,CHARMS!$A$6:$CQ$92,36,),"")</f>
        <v/>
      </c>
      <c r="W33" s="111" t="str">
        <f>IF(HLOOKUP(W$6,CHARMS!$A$6:$CQ$92,36,)&lt;&gt;0,HLOOKUP(W$6,CHARMS!$A$6:$CQ$92,36,),"")</f>
        <v/>
      </c>
      <c r="X33" s="111" t="str">
        <f>IF(HLOOKUP(X$6,CHARMS!$A$6:$CQ$92,36,)&lt;&gt;0,HLOOKUP(X$6,CHARMS!$A$6:$CQ$92,36,),"")</f>
        <v/>
      </c>
      <c r="Y33" s="111" t="str">
        <f>IF(HLOOKUP(Y$6,CHARMS!$A$6:$CQ$92,36,)&lt;&gt;0,HLOOKUP(Y$6,CHARMS!$A$6:$CQ$92,36,),"")</f>
        <v/>
      </c>
      <c r="Z33" s="111" t="str">
        <f>IF(HLOOKUP(Z$6,CHARMS!$A$6:$CQ$92,36,)&lt;&gt;0,HLOOKUP(Z$6,CHARMS!$A$6:$CQ$92,36,),"")</f>
        <v/>
      </c>
      <c r="AA33" s="111" t="str">
        <f>IF(HLOOKUP(AA$6,CHARMS!$A$6:$CQ$92,36,)&lt;&gt;0,HLOOKUP(AA$6,CHARMS!$A$6:$CQ$92,36,),"")</f>
        <v/>
      </c>
      <c r="AB33" s="111" t="str">
        <f>IF(HLOOKUP(AB$6,CHARMS!$A$6:$CQ$92,36,)&lt;&gt;0,HLOOKUP(AB$6,CHARMS!$A$6:$CQ$92,36,),"")</f>
        <v/>
      </c>
      <c r="AC33" s="111" t="str">
        <f>IF(HLOOKUP(AC$6,CHARMS!$A$6:$CQ$92,36,)&lt;&gt;0,HLOOKUP(AC$6,CHARMS!$A$6:$CQ$92,36,),"")</f>
        <v/>
      </c>
      <c r="AD33" s="111" t="str">
        <f>IF(HLOOKUP(AD$6,CHARMS!$A$6:$CQ$92,36,)&lt;&gt;0,HLOOKUP(AD$6,CHARMS!$A$6:$CQ$92,36,),"")</f>
        <v/>
      </c>
      <c r="AE33" s="111" t="str">
        <f>IF(HLOOKUP(AE$6,CHARMS!$A$6:$CQ$92,36,)&lt;&gt;0,HLOOKUP(AE$6,CHARMS!$A$6:$CQ$92,36,),"")</f>
        <v/>
      </c>
    </row>
    <row r="34" spans="1:31" s="83" customFormat="1" ht="15" customHeight="1" x14ac:dyDescent="0.2">
      <c r="A34" s="110" t="s">
        <v>179</v>
      </c>
      <c r="B34" s="111" t="str">
        <f>IF(HLOOKUP(B$6,CHARMS!$A$6:$CQ$92,37,)&lt;&gt;0,HLOOKUP(B$6,CHARMS!$A$6:$CQ$92,37,),"")</f>
        <v>Yes</v>
      </c>
      <c r="C34" s="111" t="str">
        <f>IF(HLOOKUP(C$6,CHARMS!$A$6:$CQ$92,37,)&lt;&gt;0,HLOOKUP(C$6,CHARMS!$A$6:$CQ$92,37,),"")</f>
        <v>Yes</v>
      </c>
      <c r="D34" s="111" t="str">
        <f>IF(HLOOKUP(D$6,CHARMS!$A$6:$CQ$92,37,)&lt;&gt;0,HLOOKUP(D$6,CHARMS!$A$6:$CQ$92,37,),"")</f>
        <v>Yes</v>
      </c>
      <c r="E34" s="111" t="str">
        <f>IF(HLOOKUP(E$6,CHARMS!$A$6:$CQ$92,37,)&lt;&gt;0,HLOOKUP(E$6,CHARMS!$A$6:$CQ$92,37,),"")</f>
        <v>Yes</v>
      </c>
      <c r="F34" s="111" t="str">
        <f>IF(HLOOKUP(F$6,CHARMS!$A$6:$CQ$92,37,)&lt;&gt;0,HLOOKUP(F$6,CHARMS!$A$6:$CQ$92,37,),"")</f>
        <v>Yes</v>
      </c>
      <c r="G34" s="111" t="str">
        <f>IF(HLOOKUP(G$6,CHARMS!$A$6:$CQ$92,37,)&lt;&gt;0,HLOOKUP(G$6,CHARMS!$A$6:$CQ$92,37,),"")</f>
        <v>Yes</v>
      </c>
      <c r="H34" s="111" t="str">
        <f>IF(HLOOKUP(H$6,CHARMS!$A$6:$CQ$92,37,)&lt;&gt;0,HLOOKUP(H$6,CHARMS!$A$6:$CQ$92,37,),"")</f>
        <v>Yes</v>
      </c>
      <c r="I34" s="111" t="str">
        <f>IF(HLOOKUP(I$6,CHARMS!$A$6:$CQ$92,37,)&lt;&gt;0,HLOOKUP(I$6,CHARMS!$A$6:$CQ$92,37,),"")</f>
        <v>Yes</v>
      </c>
      <c r="J34" s="111" t="str">
        <f>IF(HLOOKUP(J$6,CHARMS!$A$6:$CQ$92,37,)&lt;&gt;0,HLOOKUP(J$6,CHARMS!$A$6:$CQ$92,37,),"")</f>
        <v>Yes</v>
      </c>
      <c r="K34" s="111" t="str">
        <f>IF(HLOOKUP(K$6,CHARMS!$A$6:$CQ$92,37,)&lt;&gt;0,HLOOKUP(K$6,CHARMS!$A$6:$CQ$92,37,),"")</f>
        <v>Yes</v>
      </c>
      <c r="L34" s="111" t="str">
        <f>IF(HLOOKUP(L$6,CHARMS!$A$6:$CQ$92,37,)&lt;&gt;0,HLOOKUP(L$6,CHARMS!$A$6:$CQ$92,37,),"")</f>
        <v>Yes</v>
      </c>
      <c r="M34" s="111" t="str">
        <f>IF(HLOOKUP(M$6,CHARMS!$A$6:$CQ$92,37,)&lt;&gt;0,HLOOKUP(M$6,CHARMS!$A$6:$CQ$92,37,),"")</f>
        <v>Yes</v>
      </c>
      <c r="N34" s="111" t="str">
        <f>IF(HLOOKUP(N$6,CHARMS!$A$6:$CQ$92,37,)&lt;&gt;0,HLOOKUP(N$6,CHARMS!$A$6:$CQ$92,37,),"")</f>
        <v/>
      </c>
      <c r="O34" s="111" t="str">
        <f>IF(HLOOKUP(O$6,CHARMS!$A$6:$CQ$92,37,)&lt;&gt;0,HLOOKUP(O$6,CHARMS!$A$6:$CQ$92,37,),"")</f>
        <v/>
      </c>
      <c r="P34" s="111" t="str">
        <f>IF(HLOOKUP(P$6,CHARMS!$A$6:$CQ$92,37,)&lt;&gt;0,HLOOKUP(P$6,CHARMS!$A$6:$CQ$92,37,),"")</f>
        <v/>
      </c>
      <c r="Q34" s="111" t="str">
        <f>IF(HLOOKUP(Q$6,CHARMS!$A$6:$CQ$92,37,)&lt;&gt;0,HLOOKUP(Q$6,CHARMS!$A$6:$CQ$92,37,),"")</f>
        <v/>
      </c>
      <c r="R34" s="111" t="str">
        <f>IF(HLOOKUP(R$6,CHARMS!$A$6:$CQ$92,37,)&lt;&gt;0,HLOOKUP(R$6,CHARMS!$A$6:$CQ$92,37,),"")</f>
        <v/>
      </c>
      <c r="S34" s="111" t="str">
        <f>IF(HLOOKUP(S$6,CHARMS!$A$6:$CQ$92,37,)&lt;&gt;0,HLOOKUP(S$6,CHARMS!$A$6:$CQ$92,37,),"")</f>
        <v/>
      </c>
      <c r="T34" s="111" t="str">
        <f>IF(HLOOKUP(T$6,CHARMS!$A$6:$CQ$92,37,)&lt;&gt;0,HLOOKUP(T$6,CHARMS!$A$6:$CQ$92,37,),"")</f>
        <v/>
      </c>
      <c r="U34" s="111" t="str">
        <f>IF(HLOOKUP(U$6,CHARMS!$A$6:$CQ$92,37,)&lt;&gt;0,HLOOKUP(U$6,CHARMS!$A$6:$CQ$92,37,),"")</f>
        <v/>
      </c>
      <c r="V34" s="111" t="str">
        <f>IF(HLOOKUP(V$6,CHARMS!$A$6:$CQ$92,37,)&lt;&gt;0,HLOOKUP(V$6,CHARMS!$A$6:$CQ$92,37,),"")</f>
        <v/>
      </c>
      <c r="W34" s="111" t="str">
        <f>IF(HLOOKUP(W$6,CHARMS!$A$6:$CQ$92,37,)&lt;&gt;0,HLOOKUP(W$6,CHARMS!$A$6:$CQ$92,37,),"")</f>
        <v/>
      </c>
      <c r="X34" s="111" t="str">
        <f>IF(HLOOKUP(X$6,CHARMS!$A$6:$CQ$92,37,)&lt;&gt;0,HLOOKUP(X$6,CHARMS!$A$6:$CQ$92,37,),"")</f>
        <v/>
      </c>
      <c r="Y34" s="111" t="str">
        <f>IF(HLOOKUP(Y$6,CHARMS!$A$6:$CQ$92,37,)&lt;&gt;0,HLOOKUP(Y$6,CHARMS!$A$6:$CQ$92,37,),"")</f>
        <v/>
      </c>
      <c r="Z34" s="111" t="str">
        <f>IF(HLOOKUP(Z$6,CHARMS!$A$6:$CQ$92,37,)&lt;&gt;0,HLOOKUP(Z$6,CHARMS!$A$6:$CQ$92,37,),"")</f>
        <v/>
      </c>
      <c r="AA34" s="111" t="str">
        <f>IF(HLOOKUP(AA$6,CHARMS!$A$6:$CQ$92,37,)&lt;&gt;0,HLOOKUP(AA$6,CHARMS!$A$6:$CQ$92,37,),"")</f>
        <v/>
      </c>
      <c r="AB34" s="111" t="str">
        <f>IF(HLOOKUP(AB$6,CHARMS!$A$6:$CQ$92,37,)&lt;&gt;0,HLOOKUP(AB$6,CHARMS!$A$6:$CQ$92,37,),"")</f>
        <v/>
      </c>
      <c r="AC34" s="111" t="str">
        <f>IF(HLOOKUP(AC$6,CHARMS!$A$6:$CQ$92,37,)&lt;&gt;0,HLOOKUP(AC$6,CHARMS!$A$6:$CQ$92,37,),"")</f>
        <v/>
      </c>
      <c r="AD34" s="111" t="str">
        <f>IF(HLOOKUP(AD$6,CHARMS!$A$6:$CQ$92,37,)&lt;&gt;0,HLOOKUP(AD$6,CHARMS!$A$6:$CQ$92,37,),"")</f>
        <v/>
      </c>
      <c r="AE34" s="111" t="str">
        <f>IF(HLOOKUP(AE$6,CHARMS!$A$6:$CQ$92,37,)&lt;&gt;0,HLOOKUP(AE$6,CHARMS!$A$6:$CQ$92,37,),"")</f>
        <v/>
      </c>
    </row>
    <row r="35" spans="1:31" s="83" customFormat="1" ht="15" customHeight="1" x14ac:dyDescent="0.2">
      <c r="A35" s="112" t="s">
        <v>180</v>
      </c>
      <c r="B35" s="113" t="str">
        <f>IF(HLOOKUP(B$6,CHARMS!$A$6:$CQ$92,35,)&lt;&gt;0,HLOOKUP(B$6,CHARMS!$A$6:$CQ$92,35,),"")</f>
        <v>Collected during ART initiation and routine clinic visits</v>
      </c>
      <c r="C35" s="113" t="str">
        <f>IF(HLOOKUP(C$6,CHARMS!$A$6:$CQ$92,35,)&lt;&gt;0,HLOOKUP(C$6,CHARMS!$A$6:$CQ$92,35,),"")</f>
        <v xml:space="preserve">Based on visit attendance and ART dispensing records collected during the study period. </v>
      </c>
      <c r="D35" s="113" t="str">
        <f>IF(HLOOKUP(D$6,CHARMS!$A$6:$CQ$92,35,)&lt;&gt;0,HLOOKUP(D$6,CHARMS!$A$6:$CQ$92,35,),"")</f>
        <v xml:space="preserve">Based on visit attendance and ART dispensing records collected during the study period. </v>
      </c>
      <c r="E35" s="113" t="str">
        <f>IF(HLOOKUP(E$6,CHARMS!$A$6:$CQ$92,35,)&lt;&gt;0,HLOOKUP(E$6,CHARMS!$A$6:$CQ$92,35,),"")</f>
        <v>Measured during clinical visits and pharmacy pickups</v>
      </c>
      <c r="F35" s="113" t="str">
        <f>IF(HLOOKUP(F$6,CHARMS!$A$6:$CQ$92,35,)&lt;&gt;0,HLOOKUP(F$6,CHARMS!$A$6:$CQ$92,35,),"")</f>
        <v>Measured during clinical visits and pharmacy pickups</v>
      </c>
      <c r="G35" s="113" t="str">
        <f>IF(HLOOKUP(G$6,CHARMS!$A$6:$CQ$92,35,)&lt;&gt;0,HLOOKUP(G$6,CHARMS!$A$6:$CQ$92,35,),"")</f>
        <v>Collected during clinic visits before the outcome occurrence</v>
      </c>
      <c r="H35" s="113" t="str">
        <f>IF(HLOOKUP(H$6,CHARMS!$A$6:$CQ$92,35,)&lt;&gt;0,HLOOKUP(H$6,CHARMS!$A$6:$CQ$92,35,),"")</f>
        <v>Collected during clinic visits before the outcome occurrence</v>
      </c>
      <c r="I35" s="113" t="str">
        <f>IF(HLOOKUP(I$6,CHARMS!$A$6:$CQ$92,35,)&lt;&gt;0,HLOOKUP(I$6,CHARMS!$A$6:$CQ$92,35,),"")</f>
        <v>same time as outcome</v>
      </c>
      <c r="J35" s="113" t="str">
        <f>IF(HLOOKUP(J$6,CHARMS!$A$6:$CQ$92,35,)&lt;&gt;0,HLOOKUP(J$6,CHARMS!$A$6:$CQ$92,35,),"")</f>
        <v>Measured at same time as outcome occurrence</v>
      </c>
      <c r="K35" s="113" t="str">
        <f>IF(HLOOKUP(K$6,CHARMS!$A$6:$CQ$92,35,)&lt;&gt;0,HLOOKUP(K$6,CHARMS!$A$6:$CQ$92,35,),"")</f>
        <v>Measured at same time as outcome occurrence</v>
      </c>
      <c r="L35" s="113" t="str">
        <f>IF(HLOOKUP(L$6,CHARMS!$A$6:$CQ$92,35,)&lt;&gt;0,HLOOKUP(L$6,CHARMS!$A$6:$CQ$92,35,),"")</f>
        <v>Measured at same time as outcome occurrence</v>
      </c>
      <c r="M35" s="113" t="str">
        <f>IF(HLOOKUP(M$6,CHARMS!$A$6:$CQ$92,35,)&lt;&gt;0,HLOOKUP(M$6,CHARMS!$A$6:$CQ$92,35,),"")</f>
        <v>Measured at same time as outcome occurrence</v>
      </c>
      <c r="N35" s="113" t="str">
        <f>IF(HLOOKUP(N$6,CHARMS!$A$6:$CQ$92,35,)&lt;&gt;0,HLOOKUP(N$6,CHARMS!$A$6:$CQ$92,35,),"")</f>
        <v/>
      </c>
      <c r="O35" s="113" t="str">
        <f>IF(HLOOKUP(O$6,CHARMS!$A$6:$CQ$92,35,)&lt;&gt;0,HLOOKUP(O$6,CHARMS!$A$6:$CQ$92,35,),"")</f>
        <v/>
      </c>
      <c r="P35" s="113" t="str">
        <f>IF(HLOOKUP(P$6,CHARMS!$A$6:$CQ$92,35,)&lt;&gt;0,HLOOKUP(P$6,CHARMS!$A$6:$CQ$92,35,),"")</f>
        <v/>
      </c>
      <c r="Q35" s="113" t="str">
        <f>IF(HLOOKUP(Q$6,CHARMS!$A$6:$CQ$92,35,)&lt;&gt;0,HLOOKUP(Q$6,CHARMS!$A$6:$CQ$92,35,),"")</f>
        <v/>
      </c>
      <c r="R35" s="113" t="str">
        <f>IF(HLOOKUP(R$6,CHARMS!$A$6:$CQ$92,35,)&lt;&gt;0,HLOOKUP(R$6,CHARMS!$A$6:$CQ$92,35,),"")</f>
        <v/>
      </c>
      <c r="S35" s="113" t="str">
        <f>IF(HLOOKUP(S$6,CHARMS!$A$6:$CQ$92,35,)&lt;&gt;0,HLOOKUP(S$6,CHARMS!$A$6:$CQ$92,35,),"")</f>
        <v/>
      </c>
      <c r="T35" s="113" t="str">
        <f>IF(HLOOKUP(T$6,CHARMS!$A$6:$CQ$92,35,)&lt;&gt;0,HLOOKUP(T$6,CHARMS!$A$6:$CQ$92,35,),"")</f>
        <v/>
      </c>
      <c r="U35" s="113" t="str">
        <f>IF(HLOOKUP(U$6,CHARMS!$A$6:$CQ$92,35,)&lt;&gt;0,HLOOKUP(U$6,CHARMS!$A$6:$CQ$92,35,),"")</f>
        <v/>
      </c>
      <c r="V35" s="113" t="str">
        <f>IF(HLOOKUP(V$6,CHARMS!$A$6:$CQ$92,35,)&lt;&gt;0,HLOOKUP(V$6,CHARMS!$A$6:$CQ$92,35,),"")</f>
        <v/>
      </c>
      <c r="W35" s="113" t="str">
        <f>IF(HLOOKUP(W$6,CHARMS!$A$6:$CQ$92,35,)&lt;&gt;0,HLOOKUP(W$6,CHARMS!$A$6:$CQ$92,35,),"")</f>
        <v/>
      </c>
      <c r="X35" s="113" t="str">
        <f>IF(HLOOKUP(X$6,CHARMS!$A$6:$CQ$92,35,)&lt;&gt;0,HLOOKUP(X$6,CHARMS!$A$6:$CQ$92,35,),"")</f>
        <v/>
      </c>
      <c r="Y35" s="113" t="str">
        <f>IF(HLOOKUP(Y$6,CHARMS!$A$6:$CQ$92,35,)&lt;&gt;0,HLOOKUP(Y$6,CHARMS!$A$6:$CQ$92,35,),"")</f>
        <v/>
      </c>
      <c r="Z35" s="113" t="str">
        <f>IF(HLOOKUP(Z$6,CHARMS!$A$6:$CQ$92,35,)&lt;&gt;0,HLOOKUP(Z$6,CHARMS!$A$6:$CQ$92,35,),"")</f>
        <v/>
      </c>
      <c r="AA35" s="113" t="str">
        <f>IF(HLOOKUP(AA$6,CHARMS!$A$6:$CQ$92,35,)&lt;&gt;0,HLOOKUP(AA$6,CHARMS!$A$6:$CQ$92,35,),"")</f>
        <v/>
      </c>
      <c r="AB35" s="113" t="str">
        <f>IF(HLOOKUP(AB$6,CHARMS!$A$6:$CQ$92,35,)&lt;&gt;0,HLOOKUP(AB$6,CHARMS!$A$6:$CQ$92,35,),"")</f>
        <v/>
      </c>
      <c r="AC35" s="113" t="str">
        <f>IF(HLOOKUP(AC$6,CHARMS!$A$6:$CQ$92,35,)&lt;&gt;0,HLOOKUP(AC$6,CHARMS!$A$6:$CQ$92,35,),"")</f>
        <v/>
      </c>
      <c r="AD35" s="113" t="str">
        <f>IF(HLOOKUP(AD$6,CHARMS!$A$6:$CQ$92,35,)&lt;&gt;0,HLOOKUP(AD$6,CHARMS!$A$6:$CQ$92,35,),"")</f>
        <v/>
      </c>
      <c r="AE35" s="113" t="str">
        <f>IF(HLOOKUP(AE$6,CHARMS!$A$6:$CQ$92,35,)&lt;&gt;0,HLOOKUP(AE$6,CHARMS!$A$6:$CQ$92,35,),"")</f>
        <v/>
      </c>
    </row>
    <row r="36" spans="1:31" s="83" customFormat="1" ht="75" customHeight="1" x14ac:dyDescent="0.2">
      <c r="A36" s="114" t="s">
        <v>172</v>
      </c>
      <c r="B36" s="29" t="s">
        <v>425</v>
      </c>
      <c r="C36" s="29" t="s">
        <v>421</v>
      </c>
      <c r="D36" s="29" t="s">
        <v>421</v>
      </c>
      <c r="E36" s="29" t="s">
        <v>422</v>
      </c>
      <c r="F36" s="29" t="s">
        <v>422</v>
      </c>
      <c r="G36" s="29" t="s">
        <v>423</v>
      </c>
      <c r="H36" s="29" t="s">
        <v>423</v>
      </c>
      <c r="I36" s="29" t="s">
        <v>424</v>
      </c>
      <c r="J36" s="29"/>
      <c r="K36" s="29" t="s">
        <v>181</v>
      </c>
      <c r="L36" s="29" t="s">
        <v>182</v>
      </c>
      <c r="M36" s="29"/>
      <c r="N36" s="29"/>
      <c r="O36" s="29"/>
      <c r="P36" s="29"/>
      <c r="Q36" s="29"/>
      <c r="R36" s="29"/>
      <c r="S36" s="29"/>
      <c r="T36" s="29"/>
      <c r="U36" s="29"/>
      <c r="V36" s="29"/>
      <c r="W36" s="29"/>
      <c r="X36" s="29"/>
      <c r="Y36" s="29"/>
      <c r="Z36" s="29"/>
      <c r="AA36" s="29"/>
      <c r="AB36" s="29"/>
      <c r="AC36" s="29"/>
      <c r="AD36" s="29"/>
      <c r="AE36" s="29"/>
    </row>
    <row r="37" spans="1:31" ht="18.75" customHeight="1" x14ac:dyDescent="0.2">
      <c r="A37" s="94" t="s">
        <v>183</v>
      </c>
      <c r="B37" s="95"/>
      <c r="C37" s="95"/>
      <c r="D37" s="95"/>
      <c r="E37" s="95"/>
      <c r="F37" s="95"/>
      <c r="G37" s="95"/>
      <c r="H37" s="95"/>
      <c r="I37" s="95"/>
      <c r="J37" s="95"/>
      <c r="K37" s="95"/>
      <c r="L37" s="95"/>
      <c r="M37" s="95"/>
      <c r="N37" s="95"/>
      <c r="O37" s="95"/>
      <c r="P37" s="95"/>
      <c r="Q37" s="95"/>
      <c r="R37" s="95"/>
      <c r="S37" s="95"/>
      <c r="T37" s="95"/>
      <c r="U37" s="95"/>
      <c r="V37" s="95"/>
      <c r="W37" s="95"/>
      <c r="X37" s="95"/>
      <c r="Y37" s="95"/>
      <c r="Z37" s="95"/>
      <c r="AA37" s="95"/>
      <c r="AB37" s="95"/>
      <c r="AC37" s="95"/>
      <c r="AD37" s="95"/>
      <c r="AE37" s="95"/>
    </row>
    <row r="38" spans="1:31" s="104" customFormat="1" ht="15" customHeight="1" x14ac:dyDescent="0.2">
      <c r="A38" s="103" t="s">
        <v>184</v>
      </c>
      <c r="B38" s="27" t="s">
        <v>67</v>
      </c>
      <c r="C38" s="27" t="s">
        <v>67</v>
      </c>
      <c r="D38" s="27" t="s">
        <v>67</v>
      </c>
      <c r="E38" s="27" t="s">
        <v>67</v>
      </c>
      <c r="F38" s="27" t="s">
        <v>67</v>
      </c>
      <c r="G38" s="27" t="s">
        <v>67</v>
      </c>
      <c r="H38" s="27" t="s">
        <v>67</v>
      </c>
      <c r="I38" s="27" t="s">
        <v>67</v>
      </c>
      <c r="J38" s="27" t="s">
        <v>67</v>
      </c>
      <c r="K38" s="27" t="s">
        <v>67</v>
      </c>
      <c r="L38" s="27" t="s">
        <v>67</v>
      </c>
      <c r="M38" s="27" t="s">
        <v>67</v>
      </c>
      <c r="N38" s="27"/>
      <c r="O38" s="27"/>
      <c r="P38" s="27"/>
      <c r="Q38" s="27"/>
      <c r="R38" s="27"/>
      <c r="S38" s="27"/>
      <c r="T38" s="27"/>
      <c r="U38" s="27"/>
      <c r="V38" s="27"/>
      <c r="W38" s="27"/>
      <c r="X38" s="27"/>
      <c r="Y38" s="27"/>
      <c r="Z38" s="27"/>
      <c r="AA38" s="27"/>
      <c r="AB38" s="27"/>
      <c r="AC38" s="27"/>
      <c r="AD38" s="27"/>
      <c r="AE38" s="27"/>
    </row>
    <row r="39" spans="1:31" s="104" customFormat="1" ht="15" customHeight="1" x14ac:dyDescent="0.2">
      <c r="A39" s="115" t="s">
        <v>185</v>
      </c>
      <c r="B39" s="30" t="s">
        <v>67</v>
      </c>
      <c r="C39" s="30" t="s">
        <v>67</v>
      </c>
      <c r="D39" s="30" t="s">
        <v>67</v>
      </c>
      <c r="E39" s="30" t="s">
        <v>67</v>
      </c>
      <c r="F39" s="30" t="s">
        <v>67</v>
      </c>
      <c r="G39" s="30" t="s">
        <v>67</v>
      </c>
      <c r="H39" s="30" t="s">
        <v>67</v>
      </c>
      <c r="I39" s="30" t="s">
        <v>67</v>
      </c>
      <c r="J39" s="30" t="s">
        <v>67</v>
      </c>
      <c r="K39" s="30" t="s">
        <v>67</v>
      </c>
      <c r="L39" s="30" t="s">
        <v>157</v>
      </c>
      <c r="M39" s="30" t="s">
        <v>67</v>
      </c>
      <c r="N39" s="30"/>
      <c r="O39" s="30"/>
      <c r="P39" s="30"/>
      <c r="Q39" s="30"/>
      <c r="R39" s="30"/>
      <c r="S39" s="30"/>
      <c r="T39" s="30"/>
      <c r="U39" s="30"/>
      <c r="V39" s="30"/>
      <c r="W39" s="30"/>
      <c r="X39" s="30"/>
      <c r="Y39" s="30"/>
      <c r="Z39" s="30"/>
      <c r="AA39" s="30"/>
      <c r="AB39" s="30"/>
      <c r="AC39" s="30"/>
      <c r="AD39" s="30"/>
      <c r="AE39" s="30"/>
    </row>
    <row r="40" spans="1:31" s="104" customFormat="1" ht="15" customHeight="1" x14ac:dyDescent="0.2">
      <c r="A40" s="115" t="s">
        <v>186</v>
      </c>
      <c r="B40" s="30" t="s">
        <v>67</v>
      </c>
      <c r="C40" s="30" t="s">
        <v>67</v>
      </c>
      <c r="D40" s="30" t="s">
        <v>67</v>
      </c>
      <c r="E40" s="30" t="s">
        <v>67</v>
      </c>
      <c r="F40" s="30" t="s">
        <v>67</v>
      </c>
      <c r="G40" s="30" t="s">
        <v>67</v>
      </c>
      <c r="H40" s="30" t="s">
        <v>67</v>
      </c>
      <c r="I40" s="30" t="s">
        <v>67</v>
      </c>
      <c r="J40" s="30" t="s">
        <v>67</v>
      </c>
      <c r="K40" s="30" t="s">
        <v>67</v>
      </c>
      <c r="L40" s="30" t="s">
        <v>67</v>
      </c>
      <c r="M40" s="30" t="s">
        <v>67</v>
      </c>
      <c r="N40" s="30"/>
      <c r="O40" s="30"/>
      <c r="P40" s="30"/>
      <c r="Q40" s="30"/>
      <c r="R40" s="30"/>
      <c r="S40" s="30"/>
      <c r="T40" s="30"/>
      <c r="U40" s="30"/>
      <c r="V40" s="30"/>
      <c r="W40" s="30"/>
      <c r="X40" s="30"/>
      <c r="Y40" s="30"/>
      <c r="Z40" s="30"/>
      <c r="AA40" s="30"/>
      <c r="AB40" s="30"/>
      <c r="AC40" s="30"/>
      <c r="AD40" s="30"/>
      <c r="AE40" s="30"/>
    </row>
    <row r="41" spans="1:31" s="104" customFormat="1" ht="15" customHeight="1" x14ac:dyDescent="0.2">
      <c r="A41" s="115" t="s">
        <v>187</v>
      </c>
      <c r="B41" s="30" t="s">
        <v>67</v>
      </c>
      <c r="C41" s="30" t="s">
        <v>67</v>
      </c>
      <c r="D41" s="30" t="s">
        <v>67</v>
      </c>
      <c r="E41" s="30" t="s">
        <v>67</v>
      </c>
      <c r="F41" s="30" t="s">
        <v>67</v>
      </c>
      <c r="G41" s="30" t="s">
        <v>67</v>
      </c>
      <c r="H41" s="30" t="s">
        <v>67</v>
      </c>
      <c r="I41" s="30" t="s">
        <v>67</v>
      </c>
      <c r="J41" s="30" t="s">
        <v>67</v>
      </c>
      <c r="K41" s="30" t="s">
        <v>67</v>
      </c>
      <c r="L41" s="30" t="s">
        <v>67</v>
      </c>
      <c r="M41" s="30" t="s">
        <v>67</v>
      </c>
      <c r="N41" s="30"/>
      <c r="O41" s="30"/>
      <c r="P41" s="30"/>
      <c r="Q41" s="30"/>
      <c r="R41" s="30"/>
      <c r="S41" s="30"/>
      <c r="T41" s="30"/>
      <c r="U41" s="30"/>
      <c r="V41" s="30"/>
      <c r="W41" s="30"/>
      <c r="X41" s="30"/>
      <c r="Y41" s="30"/>
      <c r="Z41" s="30"/>
      <c r="AA41" s="30"/>
      <c r="AB41" s="30"/>
      <c r="AC41" s="30"/>
      <c r="AD41" s="30"/>
      <c r="AE41" s="30"/>
    </row>
    <row r="42" spans="1:31" s="104" customFormat="1" ht="15" customHeight="1" x14ac:dyDescent="0.2">
      <c r="A42" s="115" t="s">
        <v>188</v>
      </c>
      <c r="B42" s="30" t="s">
        <v>67</v>
      </c>
      <c r="C42" s="30" t="s">
        <v>67</v>
      </c>
      <c r="D42" s="30" t="s">
        <v>67</v>
      </c>
      <c r="E42" s="30" t="s">
        <v>67</v>
      </c>
      <c r="F42" s="30" t="s">
        <v>67</v>
      </c>
      <c r="G42" s="30" t="s">
        <v>67</v>
      </c>
      <c r="H42" s="30" t="s">
        <v>67</v>
      </c>
      <c r="I42" s="30" t="s">
        <v>67</v>
      </c>
      <c r="J42" s="30" t="s">
        <v>67</v>
      </c>
      <c r="K42" s="30" t="s">
        <v>67</v>
      </c>
      <c r="L42" s="30" t="s">
        <v>155</v>
      </c>
      <c r="M42" s="30" t="s">
        <v>67</v>
      </c>
      <c r="N42" s="30"/>
      <c r="O42" s="30"/>
      <c r="P42" s="30"/>
      <c r="Q42" s="30"/>
      <c r="R42" s="30"/>
      <c r="S42" s="30"/>
      <c r="T42" s="30"/>
      <c r="U42" s="30"/>
      <c r="V42" s="30"/>
      <c r="W42" s="30"/>
      <c r="X42" s="30"/>
      <c r="Y42" s="30"/>
      <c r="Z42" s="30"/>
      <c r="AA42" s="30"/>
      <c r="AB42" s="30"/>
      <c r="AC42" s="30"/>
      <c r="AD42" s="30"/>
      <c r="AE42" s="30"/>
    </row>
    <row r="43" spans="1:31" s="104" customFormat="1" ht="15" customHeight="1" x14ac:dyDescent="0.2">
      <c r="A43" s="105" t="s">
        <v>189</v>
      </c>
      <c r="B43" s="28" t="s">
        <v>67</v>
      </c>
      <c r="C43" s="28" t="s">
        <v>67</v>
      </c>
      <c r="D43" s="28" t="s">
        <v>67</v>
      </c>
      <c r="E43" s="28" t="s">
        <v>67</v>
      </c>
      <c r="F43" s="28" t="s">
        <v>67</v>
      </c>
      <c r="G43" s="28" t="s">
        <v>67</v>
      </c>
      <c r="H43" s="28" t="s">
        <v>67</v>
      </c>
      <c r="I43" s="28" t="s">
        <v>67</v>
      </c>
      <c r="J43" s="28" t="s">
        <v>67</v>
      </c>
      <c r="K43" s="28" t="s">
        <v>67</v>
      </c>
      <c r="L43" s="28" t="s">
        <v>155</v>
      </c>
      <c r="M43" s="28" t="s">
        <v>155</v>
      </c>
      <c r="N43" s="28"/>
      <c r="O43" s="28"/>
      <c r="P43" s="28"/>
      <c r="Q43" s="28"/>
      <c r="R43" s="28"/>
      <c r="S43" s="28"/>
      <c r="T43" s="28"/>
      <c r="U43" s="28"/>
      <c r="V43" s="28"/>
      <c r="W43" s="28"/>
      <c r="X43" s="28"/>
      <c r="Y43" s="28"/>
      <c r="Z43" s="28"/>
      <c r="AA43" s="28"/>
      <c r="AB43" s="28"/>
      <c r="AC43" s="28"/>
      <c r="AD43" s="28"/>
      <c r="AE43" s="28"/>
    </row>
    <row r="44" spans="1:31" s="83" customFormat="1" ht="18.75" customHeight="1" x14ac:dyDescent="0.2">
      <c r="A44" s="106" t="s">
        <v>190</v>
      </c>
      <c r="B44" s="33" t="s">
        <v>161</v>
      </c>
      <c r="C44" s="33" t="s">
        <v>161</v>
      </c>
      <c r="D44" s="33" t="s">
        <v>161</v>
      </c>
      <c r="E44" s="33" t="s">
        <v>161</v>
      </c>
      <c r="F44" s="33" t="s">
        <v>161</v>
      </c>
      <c r="G44" s="33" t="s">
        <v>161</v>
      </c>
      <c r="H44" s="33" t="s">
        <v>161</v>
      </c>
      <c r="I44" s="33" t="s">
        <v>161</v>
      </c>
      <c r="J44" s="33" t="s">
        <v>161</v>
      </c>
      <c r="K44" s="33" t="s">
        <v>161</v>
      </c>
      <c r="L44" s="33" t="s">
        <v>51</v>
      </c>
      <c r="M44" s="33" t="s">
        <v>161</v>
      </c>
      <c r="N44" s="33"/>
      <c r="O44" s="33"/>
      <c r="P44" s="33"/>
      <c r="Q44" s="33"/>
      <c r="R44" s="33"/>
      <c r="S44" s="33"/>
      <c r="T44" s="33"/>
      <c r="U44" s="33"/>
      <c r="V44" s="33"/>
      <c r="W44" s="33"/>
      <c r="X44" s="33"/>
      <c r="Y44" s="33"/>
      <c r="Z44" s="33"/>
      <c r="AA44" s="33"/>
      <c r="AB44" s="33"/>
      <c r="AC44" s="33"/>
      <c r="AD44" s="33"/>
      <c r="AE44" s="33"/>
    </row>
    <row r="45" spans="1:31" s="83" customFormat="1" ht="18.75" customHeight="1" x14ac:dyDescent="0.2">
      <c r="A45" s="107" t="s">
        <v>162</v>
      </c>
      <c r="B45" s="34" t="s">
        <v>163</v>
      </c>
      <c r="C45" s="34" t="s">
        <v>163</v>
      </c>
      <c r="D45" s="34" t="s">
        <v>163</v>
      </c>
      <c r="E45" s="34" t="s">
        <v>163</v>
      </c>
      <c r="F45" s="34" t="s">
        <v>163</v>
      </c>
      <c r="G45" s="34" t="s">
        <v>163</v>
      </c>
      <c r="H45" s="34" t="s">
        <v>163</v>
      </c>
      <c r="I45" s="34" t="s">
        <v>163</v>
      </c>
      <c r="J45" s="34" t="s">
        <v>163</v>
      </c>
      <c r="K45" s="34" t="s">
        <v>163</v>
      </c>
      <c r="L45" s="34" t="s">
        <v>51</v>
      </c>
      <c r="M45" s="34" t="s">
        <v>163</v>
      </c>
      <c r="N45" s="34"/>
      <c r="O45" s="34"/>
      <c r="P45" s="34"/>
      <c r="Q45" s="34"/>
      <c r="R45" s="34"/>
      <c r="S45" s="34"/>
      <c r="T45" s="34"/>
      <c r="U45" s="34"/>
      <c r="V45" s="34"/>
      <c r="W45" s="34"/>
      <c r="X45" s="34"/>
      <c r="Y45" s="34"/>
      <c r="Z45" s="34"/>
      <c r="AA45" s="34"/>
      <c r="AB45" s="34"/>
      <c r="AC45" s="34"/>
      <c r="AD45" s="34"/>
      <c r="AE45" s="34"/>
    </row>
    <row r="46" spans="1:31" s="83" customFormat="1" ht="15" customHeight="1" x14ac:dyDescent="0.2">
      <c r="A46" s="108" t="s">
        <v>165</v>
      </c>
      <c r="B46" s="109"/>
      <c r="C46" s="109"/>
      <c r="D46" s="109"/>
      <c r="E46" s="109"/>
      <c r="F46" s="109"/>
      <c r="G46" s="109"/>
      <c r="H46" s="109"/>
      <c r="I46" s="109"/>
      <c r="J46" s="109"/>
      <c r="K46" s="109"/>
      <c r="L46" s="109"/>
      <c r="M46" s="109"/>
      <c r="N46" s="109"/>
      <c r="O46" s="109"/>
      <c r="P46" s="109"/>
      <c r="Q46" s="109"/>
      <c r="R46" s="109"/>
      <c r="S46" s="109"/>
      <c r="T46" s="109"/>
      <c r="U46" s="109"/>
      <c r="V46" s="109"/>
      <c r="W46" s="109"/>
      <c r="X46" s="109"/>
      <c r="Y46" s="109"/>
      <c r="Z46" s="109"/>
      <c r="AA46" s="109"/>
      <c r="AB46" s="109"/>
      <c r="AC46" s="109"/>
      <c r="AD46" s="109"/>
      <c r="AE46" s="109"/>
    </row>
    <row r="47" spans="1:31" s="83" customFormat="1" ht="45" customHeight="1" x14ac:dyDescent="0.2">
      <c r="A47" s="110" t="s">
        <v>191</v>
      </c>
      <c r="B47" s="111" t="str">
        <f>IF(HLOOKUP(B$6,CHARMS!$A$6:$CQ$89,26,)&lt;&gt;0,HLOOKUP(B$6,CHARMS!$A$6:$CQ$92,26,),"")</f>
        <v>Individuals were defined as having IIT if they were provided a 30-day supply of antiretrovirals but did not return for a refill within 28 days of their scheduled follow-up visit date.</v>
      </c>
      <c r="C47" s="111" t="str">
        <f>IF(HLOOKUP(C$6,CHARMS!$A$6:$CQ$89,26,)&lt;&gt;0,HLOOKUP(C$6,CHARMS!$A$6:$CQ$92,26,),"")</f>
        <v>visits were classified as an IIT if not attended within 28 days of the scheduled visit date</v>
      </c>
      <c r="D47" s="111" t="str">
        <f>IF(HLOOKUP(D$6,CHARMS!$A$6:$CQ$89,26,)&lt;&gt;0,HLOOKUP(D$6,CHARMS!$A$6:$CQ$92,26,),"")</f>
        <v>Visits were classified as an IIT if not attended within 28 days of the scheduled visit date</v>
      </c>
      <c r="E47" s="111" t="str">
        <f>IF(HLOOKUP(E$6,CHARMS!$A$6:$CQ$89,26,)&lt;&gt;0,HLOOKUP(E$6,CHARMS!$A$6:$CQ$92,26,),"")</f>
        <v>LTFU defined as being more than 28 days late for a clinical appointment or pharmacy pick up</v>
      </c>
      <c r="F47" s="111" t="str">
        <f>IF(HLOOKUP(F$6,CHARMS!$A$6:$CQ$89,26,)&lt;&gt;0,HLOOKUP(F$6,CHARMS!$A$6:$CQ$92,26,),"")</f>
        <v>LTFU defined as being more than 28 days late for a clinical appointment or pharmacy pick up</v>
      </c>
      <c r="G47" s="111" t="str">
        <f>IF(HLOOKUP(G$6,CHARMS!$A$6:$CQ$89,26,)&lt;&gt;0,HLOOKUP(G$6,CHARMS!$A$6:$CQ$92,26,),"")</f>
        <v xml:space="preserve"> retention  in care was defined as attending at least two HIV care visits greater than 90 days apart within a 12-month period; access to care was also defined as having a single HIV care visit within a 6 month period</v>
      </c>
      <c r="H47" s="111" t="str">
        <f>IF(HLOOKUP(H$6,CHARMS!$A$6:$CQ$89,26,)&lt;&gt;0,HLOOKUP(H$6,CHARMS!$A$6:$CQ$92,26,),"")</f>
        <v xml:space="preserve"> retention  in care was defined as attending at least two HIV care visits greater than 90 days apart within a 12-month period; access to care was also defined as having a single HIV care visit within a 6 month period</v>
      </c>
      <c r="I47" s="111" t="str">
        <f>IF(HLOOKUP(I$6,CHARMS!$A$6:$CQ$89,26,)&lt;&gt;0,HLOOKUP(I$6,CHARMS!$A$6:$CQ$92,26,),"")</f>
        <v>patient visit or miss with appointments for which the patient does not show without notification</v>
      </c>
      <c r="J47" s="111" t="str">
        <f>IF(HLOOKUP(J$6,CHARMS!$A$6:$CQ$89,26,)&lt;&gt;0,HLOOKUP(J$6,CHARMS!$A$6:$CQ$92,26,),"")</f>
        <v>Attending clinic visits within 28 days of the next scheduled visit</v>
      </c>
      <c r="K47" s="111" t="str">
        <f>IF(HLOOKUP(K$6,CHARMS!$A$6:$CQ$89,26,)&lt;&gt;0,HLOOKUP(K$6,CHARMS!$A$6:$CQ$92,26,),"")</f>
        <v>defined a client to have experienced an interruption in treatment (IIT) when a client did not attend a clinic visit within 28 days of their scheduled appointment</v>
      </c>
      <c r="L47" s="111" t="str">
        <f>IF(HLOOKUP(L$6,CHARMS!$A$6:$CQ$89,26,)&lt;&gt;0,HLOOKUP(L$6,CHARMS!$A$6:$CQ$92,26,),"")</f>
        <v>Clients not honring a scheduled appointment</v>
      </c>
      <c r="M47" s="111" t="str">
        <f>IF(HLOOKUP(M$6,CHARMS!$A$6:$CQ$89,26,)&lt;&gt;0,HLOOKUP(M$6,CHARMS!$A$6:$CQ$92,26,),"")</f>
        <v>Ever missing an appointment for 28 or more days (a standard PEPFAR monitoring and evaluation indicator within specified intervals</v>
      </c>
      <c r="N47" s="111" t="str">
        <f>IF(HLOOKUP(N$6,CHARMS!$A$6:$CQ$89,26,)&lt;&gt;0,HLOOKUP(N$6,CHARMS!$A$6:$CQ$92,26,),"")</f>
        <v/>
      </c>
      <c r="O47" s="111" t="str">
        <f>IF(HLOOKUP(O$6,CHARMS!$A$6:$CQ$89,26,)&lt;&gt;0,HLOOKUP(O$6,CHARMS!$A$6:$CQ$92,26,),"")</f>
        <v/>
      </c>
      <c r="P47" s="111" t="str">
        <f>IF(HLOOKUP(P$6,CHARMS!$A$6:$CQ$89,26,)&lt;&gt;0,HLOOKUP(P$6,CHARMS!$A$6:$CQ$92,26,),"")</f>
        <v/>
      </c>
      <c r="Q47" s="111" t="str">
        <f>IF(HLOOKUP(Q$6,CHARMS!$A$6:$CQ$89,26,)&lt;&gt;0,HLOOKUP(Q$6,CHARMS!$A$6:$CQ$92,26,),"")</f>
        <v/>
      </c>
      <c r="R47" s="111" t="str">
        <f>IF(HLOOKUP(R$6,CHARMS!$A$6:$CQ$89,26,)&lt;&gt;0,HLOOKUP(R$6,CHARMS!$A$6:$CQ$92,26,),"")</f>
        <v/>
      </c>
      <c r="S47" s="111" t="str">
        <f>IF(HLOOKUP(S$6,CHARMS!$A$6:$CQ$89,26,)&lt;&gt;0,HLOOKUP(S$6,CHARMS!$A$6:$CQ$92,26,),"")</f>
        <v/>
      </c>
      <c r="T47" s="111" t="str">
        <f>IF(HLOOKUP(T$6,CHARMS!$A$6:$CQ$89,26,)&lt;&gt;0,HLOOKUP(T$6,CHARMS!$A$6:$CQ$92,26,),"")</f>
        <v/>
      </c>
      <c r="U47" s="111" t="str">
        <f>IF(HLOOKUP(U$6,CHARMS!$A$6:$CQ$89,26,)&lt;&gt;0,HLOOKUP(U$6,CHARMS!$A$6:$CQ$92,26,),"")</f>
        <v/>
      </c>
      <c r="V47" s="111" t="str">
        <f>IF(HLOOKUP(V$6,CHARMS!$A$6:$CQ$89,26,)&lt;&gt;0,HLOOKUP(V$6,CHARMS!$A$6:$CQ$92,26,),"")</f>
        <v/>
      </c>
      <c r="W47" s="111" t="str">
        <f>IF(HLOOKUP(W$6,CHARMS!$A$6:$CQ$89,26,)&lt;&gt;0,HLOOKUP(W$6,CHARMS!$A$6:$CQ$92,26,),"")</f>
        <v/>
      </c>
      <c r="X47" s="111" t="str">
        <f>IF(HLOOKUP(X$6,CHARMS!$A$6:$CQ$89,26,)&lt;&gt;0,HLOOKUP(X$6,CHARMS!$A$6:$CQ$92,26,),"")</f>
        <v/>
      </c>
      <c r="Y47" s="111" t="str">
        <f>IF(HLOOKUP(Y$6,CHARMS!$A$6:$CQ$89,26,)&lt;&gt;0,HLOOKUP(Y$6,CHARMS!$A$6:$CQ$92,26,),"")</f>
        <v/>
      </c>
      <c r="Z47" s="111" t="str">
        <f>IF(HLOOKUP(Z$6,CHARMS!$A$6:$CQ$89,26,)&lt;&gt;0,HLOOKUP(Z$6,CHARMS!$A$6:$CQ$92,26,),"")</f>
        <v/>
      </c>
      <c r="AA47" s="111" t="str">
        <f>IF(HLOOKUP(AA$6,CHARMS!$A$6:$CQ$89,26,)&lt;&gt;0,HLOOKUP(AA$6,CHARMS!$A$6:$CQ$92,26,),"")</f>
        <v/>
      </c>
      <c r="AB47" s="111" t="str">
        <f>IF(HLOOKUP(AB$6,CHARMS!$A$6:$CQ$89,26,)&lt;&gt;0,HLOOKUP(AB$6,CHARMS!$A$6:$CQ$92,26,),"")</f>
        <v/>
      </c>
      <c r="AC47" s="111" t="str">
        <f>IF(HLOOKUP(AC$6,CHARMS!$A$6:$CQ$89,26,)&lt;&gt;0,HLOOKUP(AC$6,CHARMS!$A$6:$CQ$92,26,),"")</f>
        <v/>
      </c>
      <c r="AD47" s="111" t="str">
        <f>IF(HLOOKUP(AD$6,CHARMS!$A$6:$CQ$89,26,)&lt;&gt;0,HLOOKUP(AD$6,CHARMS!$A$6:$CQ$92,26,),"")</f>
        <v/>
      </c>
      <c r="AE47" s="111" t="str">
        <f>IF(HLOOKUP(AE$6,CHARMS!$A$6:$CQ$89,26,)&lt;&gt;0,HLOOKUP(AE$6,CHARMS!$A$6:$CQ$92,26,),"")</f>
        <v/>
      </c>
    </row>
    <row r="48" spans="1:31" s="83" customFormat="1" ht="15" customHeight="1" x14ac:dyDescent="0.2">
      <c r="A48" s="110" t="s">
        <v>192</v>
      </c>
      <c r="B48" s="111" t="str">
        <f>IF(HLOOKUP(B$6,CHARMS!$A$6:$CQ$89,27,)&lt;&gt;0,HLOOKUP(B$6,CHARMS!$A$6:$CQ$89,27,),"")</f>
        <v>Yes</v>
      </c>
      <c r="C48" s="111" t="str">
        <f>IF(HLOOKUP(C$6,CHARMS!$A$6:$CQ$89,27,)&lt;&gt;0,HLOOKUP(C$6,CHARMS!$A$6:$CQ$89,27,),"")</f>
        <v>Yes</v>
      </c>
      <c r="D48" s="111" t="str">
        <f>IF(HLOOKUP(D$6,CHARMS!$A$6:$CQ$89,27,)&lt;&gt;0,HLOOKUP(D$6,CHARMS!$A$6:$CQ$89,27,),"")</f>
        <v>Yes</v>
      </c>
      <c r="E48" s="111" t="str">
        <f>IF(HLOOKUP(E$6,CHARMS!$A$6:$CQ$89,27,)&lt;&gt;0,HLOOKUP(E$6,CHARMS!$A$6:$CQ$89,27,),"")</f>
        <v>Yes</v>
      </c>
      <c r="F48" s="111" t="str">
        <f>IF(HLOOKUP(F$6,CHARMS!$A$6:$CQ$89,27,)&lt;&gt;0,HLOOKUP(F$6,CHARMS!$A$6:$CQ$89,27,),"")</f>
        <v>Yes</v>
      </c>
      <c r="G48" s="111" t="str">
        <f>IF(HLOOKUP(G$6,CHARMS!$A$6:$CQ$89,27,)&lt;&gt;0,HLOOKUP(G$6,CHARMS!$A$6:$CQ$89,27,),"")</f>
        <v>Yes</v>
      </c>
      <c r="H48" s="111" t="str">
        <f>IF(HLOOKUP(H$6,CHARMS!$A$6:$CQ$89,27,)&lt;&gt;0,HLOOKUP(H$6,CHARMS!$A$6:$CQ$89,27,),"")</f>
        <v>Yes</v>
      </c>
      <c r="I48" s="111" t="str">
        <f>IF(HLOOKUP(I$6,CHARMS!$A$6:$CQ$89,27,)&lt;&gt;0,HLOOKUP(I$6,CHARMS!$A$6:$CQ$89,27,),"")</f>
        <v>Yes</v>
      </c>
      <c r="J48" s="111" t="str">
        <f>IF(HLOOKUP(J$6,CHARMS!$A$6:$CQ$89,27,)&lt;&gt;0,HLOOKUP(J$6,CHARMS!$A$6:$CQ$89,27,),"")</f>
        <v>Yes</v>
      </c>
      <c r="K48" s="111" t="str">
        <f>IF(HLOOKUP(K$6,CHARMS!$A$6:$CQ$89,27,)&lt;&gt;0,HLOOKUP(K$6,CHARMS!$A$6:$CQ$89,27,),"")</f>
        <v>Yes</v>
      </c>
      <c r="L48" s="111" t="str">
        <f>IF(HLOOKUP(L$6,CHARMS!$A$6:$CQ$89,27,)&lt;&gt;0,HLOOKUP(L$6,CHARMS!$A$6:$CQ$89,27,),"")</f>
        <v>Yes</v>
      </c>
      <c r="M48" s="111" t="str">
        <f>IF(HLOOKUP(M$6,CHARMS!$A$6:$CQ$89,27,)&lt;&gt;0,HLOOKUP(M$6,CHARMS!$A$6:$CQ$89,27,),"")</f>
        <v>Yes</v>
      </c>
      <c r="N48" s="111" t="str">
        <f>IF(HLOOKUP(N$6,CHARMS!$A$6:$CQ$89,27,)&lt;&gt;0,HLOOKUP(N$6,CHARMS!$A$6:$CQ$89,27,),"")</f>
        <v/>
      </c>
      <c r="O48" s="111" t="str">
        <f>IF(HLOOKUP(O$6,CHARMS!$A$6:$CQ$89,27,)&lt;&gt;0,HLOOKUP(O$6,CHARMS!$A$6:$CQ$89,27,),"")</f>
        <v/>
      </c>
      <c r="P48" s="111" t="str">
        <f>IF(HLOOKUP(P$6,CHARMS!$A$6:$CQ$89,27,)&lt;&gt;0,HLOOKUP(P$6,CHARMS!$A$6:$CQ$89,27,),"")</f>
        <v/>
      </c>
      <c r="Q48" s="111" t="str">
        <f>IF(HLOOKUP(Q$6,CHARMS!$A$6:$CQ$89,27,)&lt;&gt;0,HLOOKUP(Q$6,CHARMS!$A$6:$CQ$89,27,),"")</f>
        <v/>
      </c>
      <c r="R48" s="111" t="str">
        <f>IF(HLOOKUP(R$6,CHARMS!$A$6:$CQ$89,27,)&lt;&gt;0,HLOOKUP(R$6,CHARMS!$A$6:$CQ$89,27,),"")</f>
        <v/>
      </c>
      <c r="S48" s="111" t="str">
        <f>IF(HLOOKUP(S$6,CHARMS!$A$6:$CQ$89,27,)&lt;&gt;0,HLOOKUP(S$6,CHARMS!$A$6:$CQ$89,27,),"")</f>
        <v/>
      </c>
      <c r="T48" s="111" t="str">
        <f>IF(HLOOKUP(T$6,CHARMS!$A$6:$CQ$89,27,)&lt;&gt;0,HLOOKUP(T$6,CHARMS!$A$6:$CQ$89,27,),"")</f>
        <v/>
      </c>
      <c r="U48" s="111" t="str">
        <f>IF(HLOOKUP(U$6,CHARMS!$A$6:$CQ$89,27,)&lt;&gt;0,HLOOKUP(U$6,CHARMS!$A$6:$CQ$89,27,),"")</f>
        <v/>
      </c>
      <c r="V48" s="111" t="str">
        <f>IF(HLOOKUP(V$6,CHARMS!$A$6:$CQ$89,27,)&lt;&gt;0,HLOOKUP(V$6,CHARMS!$A$6:$CQ$89,27,),"")</f>
        <v/>
      </c>
      <c r="W48" s="111" t="str">
        <f>IF(HLOOKUP(W$6,CHARMS!$A$6:$CQ$89,27,)&lt;&gt;0,HLOOKUP(W$6,CHARMS!$A$6:$CQ$89,27,),"")</f>
        <v/>
      </c>
      <c r="X48" s="111" t="str">
        <f>IF(HLOOKUP(X$6,CHARMS!$A$6:$CQ$89,27,)&lt;&gt;0,HLOOKUP(X$6,CHARMS!$A$6:$CQ$89,27,),"")</f>
        <v/>
      </c>
      <c r="Y48" s="111" t="str">
        <f>IF(HLOOKUP(Y$6,CHARMS!$A$6:$CQ$89,27,)&lt;&gt;0,HLOOKUP(Y$6,CHARMS!$A$6:$CQ$89,27,),"")</f>
        <v/>
      </c>
      <c r="Z48" s="111" t="str">
        <f>IF(HLOOKUP(Z$6,CHARMS!$A$6:$CQ$89,27,)&lt;&gt;0,HLOOKUP(Z$6,CHARMS!$A$6:$CQ$89,27,),"")</f>
        <v/>
      </c>
      <c r="AA48" s="111" t="str">
        <f>IF(HLOOKUP(AA$6,CHARMS!$A$6:$CQ$89,27,)&lt;&gt;0,HLOOKUP(AA$6,CHARMS!$A$6:$CQ$89,27,),"")</f>
        <v/>
      </c>
      <c r="AB48" s="111" t="str">
        <f>IF(HLOOKUP(AB$6,CHARMS!$A$6:$CQ$89,27,)&lt;&gt;0,HLOOKUP(AB$6,CHARMS!$A$6:$CQ$89,27,),"")</f>
        <v/>
      </c>
      <c r="AC48" s="111" t="str">
        <f>IF(HLOOKUP(AC$6,CHARMS!$A$6:$CQ$89,27,)&lt;&gt;0,HLOOKUP(AC$6,CHARMS!$A$6:$CQ$89,27,),"")</f>
        <v/>
      </c>
      <c r="AD48" s="111" t="str">
        <f>IF(HLOOKUP(AD$6,CHARMS!$A$6:$CQ$89,27,)&lt;&gt;0,HLOOKUP(AD$6,CHARMS!$A$6:$CQ$89,27,),"")</f>
        <v/>
      </c>
      <c r="AE48" s="111" t="str">
        <f>IF(HLOOKUP(AE$6,CHARMS!$A$6:$CQ$89,27,)&lt;&gt;0,HLOOKUP(AE$6,CHARMS!$A$6:$CQ$89,27,),"")</f>
        <v/>
      </c>
    </row>
    <row r="49" spans="1:31" s="83" customFormat="1" ht="15" customHeight="1" x14ac:dyDescent="0.2">
      <c r="A49" s="110" t="s">
        <v>193</v>
      </c>
      <c r="B49" s="111" t="str">
        <f>IF(HLOOKUP(B$6,CHARMS!$A$6:$CQ$89,29,)&lt;&gt;0,HLOOKUP(B$6,CHARMS!$A$6:$CQ$89,29,),"")</f>
        <v>Yes</v>
      </c>
      <c r="C49" s="111" t="str">
        <f>IF(HLOOKUP(C$6,CHARMS!$A$6:$CQ$89,29,)&lt;&gt;0,HLOOKUP(C$6,CHARMS!$A$6:$CQ$89,29,),"")</f>
        <v>Yes</v>
      </c>
      <c r="D49" s="111" t="str">
        <f>IF(HLOOKUP(D$6,CHARMS!$A$6:$CQ$89,29,)&lt;&gt;0,HLOOKUP(D$6,CHARMS!$A$6:$CQ$89,29,),"")</f>
        <v>Yes</v>
      </c>
      <c r="E49" s="111" t="str">
        <f>IF(HLOOKUP(E$6,CHARMS!$A$6:$CQ$89,29,)&lt;&gt;0,HLOOKUP(E$6,CHARMS!$A$6:$CQ$89,29,),"")</f>
        <v>Yes</v>
      </c>
      <c r="F49" s="111" t="str">
        <f>IF(HLOOKUP(F$6,CHARMS!$A$6:$CQ$89,29,)&lt;&gt;0,HLOOKUP(F$6,CHARMS!$A$6:$CQ$89,29,),"")</f>
        <v>No</v>
      </c>
      <c r="G49" s="111" t="str">
        <f>IF(HLOOKUP(G$6,CHARMS!$A$6:$CQ$89,29,)&lt;&gt;0,HLOOKUP(G$6,CHARMS!$A$6:$CQ$89,29,),"")</f>
        <v>Yes</v>
      </c>
      <c r="H49" s="111" t="str">
        <f>IF(HLOOKUP(H$6,CHARMS!$A$6:$CQ$89,29,)&lt;&gt;0,HLOOKUP(H$6,CHARMS!$A$6:$CQ$89,29,),"")</f>
        <v>Yes</v>
      </c>
      <c r="I49" s="111" t="str">
        <f>IF(HLOOKUP(I$6,CHARMS!$A$6:$CQ$89,29,)&lt;&gt;0,HLOOKUP(I$6,CHARMS!$A$6:$CQ$89,29,),"")</f>
        <v>Yes</v>
      </c>
      <c r="J49" s="111" t="str">
        <f>IF(HLOOKUP(J$6,CHARMS!$A$6:$CQ$89,29,)&lt;&gt;0,HLOOKUP(J$6,CHARMS!$A$6:$CQ$89,29,),"")</f>
        <v>Yes</v>
      </c>
      <c r="K49" s="111" t="str">
        <f>IF(HLOOKUP(K$6,CHARMS!$A$6:$CQ$89,29,)&lt;&gt;0,HLOOKUP(K$6,CHARMS!$A$6:$CQ$89,29,),"")</f>
        <v>Yes</v>
      </c>
      <c r="L49" s="111" t="str">
        <f>IF(HLOOKUP(L$6,CHARMS!$A$6:$CQ$89,29,)&lt;&gt;0,HLOOKUP(L$6,CHARMS!$A$6:$CQ$89,29,),"")</f>
        <v>Yes</v>
      </c>
      <c r="M49" s="111" t="str">
        <f>IF(HLOOKUP(M$6,CHARMS!$A$6:$CQ$89,29,)&lt;&gt;0,HLOOKUP(M$6,CHARMS!$A$6:$CQ$89,29,),"")</f>
        <v>No</v>
      </c>
      <c r="N49" s="111" t="str">
        <f>IF(HLOOKUP(N$6,CHARMS!$A$6:$CQ$89,29,)&lt;&gt;0,HLOOKUP(N$6,CHARMS!$A$6:$CQ$89,29,),"")</f>
        <v/>
      </c>
      <c r="O49" s="111" t="str">
        <f>IF(HLOOKUP(O$6,CHARMS!$A$6:$CQ$89,29,)&lt;&gt;0,HLOOKUP(O$6,CHARMS!$A$6:$CQ$89,29,),"")</f>
        <v/>
      </c>
      <c r="P49" s="111" t="str">
        <f>IF(HLOOKUP(P$6,CHARMS!$A$6:$CQ$89,29,)&lt;&gt;0,HLOOKUP(P$6,CHARMS!$A$6:$CQ$89,29,),"")</f>
        <v/>
      </c>
      <c r="Q49" s="111" t="str">
        <f>IF(HLOOKUP(Q$6,CHARMS!$A$6:$CQ$89,29,)&lt;&gt;0,HLOOKUP(Q$6,CHARMS!$A$6:$CQ$89,29,),"")</f>
        <v/>
      </c>
      <c r="R49" s="111" t="str">
        <f>IF(HLOOKUP(R$6,CHARMS!$A$6:$CQ$89,29,)&lt;&gt;0,HLOOKUP(R$6,CHARMS!$A$6:$CQ$89,29,),"")</f>
        <v/>
      </c>
      <c r="S49" s="111" t="str">
        <f>IF(HLOOKUP(S$6,CHARMS!$A$6:$CQ$89,29,)&lt;&gt;0,HLOOKUP(S$6,CHARMS!$A$6:$CQ$89,29,),"")</f>
        <v/>
      </c>
      <c r="T49" s="111" t="str">
        <f>IF(HLOOKUP(T$6,CHARMS!$A$6:$CQ$89,29,)&lt;&gt;0,HLOOKUP(T$6,CHARMS!$A$6:$CQ$89,29,),"")</f>
        <v/>
      </c>
      <c r="U49" s="111" t="str">
        <f>IF(HLOOKUP(U$6,CHARMS!$A$6:$CQ$89,29,)&lt;&gt;0,HLOOKUP(U$6,CHARMS!$A$6:$CQ$89,29,),"")</f>
        <v/>
      </c>
      <c r="V49" s="111" t="str">
        <f>IF(HLOOKUP(V$6,CHARMS!$A$6:$CQ$89,29,)&lt;&gt;0,HLOOKUP(V$6,CHARMS!$A$6:$CQ$89,29,),"")</f>
        <v/>
      </c>
      <c r="W49" s="111" t="str">
        <f>IF(HLOOKUP(W$6,CHARMS!$A$6:$CQ$89,29,)&lt;&gt;0,HLOOKUP(W$6,CHARMS!$A$6:$CQ$89,29,),"")</f>
        <v/>
      </c>
      <c r="X49" s="111" t="str">
        <f>IF(HLOOKUP(X$6,CHARMS!$A$6:$CQ$89,29,)&lt;&gt;0,HLOOKUP(X$6,CHARMS!$A$6:$CQ$89,29,),"")</f>
        <v/>
      </c>
      <c r="Y49" s="111" t="str">
        <f>IF(HLOOKUP(Y$6,CHARMS!$A$6:$CQ$89,29,)&lt;&gt;0,HLOOKUP(Y$6,CHARMS!$A$6:$CQ$89,29,),"")</f>
        <v/>
      </c>
      <c r="Z49" s="111" t="str">
        <f>IF(HLOOKUP(Z$6,CHARMS!$A$6:$CQ$89,29,)&lt;&gt;0,HLOOKUP(Z$6,CHARMS!$A$6:$CQ$89,29,),"")</f>
        <v/>
      </c>
      <c r="AA49" s="111" t="str">
        <f>IF(HLOOKUP(AA$6,CHARMS!$A$6:$CQ$89,29,)&lt;&gt;0,HLOOKUP(AA$6,CHARMS!$A$6:$CQ$89,29,),"")</f>
        <v/>
      </c>
      <c r="AB49" s="111" t="str">
        <f>IF(HLOOKUP(AB$6,CHARMS!$A$6:$CQ$89,29,)&lt;&gt;0,HLOOKUP(AB$6,CHARMS!$A$6:$CQ$89,29,),"")</f>
        <v/>
      </c>
      <c r="AC49" s="111" t="str">
        <f>IF(HLOOKUP(AC$6,CHARMS!$A$6:$CQ$89,29,)&lt;&gt;0,HLOOKUP(AC$6,CHARMS!$A$6:$CQ$89,29,),"")</f>
        <v/>
      </c>
      <c r="AD49" s="111" t="str">
        <f>IF(HLOOKUP(AD$6,CHARMS!$A$6:$CQ$89,29,)&lt;&gt;0,HLOOKUP(AD$6,CHARMS!$A$6:$CQ$89,29,),"")</f>
        <v/>
      </c>
      <c r="AE49" s="111" t="str">
        <f>IF(HLOOKUP(AE$6,CHARMS!$A$6:$CQ$89,29,)&lt;&gt;0,HLOOKUP(AE$6,CHARMS!$A$6:$CQ$89,29,),"")</f>
        <v/>
      </c>
    </row>
    <row r="50" spans="1:31" s="83" customFormat="1" ht="15" customHeight="1" x14ac:dyDescent="0.2">
      <c r="A50" s="110" t="s">
        <v>194</v>
      </c>
      <c r="B50" s="111" t="str">
        <f>IF(HLOOKUP(B$6,CHARMS!$A$6:$CQ$89,30,)&lt;&gt;0,HLOOKUP(B$6,CHARMS!$A$6:$CQ$89,30,),"")</f>
        <v>No</v>
      </c>
      <c r="C50" s="111" t="str">
        <f>IF(HLOOKUP(C$6,CHARMS!$A$6:$CQ$89,30,)&lt;&gt;0,HLOOKUP(C$6,CHARMS!$A$6:$CQ$89,30,),"")</f>
        <v>No</v>
      </c>
      <c r="D50" s="111" t="str">
        <f>IF(HLOOKUP(D$6,CHARMS!$A$6:$CQ$89,30,)&lt;&gt;0,HLOOKUP(D$6,CHARMS!$A$6:$CQ$89,30,),"")</f>
        <v>No</v>
      </c>
      <c r="E50" s="111" t="str">
        <f>IF(HLOOKUP(E$6,CHARMS!$A$6:$CQ$89,30,)&lt;&gt;0,HLOOKUP(E$6,CHARMS!$A$6:$CQ$89,30,),"")</f>
        <v>No</v>
      </c>
      <c r="F50" s="111" t="str">
        <f>IF(HLOOKUP(F$6,CHARMS!$A$6:$CQ$89,30,)&lt;&gt;0,HLOOKUP(F$6,CHARMS!$A$6:$CQ$89,30,),"")</f>
        <v>No</v>
      </c>
      <c r="G50" s="111" t="str">
        <f>IF(HLOOKUP(G$6,CHARMS!$A$6:$CQ$89,30,)&lt;&gt;0,HLOOKUP(G$6,CHARMS!$A$6:$CQ$89,30,),"")</f>
        <v>No</v>
      </c>
      <c r="H50" s="111" t="str">
        <f>IF(HLOOKUP(H$6,CHARMS!$A$6:$CQ$89,30,)&lt;&gt;0,HLOOKUP(H$6,CHARMS!$A$6:$CQ$89,30,),"")</f>
        <v>No</v>
      </c>
      <c r="I50" s="111" t="str">
        <f>IF(HLOOKUP(I$6,CHARMS!$A$6:$CQ$89,30,)&lt;&gt;0,HLOOKUP(I$6,CHARMS!$A$6:$CQ$89,30,),"")</f>
        <v>No</v>
      </c>
      <c r="J50" s="111" t="str">
        <f>IF(HLOOKUP(J$6,CHARMS!$A$6:$CQ$89,30,)&lt;&gt;0,HLOOKUP(J$6,CHARMS!$A$6:$CQ$89,30,),"")</f>
        <v>No</v>
      </c>
      <c r="K50" s="111" t="str">
        <f>IF(HLOOKUP(K$6,CHARMS!$A$6:$CQ$89,30,)&lt;&gt;0,HLOOKUP(K$6,CHARMS!$A$6:$CQ$89,30,),"")</f>
        <v>No</v>
      </c>
      <c r="L50" s="111" t="str">
        <f>IF(HLOOKUP(L$6,CHARMS!$A$6:$CQ$89,30,)&lt;&gt;0,HLOOKUP(L$6,CHARMS!$A$6:$CQ$89,30,),"")</f>
        <v>No</v>
      </c>
      <c r="M50" s="111" t="str">
        <f>IF(HLOOKUP(M$6,CHARMS!$A$6:$CQ$89,30,)&lt;&gt;0,HLOOKUP(M$6,CHARMS!$A$6:$CQ$89,30,),"")</f>
        <v>No</v>
      </c>
      <c r="N50" s="111" t="str">
        <f>IF(HLOOKUP(N$6,CHARMS!$A$6:$CQ$89,30,)&lt;&gt;0,HLOOKUP(N$6,CHARMS!$A$6:$CQ$89,30,),"")</f>
        <v/>
      </c>
      <c r="O50" s="111" t="str">
        <f>IF(HLOOKUP(O$6,CHARMS!$A$6:$CQ$89,30,)&lt;&gt;0,HLOOKUP(O$6,CHARMS!$A$6:$CQ$89,30,),"")</f>
        <v/>
      </c>
      <c r="P50" s="111" t="str">
        <f>IF(HLOOKUP(P$6,CHARMS!$A$6:$CQ$89,30,)&lt;&gt;0,HLOOKUP(P$6,CHARMS!$A$6:$CQ$89,30,),"")</f>
        <v/>
      </c>
      <c r="Q50" s="111" t="str">
        <f>IF(HLOOKUP(Q$6,CHARMS!$A$6:$CQ$89,30,)&lt;&gt;0,HLOOKUP(Q$6,CHARMS!$A$6:$CQ$89,30,),"")</f>
        <v/>
      </c>
      <c r="R50" s="111" t="str">
        <f>IF(HLOOKUP(R$6,CHARMS!$A$6:$CQ$89,30,)&lt;&gt;0,HLOOKUP(R$6,CHARMS!$A$6:$CQ$89,30,),"")</f>
        <v/>
      </c>
      <c r="S50" s="111" t="str">
        <f>IF(HLOOKUP(S$6,CHARMS!$A$6:$CQ$89,30,)&lt;&gt;0,HLOOKUP(S$6,CHARMS!$A$6:$CQ$89,30,),"")</f>
        <v/>
      </c>
      <c r="T50" s="111" t="str">
        <f>IF(HLOOKUP(T$6,CHARMS!$A$6:$CQ$89,30,)&lt;&gt;0,HLOOKUP(T$6,CHARMS!$A$6:$CQ$89,30,),"")</f>
        <v/>
      </c>
      <c r="U50" s="111" t="str">
        <f>IF(HLOOKUP(U$6,CHARMS!$A$6:$CQ$89,30,)&lt;&gt;0,HLOOKUP(U$6,CHARMS!$A$6:$CQ$89,30,),"")</f>
        <v/>
      </c>
      <c r="V50" s="111" t="str">
        <f>IF(HLOOKUP(V$6,CHARMS!$A$6:$CQ$89,30,)&lt;&gt;0,HLOOKUP(V$6,CHARMS!$A$6:$CQ$89,30,),"")</f>
        <v/>
      </c>
      <c r="W50" s="111" t="str">
        <f>IF(HLOOKUP(W$6,CHARMS!$A$6:$CQ$89,30,)&lt;&gt;0,HLOOKUP(W$6,CHARMS!$A$6:$CQ$89,30,),"")</f>
        <v/>
      </c>
      <c r="X50" s="111" t="str">
        <f>IF(HLOOKUP(X$6,CHARMS!$A$6:$CQ$89,30,)&lt;&gt;0,HLOOKUP(X$6,CHARMS!$A$6:$CQ$89,30,),"")</f>
        <v/>
      </c>
      <c r="Y50" s="111" t="str">
        <f>IF(HLOOKUP(Y$6,CHARMS!$A$6:$CQ$89,30,)&lt;&gt;0,HLOOKUP(Y$6,CHARMS!$A$6:$CQ$89,30,),"")</f>
        <v/>
      </c>
      <c r="Z50" s="111" t="str">
        <f>IF(HLOOKUP(Z$6,CHARMS!$A$6:$CQ$89,30,)&lt;&gt;0,HLOOKUP(Z$6,CHARMS!$A$6:$CQ$89,30,),"")</f>
        <v/>
      </c>
      <c r="AA50" s="111" t="str">
        <f>IF(HLOOKUP(AA$6,CHARMS!$A$6:$CQ$89,30,)&lt;&gt;0,HLOOKUP(AA$6,CHARMS!$A$6:$CQ$89,30,),"")</f>
        <v/>
      </c>
      <c r="AB50" s="111" t="str">
        <f>IF(HLOOKUP(AB$6,CHARMS!$A$6:$CQ$89,30,)&lt;&gt;0,HLOOKUP(AB$6,CHARMS!$A$6:$CQ$89,30,),"")</f>
        <v/>
      </c>
      <c r="AC50" s="111" t="str">
        <f>IF(HLOOKUP(AC$6,CHARMS!$A$6:$CQ$89,30,)&lt;&gt;0,HLOOKUP(AC$6,CHARMS!$A$6:$CQ$89,30,),"")</f>
        <v/>
      </c>
      <c r="AD50" s="111" t="str">
        <f>IF(HLOOKUP(AD$6,CHARMS!$A$6:$CQ$89,30,)&lt;&gt;0,HLOOKUP(AD$6,CHARMS!$A$6:$CQ$89,30,),"")</f>
        <v/>
      </c>
      <c r="AE50" s="111" t="str">
        <f>IF(HLOOKUP(AE$6,CHARMS!$A$6:$CQ$89,30,)&lt;&gt;0,HLOOKUP(AE$6,CHARMS!$A$6:$CQ$89,30,),"")</f>
        <v/>
      </c>
    </row>
    <row r="51" spans="1:31" s="83" customFormat="1" ht="15" customHeight="1" x14ac:dyDescent="0.2">
      <c r="A51" s="112" t="s">
        <v>195</v>
      </c>
      <c r="B51" s="113" t="str">
        <f>IF(HLOOKUP(B$6,CHARMS!$A$6:$CQ$89,31,)&lt;&gt;0,HLOOKUP(B$6,CHARMS!$A$6:$CQ$89,31,),"")</f>
        <v>At next appointment (28 - 30 days)</v>
      </c>
      <c r="C51" s="113" t="str">
        <f>IF(HLOOKUP(C$6,CHARMS!$A$6:$CQ$89,31,)&lt;&gt;0,HLOOKUP(C$6,CHARMS!$A$6:$CQ$89,31,),"")</f>
        <v>Next appointment time (Within 28 days)</v>
      </c>
      <c r="D51" s="113" t="str">
        <f>IF(HLOOKUP(D$6,CHARMS!$A$6:$CQ$89,31,)&lt;&gt;0,HLOOKUP(D$6,CHARMS!$A$6:$CQ$89,31,),"")</f>
        <v>Next appointment time (Within 28 days)</v>
      </c>
      <c r="E51" s="113" t="str">
        <f>IF(HLOOKUP(E$6,CHARMS!$A$6:$CQ$89,31,)&lt;&gt;0,HLOOKUP(E$6,CHARMS!$A$6:$CQ$89,31,),"")</f>
        <v>Next scheduled clinical appointment or pharmacy visit</v>
      </c>
      <c r="F51" s="113" t="str">
        <f>IF(HLOOKUP(F$6,CHARMS!$A$6:$CQ$89,31,)&lt;&gt;0,HLOOKUP(F$6,CHARMS!$A$6:$CQ$89,31,),"")</f>
        <v>Next scheduled clinical appointment or pharmacy visit</v>
      </c>
      <c r="G51" s="113" t="str">
        <f>IF(HLOOKUP(G$6,CHARMS!$A$6:$CQ$89,31,)&lt;&gt;0,HLOOKUP(G$6,CHARMS!$A$6:$CQ$89,31,),"")</f>
        <v>At least 90 dats apart within a 12-month period for retention</v>
      </c>
      <c r="H51" s="113" t="str">
        <f>IF(HLOOKUP(H$6,CHARMS!$A$6:$CQ$89,31,)&lt;&gt;0,HLOOKUP(H$6,CHARMS!$A$6:$CQ$89,31,),"")</f>
        <v>At least 90 dats apart within a 12-month period for retention</v>
      </c>
      <c r="I51" s="113" t="str">
        <f>IF(HLOOKUP(I$6,CHARMS!$A$6:$CQ$89,31,)&lt;&gt;0,HLOOKUP(I$6,CHARMS!$A$6:$CQ$89,31,),"")</f>
        <v xml:space="preserve">Next scheduled HIV clinic after the attended visit. </v>
      </c>
      <c r="J51" s="113" t="str">
        <f>IF(HLOOKUP(J$6,CHARMS!$A$6:$CQ$89,31,)&lt;&gt;0,HLOOKUP(J$6,CHARMS!$A$6:$CQ$89,31,),"")</f>
        <v>During the next clinic visit after enrollment</v>
      </c>
      <c r="K51" s="113" t="str">
        <f>IF(HLOOKUP(K$6,CHARMS!$A$6:$CQ$89,31,)&lt;&gt;0,HLOOKUP(K$6,CHARMS!$A$6:$CQ$89,31,),"")</f>
        <v>During the next visit</v>
      </c>
      <c r="L51" s="113" t="str">
        <f>IF(HLOOKUP(L$6,CHARMS!$A$6:$CQ$89,31,)&lt;&gt;0,HLOOKUP(L$6,CHARMS!$A$6:$CQ$89,31,),"")</f>
        <v>Unclear</v>
      </c>
      <c r="M51" s="113" t="str">
        <f>IF(HLOOKUP(M$6,CHARMS!$A$6:$CQ$89,31,)&lt;&gt;0,HLOOKUP(M$6,CHARMS!$A$6:$CQ$89,31,),"")</f>
        <v>During the next visit</v>
      </c>
      <c r="N51" s="113" t="str">
        <f>IF(HLOOKUP(N$6,CHARMS!$A$6:$CQ$89,31,)&lt;&gt;0,HLOOKUP(N$6,CHARMS!$A$6:$CQ$89,31,),"")</f>
        <v/>
      </c>
      <c r="O51" s="113" t="str">
        <f>IF(HLOOKUP(O$6,CHARMS!$A$6:$CQ$89,31,)&lt;&gt;0,HLOOKUP(O$6,CHARMS!$A$6:$CQ$89,31,),"")</f>
        <v/>
      </c>
      <c r="P51" s="113" t="str">
        <f>IF(HLOOKUP(P$6,CHARMS!$A$6:$CQ$89,31,)&lt;&gt;0,HLOOKUP(P$6,CHARMS!$A$6:$CQ$89,31,),"")</f>
        <v/>
      </c>
      <c r="Q51" s="113" t="str">
        <f>IF(HLOOKUP(Q$6,CHARMS!$A$6:$CQ$89,31,)&lt;&gt;0,HLOOKUP(Q$6,CHARMS!$A$6:$CQ$89,31,),"")</f>
        <v/>
      </c>
      <c r="R51" s="113" t="str">
        <f>IF(HLOOKUP(R$6,CHARMS!$A$6:$CQ$89,31,)&lt;&gt;0,HLOOKUP(R$6,CHARMS!$A$6:$CQ$89,31,),"")</f>
        <v/>
      </c>
      <c r="S51" s="113" t="str">
        <f>IF(HLOOKUP(S$6,CHARMS!$A$6:$CQ$89,31,)&lt;&gt;0,HLOOKUP(S$6,CHARMS!$A$6:$CQ$89,31,),"")</f>
        <v/>
      </c>
      <c r="T51" s="113" t="str">
        <f>IF(HLOOKUP(T$6,CHARMS!$A$6:$CQ$89,31,)&lt;&gt;0,HLOOKUP(T$6,CHARMS!$A$6:$CQ$89,31,),"")</f>
        <v/>
      </c>
      <c r="U51" s="113" t="str">
        <f>IF(HLOOKUP(U$6,CHARMS!$A$6:$CQ$89,31,)&lt;&gt;0,HLOOKUP(U$6,CHARMS!$A$6:$CQ$89,31,),"")</f>
        <v/>
      </c>
      <c r="V51" s="113" t="str">
        <f>IF(HLOOKUP(V$6,CHARMS!$A$6:$CQ$89,31,)&lt;&gt;0,HLOOKUP(V$6,CHARMS!$A$6:$CQ$89,31,),"")</f>
        <v/>
      </c>
      <c r="W51" s="113" t="str">
        <f>IF(HLOOKUP(W$6,CHARMS!$A$6:$CQ$89,31,)&lt;&gt;0,HLOOKUP(W$6,CHARMS!$A$6:$CQ$89,31,),"")</f>
        <v/>
      </c>
      <c r="X51" s="113" t="str">
        <f>IF(HLOOKUP(X$6,CHARMS!$A$6:$CQ$89,31,)&lt;&gt;0,HLOOKUP(X$6,CHARMS!$A$6:$CQ$89,31,),"")</f>
        <v/>
      </c>
      <c r="Y51" s="113" t="str">
        <f>IF(HLOOKUP(Y$6,CHARMS!$A$6:$CQ$89,31,)&lt;&gt;0,HLOOKUP(Y$6,CHARMS!$A$6:$CQ$89,31,),"")</f>
        <v/>
      </c>
      <c r="Z51" s="113" t="str">
        <f>IF(HLOOKUP(Z$6,CHARMS!$A$6:$CQ$89,31,)&lt;&gt;0,HLOOKUP(Z$6,CHARMS!$A$6:$CQ$89,31,),"")</f>
        <v/>
      </c>
      <c r="AA51" s="113" t="str">
        <f>IF(HLOOKUP(AA$6,CHARMS!$A$6:$CQ$89,31,)&lt;&gt;0,HLOOKUP(AA$6,CHARMS!$A$6:$CQ$89,31,),"")</f>
        <v/>
      </c>
      <c r="AB51" s="113" t="str">
        <f>IF(HLOOKUP(AB$6,CHARMS!$A$6:$CQ$89,31,)&lt;&gt;0,HLOOKUP(AB$6,CHARMS!$A$6:$CQ$89,31,),"")</f>
        <v/>
      </c>
      <c r="AC51" s="113" t="str">
        <f>IF(HLOOKUP(AC$6,CHARMS!$A$6:$CQ$89,31,)&lt;&gt;0,HLOOKUP(AC$6,CHARMS!$A$6:$CQ$89,31,),"")</f>
        <v/>
      </c>
      <c r="AD51" s="113" t="str">
        <f>IF(HLOOKUP(AD$6,CHARMS!$A$6:$CQ$89,31,)&lt;&gt;0,HLOOKUP(AD$6,CHARMS!$A$6:$CQ$89,31,),"")</f>
        <v/>
      </c>
      <c r="AE51" s="113" t="str">
        <f>IF(HLOOKUP(AE$6,CHARMS!$A$6:$CQ$89,31,)&lt;&gt;0,HLOOKUP(AE$6,CHARMS!$A$6:$CQ$89,31,),"")</f>
        <v/>
      </c>
    </row>
    <row r="52" spans="1:31" s="83" customFormat="1" ht="75" customHeight="1" x14ac:dyDescent="0.2">
      <c r="A52" s="114" t="s">
        <v>172</v>
      </c>
      <c r="B52" s="29" t="s">
        <v>426</v>
      </c>
      <c r="C52" s="29" t="s">
        <v>427</v>
      </c>
      <c r="D52" s="29" t="s">
        <v>427</v>
      </c>
      <c r="E52" s="29" t="s">
        <v>428</v>
      </c>
      <c r="F52" s="29" t="s">
        <v>428</v>
      </c>
      <c r="G52" s="29" t="s">
        <v>429</v>
      </c>
      <c r="H52" s="29" t="s">
        <v>429</v>
      </c>
      <c r="I52" s="29" t="s">
        <v>430</v>
      </c>
      <c r="J52" s="29"/>
      <c r="K52" s="29" t="s">
        <v>454</v>
      </c>
      <c r="L52" s="29"/>
      <c r="M52" s="29"/>
      <c r="N52" s="29"/>
      <c r="O52" s="29"/>
      <c r="P52" s="29"/>
      <c r="Q52" s="29"/>
      <c r="R52" s="29"/>
      <c r="S52" s="29"/>
      <c r="T52" s="29"/>
      <c r="U52" s="29"/>
      <c r="V52" s="29"/>
      <c r="W52" s="29"/>
      <c r="X52" s="29"/>
      <c r="Y52" s="29"/>
      <c r="Z52" s="29"/>
      <c r="AA52" s="29"/>
      <c r="AB52" s="29"/>
      <c r="AC52" s="29"/>
      <c r="AD52" s="29"/>
      <c r="AE52" s="29"/>
    </row>
    <row r="53" spans="1:31" ht="18.75" customHeight="1" x14ac:dyDescent="0.2">
      <c r="A53" s="94" t="s">
        <v>196</v>
      </c>
      <c r="B53" s="95"/>
      <c r="C53" s="95"/>
      <c r="D53" s="95"/>
      <c r="E53" s="95"/>
      <c r="F53" s="95"/>
      <c r="G53" s="95"/>
      <c r="H53" s="95"/>
      <c r="I53" s="95"/>
      <c r="J53" s="95"/>
      <c r="K53" s="95"/>
      <c r="L53" s="95"/>
      <c r="M53" s="95"/>
      <c r="N53" s="95"/>
      <c r="O53" s="95"/>
      <c r="P53" s="95"/>
      <c r="Q53" s="95"/>
      <c r="R53" s="95"/>
      <c r="S53" s="95"/>
      <c r="T53" s="95"/>
      <c r="U53" s="95"/>
      <c r="V53" s="95"/>
      <c r="W53" s="95"/>
      <c r="X53" s="95"/>
      <c r="Y53" s="95"/>
      <c r="Z53" s="95"/>
      <c r="AA53" s="95"/>
      <c r="AB53" s="95"/>
      <c r="AC53" s="95"/>
      <c r="AD53" s="95"/>
      <c r="AE53" s="95"/>
    </row>
    <row r="54" spans="1:31" s="104" customFormat="1" ht="15" customHeight="1" x14ac:dyDescent="0.2">
      <c r="A54" s="103" t="s">
        <v>197</v>
      </c>
      <c r="B54" s="27" t="s">
        <v>67</v>
      </c>
      <c r="C54" s="27" t="s">
        <v>67</v>
      </c>
      <c r="D54" s="27" t="s">
        <v>67</v>
      </c>
      <c r="E54" s="27" t="s">
        <v>158</v>
      </c>
      <c r="F54" s="27" t="s">
        <v>158</v>
      </c>
      <c r="G54" s="27" t="s">
        <v>67</v>
      </c>
      <c r="H54" s="27" t="s">
        <v>67</v>
      </c>
      <c r="I54" s="27" t="s">
        <v>67</v>
      </c>
      <c r="J54" s="27" t="s">
        <v>67</v>
      </c>
      <c r="K54" s="27" t="s">
        <v>67</v>
      </c>
      <c r="L54" s="27" t="s">
        <v>158</v>
      </c>
      <c r="M54" s="27" t="s">
        <v>157</v>
      </c>
      <c r="N54" s="27"/>
      <c r="O54" s="27"/>
      <c r="P54" s="27"/>
      <c r="Q54" s="27"/>
      <c r="R54" s="27"/>
      <c r="S54" s="27"/>
      <c r="T54" s="27"/>
      <c r="U54" s="27"/>
      <c r="V54" s="27"/>
      <c r="W54" s="27"/>
      <c r="X54" s="27"/>
      <c r="Y54" s="27"/>
      <c r="Z54" s="27"/>
      <c r="AA54" s="27"/>
      <c r="AB54" s="27"/>
      <c r="AC54" s="27"/>
      <c r="AD54" s="27"/>
      <c r="AE54" s="27"/>
    </row>
    <row r="55" spans="1:31" s="104" customFormat="1" ht="15" customHeight="1" x14ac:dyDescent="0.2">
      <c r="A55" s="115" t="s">
        <v>198</v>
      </c>
      <c r="B55" s="30" t="s">
        <v>155</v>
      </c>
      <c r="C55" s="30" t="s">
        <v>155</v>
      </c>
      <c r="D55" s="30" t="s">
        <v>67</v>
      </c>
      <c r="E55" s="30" t="s">
        <v>155</v>
      </c>
      <c r="F55" s="30" t="s">
        <v>155</v>
      </c>
      <c r="G55" s="30" t="s">
        <v>67</v>
      </c>
      <c r="H55" s="30" t="s">
        <v>67</v>
      </c>
      <c r="I55" s="30" t="s">
        <v>155</v>
      </c>
      <c r="J55" s="30" t="s">
        <v>155</v>
      </c>
      <c r="K55" s="30" t="s">
        <v>155</v>
      </c>
      <c r="L55" s="30" t="s">
        <v>155</v>
      </c>
      <c r="M55" s="30" t="s">
        <v>158</v>
      </c>
      <c r="N55" s="30"/>
      <c r="O55" s="30"/>
      <c r="P55" s="30"/>
      <c r="Q55" s="30"/>
      <c r="R55" s="30"/>
      <c r="S55" s="30"/>
      <c r="T55" s="30"/>
      <c r="U55" s="30"/>
      <c r="V55" s="30"/>
      <c r="W55" s="30"/>
      <c r="X55" s="30"/>
      <c r="Y55" s="30"/>
      <c r="Z55" s="30"/>
      <c r="AA55" s="30"/>
      <c r="AB55" s="30"/>
      <c r="AC55" s="30"/>
      <c r="AD55" s="30"/>
      <c r="AE55" s="30"/>
    </row>
    <row r="56" spans="1:31" s="104" customFormat="1" ht="15" customHeight="1" x14ac:dyDescent="0.2">
      <c r="A56" s="115" t="s">
        <v>199</v>
      </c>
      <c r="B56" s="30" t="s">
        <v>67</v>
      </c>
      <c r="C56" s="30" t="s">
        <v>72</v>
      </c>
      <c r="D56" s="30" t="s">
        <v>72</v>
      </c>
      <c r="E56" s="30" t="s">
        <v>155</v>
      </c>
      <c r="F56" s="30" t="s">
        <v>155</v>
      </c>
      <c r="G56" s="30" t="s">
        <v>67</v>
      </c>
      <c r="H56" s="30" t="s">
        <v>67</v>
      </c>
      <c r="I56" s="30" t="s">
        <v>155</v>
      </c>
      <c r="J56" s="30" t="s">
        <v>67</v>
      </c>
      <c r="K56" s="30" t="s">
        <v>155</v>
      </c>
      <c r="L56" s="30" t="s">
        <v>155</v>
      </c>
      <c r="M56" s="30" t="s">
        <v>155</v>
      </c>
      <c r="N56" s="30"/>
      <c r="O56" s="30"/>
      <c r="P56" s="30"/>
      <c r="Q56" s="30"/>
      <c r="R56" s="30"/>
      <c r="S56" s="30"/>
      <c r="T56" s="30"/>
      <c r="U56" s="30"/>
      <c r="V56" s="30"/>
      <c r="W56" s="30"/>
      <c r="X56" s="30"/>
      <c r="Y56" s="30"/>
      <c r="Z56" s="30"/>
      <c r="AA56" s="30"/>
      <c r="AB56" s="30"/>
      <c r="AC56" s="30"/>
      <c r="AD56" s="30"/>
      <c r="AE56" s="30"/>
    </row>
    <row r="57" spans="1:31" s="104" customFormat="1" ht="15" customHeight="1" x14ac:dyDescent="0.2">
      <c r="A57" s="115" t="s">
        <v>200</v>
      </c>
      <c r="B57" s="30" t="s">
        <v>67</v>
      </c>
      <c r="C57" s="30" t="s">
        <v>155</v>
      </c>
      <c r="D57" s="30" t="s">
        <v>155</v>
      </c>
      <c r="E57" s="30" t="s">
        <v>67</v>
      </c>
      <c r="F57" s="30" t="s">
        <v>67</v>
      </c>
      <c r="G57" s="30" t="s">
        <v>155</v>
      </c>
      <c r="H57" s="30" t="s">
        <v>155</v>
      </c>
      <c r="I57" s="30" t="s">
        <v>157</v>
      </c>
      <c r="J57" s="30" t="s">
        <v>157</v>
      </c>
      <c r="K57" s="30" t="s">
        <v>158</v>
      </c>
      <c r="L57" s="30" t="s">
        <v>158</v>
      </c>
      <c r="M57" s="30" t="s">
        <v>155</v>
      </c>
      <c r="N57" s="30"/>
      <c r="O57" s="30"/>
      <c r="P57" s="30"/>
      <c r="Q57" s="30"/>
      <c r="R57" s="30"/>
      <c r="S57" s="30"/>
      <c r="T57" s="30"/>
      <c r="U57" s="30"/>
      <c r="V57" s="30"/>
      <c r="W57" s="30"/>
      <c r="X57" s="30"/>
      <c r="Y57" s="30"/>
      <c r="Z57" s="30"/>
      <c r="AA57" s="30"/>
      <c r="AB57" s="30"/>
      <c r="AC57" s="30"/>
      <c r="AD57" s="30"/>
      <c r="AE57" s="30"/>
    </row>
    <row r="58" spans="1:31" s="104" customFormat="1" ht="15" customHeight="1" x14ac:dyDescent="0.2">
      <c r="A58" s="115" t="s">
        <v>201</v>
      </c>
      <c r="B58" s="30" t="s">
        <v>67</v>
      </c>
      <c r="C58" s="30" t="s">
        <v>67</v>
      </c>
      <c r="D58" s="30" t="s">
        <v>67</v>
      </c>
      <c r="E58" s="30" t="s">
        <v>155</v>
      </c>
      <c r="F58" s="30" t="s">
        <v>155</v>
      </c>
      <c r="G58" s="30" t="s">
        <v>67</v>
      </c>
      <c r="H58" s="30" t="s">
        <v>67</v>
      </c>
      <c r="I58" s="30" t="s">
        <v>67</v>
      </c>
      <c r="J58" s="30" t="s">
        <v>67</v>
      </c>
      <c r="K58" s="30" t="s">
        <v>158</v>
      </c>
      <c r="L58" s="30" t="s">
        <v>67</v>
      </c>
      <c r="M58" s="30" t="s">
        <v>155</v>
      </c>
      <c r="N58" s="30"/>
      <c r="O58" s="30"/>
      <c r="P58" s="30"/>
      <c r="Q58" s="30"/>
      <c r="R58" s="30"/>
      <c r="S58" s="30"/>
      <c r="T58" s="30"/>
      <c r="U58" s="30"/>
      <c r="V58" s="30"/>
      <c r="W58" s="30"/>
      <c r="X58" s="30"/>
      <c r="Y58" s="30"/>
      <c r="Z58" s="30"/>
      <c r="AA58" s="30"/>
      <c r="AB58" s="30"/>
      <c r="AC58" s="30"/>
      <c r="AD58" s="30"/>
      <c r="AE58" s="30"/>
    </row>
    <row r="59" spans="1:31" s="104" customFormat="1" ht="15" customHeight="1" x14ac:dyDescent="0.2">
      <c r="A59" s="115" t="s">
        <v>202</v>
      </c>
      <c r="B59" s="30" t="s">
        <v>155</v>
      </c>
      <c r="C59" s="30" t="s">
        <v>155</v>
      </c>
      <c r="D59" s="30" t="s">
        <v>155</v>
      </c>
      <c r="E59" s="30" t="s">
        <v>155</v>
      </c>
      <c r="F59" s="30" t="s">
        <v>155</v>
      </c>
      <c r="G59" s="30" t="s">
        <v>155</v>
      </c>
      <c r="H59" s="30" t="s">
        <v>155</v>
      </c>
      <c r="I59" s="30" t="s">
        <v>155</v>
      </c>
      <c r="J59" s="30" t="s">
        <v>155</v>
      </c>
      <c r="K59" s="30" t="s">
        <v>155</v>
      </c>
      <c r="L59" s="30" t="s">
        <v>155</v>
      </c>
      <c r="M59" s="30" t="s">
        <v>155</v>
      </c>
      <c r="N59" s="30"/>
      <c r="O59" s="30"/>
      <c r="P59" s="30"/>
      <c r="Q59" s="30"/>
      <c r="R59" s="30"/>
      <c r="S59" s="30"/>
      <c r="T59" s="30"/>
      <c r="U59" s="30"/>
      <c r="V59" s="30"/>
      <c r="W59" s="30"/>
      <c r="X59" s="30"/>
      <c r="Y59" s="30"/>
      <c r="Z59" s="30"/>
      <c r="AA59" s="30"/>
      <c r="AB59" s="30"/>
      <c r="AC59" s="30"/>
      <c r="AD59" s="30"/>
      <c r="AE59" s="30"/>
    </row>
    <row r="60" spans="1:31" s="104" customFormat="1" ht="15" customHeight="1" x14ac:dyDescent="0.2">
      <c r="A60" s="115" t="s">
        <v>203</v>
      </c>
      <c r="B60" s="30" t="s">
        <v>67</v>
      </c>
      <c r="C60" s="30" t="s">
        <v>67</v>
      </c>
      <c r="D60" s="30" t="s">
        <v>67</v>
      </c>
      <c r="E60" s="30" t="s">
        <v>67</v>
      </c>
      <c r="F60" s="30" t="s">
        <v>67</v>
      </c>
      <c r="G60" s="30" t="s">
        <v>67</v>
      </c>
      <c r="H60" s="30" t="s">
        <v>67</v>
      </c>
      <c r="I60" s="30" t="s">
        <v>67</v>
      </c>
      <c r="J60" s="30" t="s">
        <v>67</v>
      </c>
      <c r="K60" s="30" t="s">
        <v>155</v>
      </c>
      <c r="L60" s="30" t="s">
        <v>67</v>
      </c>
      <c r="M60" s="30" t="s">
        <v>67</v>
      </c>
      <c r="N60" s="30"/>
      <c r="O60" s="30"/>
      <c r="P60" s="30"/>
      <c r="Q60" s="30"/>
      <c r="R60" s="30"/>
      <c r="S60" s="30"/>
      <c r="T60" s="30"/>
      <c r="U60" s="30"/>
      <c r="V60" s="30"/>
      <c r="W60" s="30"/>
      <c r="X60" s="30"/>
      <c r="Y60" s="30"/>
      <c r="Z60" s="30"/>
      <c r="AA60" s="30"/>
      <c r="AB60" s="30"/>
      <c r="AC60" s="30"/>
      <c r="AD60" s="30"/>
      <c r="AE60" s="30"/>
    </row>
    <row r="61" spans="1:31" s="104" customFormat="1" ht="15" customHeight="1" x14ac:dyDescent="0.2">
      <c r="A61" s="115" t="s">
        <v>204</v>
      </c>
      <c r="B61" s="30" t="s">
        <v>157</v>
      </c>
      <c r="C61" s="30" t="s">
        <v>155</v>
      </c>
      <c r="D61" s="30" t="s">
        <v>155</v>
      </c>
      <c r="E61" s="30" t="s">
        <v>157</v>
      </c>
      <c r="F61" s="30" t="s">
        <v>157</v>
      </c>
      <c r="G61" s="30" t="s">
        <v>157</v>
      </c>
      <c r="H61" s="30" t="s">
        <v>72</v>
      </c>
      <c r="I61" s="30" t="s">
        <v>155</v>
      </c>
      <c r="J61" s="30" t="s">
        <v>158</v>
      </c>
      <c r="K61" s="30" t="s">
        <v>157</v>
      </c>
      <c r="L61" s="30" t="s">
        <v>155</v>
      </c>
      <c r="M61" s="30" t="s">
        <v>155</v>
      </c>
      <c r="N61" s="30"/>
      <c r="O61" s="30"/>
      <c r="P61" s="30"/>
      <c r="Q61" s="30"/>
      <c r="R61" s="30"/>
      <c r="S61" s="30"/>
      <c r="T61" s="30"/>
      <c r="U61" s="30"/>
      <c r="V61" s="30"/>
      <c r="W61" s="30"/>
      <c r="X61" s="30"/>
      <c r="Y61" s="30"/>
      <c r="Z61" s="30"/>
      <c r="AA61" s="30"/>
      <c r="AB61" s="30"/>
      <c r="AC61" s="30"/>
      <c r="AD61" s="30"/>
      <c r="AE61" s="30"/>
    </row>
    <row r="62" spans="1:31" s="104" customFormat="1" ht="30" customHeight="1" x14ac:dyDescent="0.2">
      <c r="A62" s="116" t="s">
        <v>205</v>
      </c>
      <c r="B62" s="28" t="s">
        <v>158</v>
      </c>
      <c r="C62" s="28" t="s">
        <v>72</v>
      </c>
      <c r="D62" s="28" t="s">
        <v>155</v>
      </c>
      <c r="E62" s="28" t="s">
        <v>158</v>
      </c>
      <c r="F62" s="28" t="s">
        <v>158</v>
      </c>
      <c r="G62" s="28" t="s">
        <v>158</v>
      </c>
      <c r="H62" s="28" t="s">
        <v>158</v>
      </c>
      <c r="I62" s="28" t="s">
        <v>157</v>
      </c>
      <c r="J62" s="28" t="s">
        <v>158</v>
      </c>
      <c r="K62" s="28" t="s">
        <v>158</v>
      </c>
      <c r="L62" s="28" t="s">
        <v>157</v>
      </c>
      <c r="M62" s="28" t="s">
        <v>158</v>
      </c>
      <c r="N62" s="28"/>
      <c r="O62" s="28"/>
      <c r="P62" s="28"/>
      <c r="Q62" s="28"/>
      <c r="R62" s="28"/>
      <c r="S62" s="28"/>
      <c r="T62" s="28"/>
      <c r="U62" s="28"/>
      <c r="V62" s="28"/>
      <c r="W62" s="28"/>
      <c r="X62" s="28"/>
      <c r="Y62" s="28"/>
      <c r="Z62" s="28"/>
      <c r="AA62" s="28"/>
      <c r="AB62" s="28"/>
      <c r="AC62" s="28"/>
      <c r="AD62" s="28"/>
      <c r="AE62" s="28"/>
    </row>
    <row r="63" spans="1:31" s="83" customFormat="1" ht="18.75" customHeight="1" x14ac:dyDescent="0.2">
      <c r="A63" s="117" t="s">
        <v>206</v>
      </c>
      <c r="B63" s="32" t="s">
        <v>160</v>
      </c>
      <c r="C63" s="32" t="s">
        <v>161</v>
      </c>
      <c r="D63" s="32" t="s">
        <v>161</v>
      </c>
      <c r="E63" s="32" t="s">
        <v>160</v>
      </c>
      <c r="F63" s="32" t="s">
        <v>160</v>
      </c>
      <c r="G63" s="32" t="s">
        <v>51</v>
      </c>
      <c r="H63" s="32" t="s">
        <v>160</v>
      </c>
      <c r="I63" s="32" t="s">
        <v>160</v>
      </c>
      <c r="J63" s="32" t="s">
        <v>160</v>
      </c>
      <c r="K63" s="32" t="s">
        <v>160</v>
      </c>
      <c r="L63" s="32" t="s">
        <v>160</v>
      </c>
      <c r="M63" s="32" t="s">
        <v>51</v>
      </c>
      <c r="N63" s="32"/>
      <c r="O63" s="32"/>
      <c r="P63" s="32"/>
      <c r="Q63" s="32"/>
      <c r="R63" s="32"/>
      <c r="S63" s="32"/>
      <c r="T63" s="32"/>
      <c r="U63" s="32"/>
      <c r="V63" s="32"/>
      <c r="W63" s="32"/>
      <c r="X63" s="32"/>
      <c r="Y63" s="32"/>
      <c r="Z63" s="32"/>
      <c r="AA63" s="32"/>
      <c r="AB63" s="32"/>
      <c r="AC63" s="32"/>
      <c r="AD63" s="32"/>
      <c r="AE63" s="32"/>
    </row>
    <row r="64" spans="1:31" s="83" customFormat="1" ht="15" customHeight="1" x14ac:dyDescent="0.2">
      <c r="A64" s="118" t="s">
        <v>165</v>
      </c>
      <c r="B64" s="119"/>
      <c r="C64" s="119"/>
      <c r="D64" s="119"/>
      <c r="E64" s="119"/>
      <c r="F64" s="119"/>
      <c r="G64" s="119"/>
      <c r="H64" s="119"/>
      <c r="I64" s="119"/>
      <c r="J64" s="119"/>
      <c r="K64" s="119"/>
      <c r="L64" s="119"/>
      <c r="M64" s="119"/>
      <c r="N64" s="119"/>
      <c r="O64" s="119"/>
      <c r="P64" s="119"/>
      <c r="Q64" s="119"/>
      <c r="R64" s="119"/>
      <c r="S64" s="119"/>
      <c r="T64" s="119"/>
      <c r="U64" s="119"/>
      <c r="V64" s="119"/>
      <c r="W64" s="119"/>
      <c r="X64" s="119"/>
      <c r="Y64" s="119"/>
      <c r="Z64" s="119"/>
      <c r="AA64" s="119"/>
      <c r="AB64" s="119"/>
      <c r="AC64" s="119"/>
      <c r="AD64" s="119"/>
      <c r="AE64" s="119"/>
    </row>
    <row r="65" spans="1:31" s="83" customFormat="1" ht="15" customHeight="1" x14ac:dyDescent="0.2">
      <c r="A65" s="110" t="s">
        <v>207</v>
      </c>
      <c r="B65" s="111" t="str">
        <f>IF(HLOOKUP(B$6,CHARMS!$A$6:$CQ$89,41,)&lt;&gt;0,CONCATENATE(HLOOKUP(B$6,CHARMS!$A$6:$CQ$89,41,)," from ",HLOOKUP(B$6,CHARMS!$A$6:$CQ$89,40,)," (",FIXED((HLOOKUP(B$6,CHARMS!$A$6:$CQ$89,41,)/HLOOKUP(B$6,CHARMS!$A$6:$CQ$89,40,))*100,1),"%)"),"")</f>
        <v>56581 from 136747 (41.4%)</v>
      </c>
      <c r="C65" s="111" t="str">
        <f>IF(HLOOKUP(C$6,CHARMS!$A$6:$CQ$89,41,)&lt;&gt;0,CONCATENATE(HLOOKUP(C$6,CHARMS!$A$6:$CQ$89,41,)," from ",HLOOKUP(C$6,CHARMS!$A$6:$CQ$89,40,)," (",FIXED((HLOOKUP(C$6,CHARMS!$A$6:$CQ$89,41,)/HLOOKUP(C$6,CHARMS!$A$6:$CQ$89,40,))*100,1),"%)"),"")</f>
        <v>35985 from 264877 (13.6%)</v>
      </c>
      <c r="D65" s="111" t="str">
        <f>IF(HLOOKUP(D$6,CHARMS!$A$6:$CQ$89,41,)&lt;&gt;0,CONCATENATE(HLOOKUP(D$6,CHARMS!$A$6:$CQ$89,41,)," from ",HLOOKUP(D$6,CHARMS!$A$6:$CQ$89,40,)," (",FIXED((HLOOKUP(D$6,CHARMS!$A$6:$CQ$89,41,)/HLOOKUP(D$6,CHARMS!$A$6:$CQ$89,40,))*100,1),"%)"),"")</f>
        <v>35985 from 136082 (26.4%)</v>
      </c>
      <c r="E65" s="111" t="e">
        <f>IF(HLOOKUP(E$6,CHARMS!$A$6:$CQ$89,41,)&lt;&gt;0,CONCATENATE(HLOOKUP(E$6,CHARMS!$A$6:$CQ$89,41,)," from ",HLOOKUP(E$6,CHARMS!$A$6:$CQ$89,40,)," (",FIXED((HLOOKUP(E$6,CHARMS!$A$6:$CQ$89,41,)/HLOOKUP(E$6,CHARMS!$A$6:$CQ$89,40,))*100,1),"%)"),"")</f>
        <v>#VALUE!</v>
      </c>
      <c r="F65" s="111" t="e">
        <f>IF(HLOOKUP(F$6,CHARMS!$A$6:$CQ$89,41,)&lt;&gt;0,CONCATENATE(HLOOKUP(F$6,CHARMS!$A$6:$CQ$89,41,)," from ",HLOOKUP(F$6,CHARMS!$A$6:$CQ$89,40,)," (",FIXED((HLOOKUP(F$6,CHARMS!$A$6:$CQ$89,41,)/HLOOKUP(F$6,CHARMS!$A$6:$CQ$89,40,))*100,1),"%)"),"")</f>
        <v>#VALUE!</v>
      </c>
      <c r="G65" s="111" t="str">
        <f>IF(HLOOKUP(G$6,CHARMS!$A$6:$CQ$89,41,)&lt;&gt;0,CONCATENATE(HLOOKUP(G$6,CHARMS!$A$6:$CQ$89,41,)," from ",HLOOKUP(G$6,CHARMS!$A$6:$CQ$89,40,)," (",FIXED((HLOOKUP(G$6,CHARMS!$A$6:$CQ$89,41,)/HLOOKUP(G$6,CHARMS!$A$6:$CQ$89,40,))*100,1),"%)"),"")</f>
        <v>1373 from 11445 (12.0%)</v>
      </c>
      <c r="H65" s="111" t="str">
        <f>IF(HLOOKUP(H$6,CHARMS!$A$6:$CQ$89,41,)&lt;&gt;0,CONCATENATE(HLOOKUP(H$6,CHARMS!$A$6:$CQ$89,41,)," from ",HLOOKUP(H$6,CHARMS!$A$6:$CQ$89,40,)," (",FIXED((HLOOKUP(H$6,CHARMS!$A$6:$CQ$89,41,)/HLOOKUP(H$6,CHARMS!$A$6:$CQ$89,40,))*100,1),"%)"),"")</f>
        <v>1373 from 11445 (12.0%)</v>
      </c>
      <c r="I65" s="111" t="str">
        <f>IF(HLOOKUP(I$6,CHARMS!$A$6:$CQ$89,41,)&lt;&gt;0,CONCATENATE(HLOOKUP(I$6,CHARMS!$A$6:$CQ$89,41,)," from ",HLOOKUP(I$6,CHARMS!$A$6:$CQ$89,40,)," (",FIXED((HLOOKUP(I$6,CHARMS!$A$6:$CQ$89,41,)/HLOOKUP(I$6,CHARMS!$A$6:$CQ$89,40,))*100,1),"%)"),"")</f>
        <v>17957 from 105628 (17.0%)</v>
      </c>
      <c r="J65" s="111" t="str">
        <f>IF(HLOOKUP(J$6,CHARMS!$A$6:$CQ$89,41,)&lt;&gt;0,CONCATENATE(HLOOKUP(J$6,CHARMS!$A$6:$CQ$89,41,)," from ",HLOOKUP(J$6,CHARMS!$A$6:$CQ$89,40,)," (",FIXED((HLOOKUP(J$6,CHARMS!$A$6:$CQ$89,41,)/HLOOKUP(J$6,CHARMS!$A$6:$CQ$89,40,))*100,1),"%)"),"")</f>
        <v>146881 from 1399145 (10.5%)</v>
      </c>
      <c r="K65" s="111" t="str">
        <f>IF(HLOOKUP(K$6,CHARMS!$A$6:$CQ$89,41,)&lt;&gt;0,CONCATENATE(HLOOKUP(K$6,CHARMS!$A$6:$CQ$89,41,)," from ",HLOOKUP(K$6,CHARMS!$A$6:$CQ$89,40,)," (",FIXED((HLOOKUP(K$6,CHARMS!$A$6:$CQ$89,41,)/HLOOKUP(K$6,CHARMS!$A$6:$CQ$89,40,))*100,1),"%)"),"")</f>
        <v>146881 from 3264671 (4.5%)</v>
      </c>
      <c r="L65" s="111" t="str">
        <f>IF(HLOOKUP(L$6,CHARMS!$A$6:$CQ$89,41,)&lt;&gt;0,CONCATENATE(HLOOKUP(L$6,CHARMS!$A$6:$CQ$89,41,)," from ",HLOOKUP(L$6,CHARMS!$A$6:$CQ$89,40,)," (",FIXED((HLOOKUP(L$6,CHARMS!$A$6:$CQ$89,41,)/HLOOKUP(L$6,CHARMS!$A$6:$CQ$89,40,))*100,1),"%)"),"")</f>
        <v/>
      </c>
      <c r="M65" s="111" t="str">
        <f>IF(HLOOKUP(M$6,CHARMS!$A$6:$CQ$89,41,)&lt;&gt;0,CONCATENATE(HLOOKUP(M$6,CHARMS!$A$6:$CQ$89,41,)," from ",HLOOKUP(M$6,CHARMS!$A$6:$CQ$89,40,)," (",FIXED((HLOOKUP(M$6,CHARMS!$A$6:$CQ$89,41,)/HLOOKUP(M$6,CHARMS!$A$6:$CQ$89,40,))*100,1),"%)"),"")</f>
        <v>72 from 178 (40.4%)</v>
      </c>
      <c r="N65" s="111" t="str">
        <f>IF(HLOOKUP(N$6,CHARMS!$A$6:$CQ$89,41,)&lt;&gt;0,CONCATENATE(HLOOKUP(N$6,CHARMS!$A$6:$CQ$89,41,)," from ",HLOOKUP(N$6,CHARMS!$A$6:$CQ$89,40,)," (",FIXED((HLOOKUP(N$6,CHARMS!$A$6:$CQ$89,41,)/HLOOKUP(N$6,CHARMS!$A$6:$CQ$89,40,))*100,1),"%)"),"")</f>
        <v/>
      </c>
      <c r="O65" s="111" t="str">
        <f>IF(HLOOKUP(O$6,CHARMS!$A$6:$CQ$89,41,)&lt;&gt;0,CONCATENATE(HLOOKUP(O$6,CHARMS!$A$6:$CQ$89,41,)," from ",HLOOKUP(O$6,CHARMS!$A$6:$CQ$89,40,)," (",FIXED((HLOOKUP(O$6,CHARMS!$A$6:$CQ$89,41,)/HLOOKUP(O$6,CHARMS!$A$6:$CQ$89,40,))*100,1),"%)"),"")</f>
        <v/>
      </c>
      <c r="P65" s="111" t="str">
        <f>IF(HLOOKUP(P$6,CHARMS!$A$6:$CQ$89,41,)&lt;&gt;0,CONCATENATE(HLOOKUP(P$6,CHARMS!$A$6:$CQ$89,41,)," from ",HLOOKUP(P$6,CHARMS!$A$6:$CQ$89,40,)," (",FIXED((HLOOKUP(P$6,CHARMS!$A$6:$CQ$89,41,)/HLOOKUP(P$6,CHARMS!$A$6:$CQ$89,40,))*100,1),"%)"),"")</f>
        <v/>
      </c>
      <c r="Q65" s="111" t="str">
        <f>IF(HLOOKUP(Q$6,CHARMS!$A$6:$CQ$89,41,)&lt;&gt;0,CONCATENATE(HLOOKUP(Q$6,CHARMS!$A$6:$CQ$89,41,)," from ",HLOOKUP(Q$6,CHARMS!$A$6:$CQ$89,40,)," (",FIXED((HLOOKUP(Q$6,CHARMS!$A$6:$CQ$89,41,)/HLOOKUP(Q$6,CHARMS!$A$6:$CQ$89,40,))*100,1),"%)"),"")</f>
        <v/>
      </c>
      <c r="R65" s="111" t="str">
        <f>IF(HLOOKUP(R$6,CHARMS!$A$6:$CQ$89,41,)&lt;&gt;0,CONCATENATE(HLOOKUP(R$6,CHARMS!$A$6:$CQ$89,41,)," from ",HLOOKUP(R$6,CHARMS!$A$6:$CQ$89,40,)," (",FIXED((HLOOKUP(R$6,CHARMS!$A$6:$CQ$89,41,)/HLOOKUP(R$6,CHARMS!$A$6:$CQ$89,40,))*100,1),"%)"),"")</f>
        <v/>
      </c>
      <c r="S65" s="111" t="str">
        <f>IF(HLOOKUP(S$6,CHARMS!$A$6:$CQ$89,41,)&lt;&gt;0,CONCATENATE(HLOOKUP(S$6,CHARMS!$A$6:$CQ$89,41,)," from ",HLOOKUP(S$6,CHARMS!$A$6:$CQ$89,40,)," (",FIXED((HLOOKUP(S$6,CHARMS!$A$6:$CQ$89,41,)/HLOOKUP(S$6,CHARMS!$A$6:$CQ$89,40,))*100,1),"%)"),"")</f>
        <v/>
      </c>
      <c r="T65" s="111" t="str">
        <f>IF(HLOOKUP(T$6,CHARMS!$A$6:$CQ$89,41,)&lt;&gt;0,CONCATENATE(HLOOKUP(T$6,CHARMS!$A$6:$CQ$89,41,)," from ",HLOOKUP(T$6,CHARMS!$A$6:$CQ$89,40,)," (",FIXED((HLOOKUP(T$6,CHARMS!$A$6:$CQ$89,41,)/HLOOKUP(T$6,CHARMS!$A$6:$CQ$89,40,))*100,1),"%)"),"")</f>
        <v/>
      </c>
      <c r="U65" s="111" t="str">
        <f>IF(HLOOKUP(U$6,CHARMS!$A$6:$CQ$89,41,)&lt;&gt;0,CONCATENATE(HLOOKUP(U$6,CHARMS!$A$6:$CQ$89,41,)," from ",HLOOKUP(U$6,CHARMS!$A$6:$CQ$89,40,)," (",FIXED((HLOOKUP(U$6,CHARMS!$A$6:$CQ$89,41,)/HLOOKUP(U$6,CHARMS!$A$6:$CQ$89,40,))*100,1),"%)"),"")</f>
        <v/>
      </c>
      <c r="V65" s="111" t="str">
        <f>IF(HLOOKUP(V$6,CHARMS!$A$6:$CQ$89,41,)&lt;&gt;0,CONCATENATE(HLOOKUP(V$6,CHARMS!$A$6:$CQ$89,41,)," from ",HLOOKUP(V$6,CHARMS!$A$6:$CQ$89,40,)," (",FIXED((HLOOKUP(V$6,CHARMS!$A$6:$CQ$89,41,)/HLOOKUP(V$6,CHARMS!$A$6:$CQ$89,40,))*100,1),"%)"),"")</f>
        <v/>
      </c>
      <c r="W65" s="111" t="str">
        <f>IF(HLOOKUP(W$6,CHARMS!$A$6:$CQ$89,41,)&lt;&gt;0,CONCATENATE(HLOOKUP(W$6,CHARMS!$A$6:$CQ$89,41,)," from ",HLOOKUP(W$6,CHARMS!$A$6:$CQ$89,40,)," (",FIXED((HLOOKUP(W$6,CHARMS!$A$6:$CQ$89,41,)/HLOOKUP(W$6,CHARMS!$A$6:$CQ$89,40,))*100,1),"%)"),"")</f>
        <v/>
      </c>
      <c r="X65" s="111" t="str">
        <f>IF(HLOOKUP(X$6,CHARMS!$A$6:$CQ$89,41,)&lt;&gt;0,CONCATENATE(HLOOKUP(X$6,CHARMS!$A$6:$CQ$89,41,)," from ",HLOOKUP(X$6,CHARMS!$A$6:$CQ$89,40,)," (",FIXED((HLOOKUP(X$6,CHARMS!$A$6:$CQ$89,41,)/HLOOKUP(X$6,CHARMS!$A$6:$CQ$89,40,))*100,1),"%)"),"")</f>
        <v/>
      </c>
      <c r="Y65" s="111" t="str">
        <f>IF(HLOOKUP(Y$6,CHARMS!$A$6:$CQ$89,41,)&lt;&gt;0,CONCATENATE(HLOOKUP(Y$6,CHARMS!$A$6:$CQ$89,41,)," from ",HLOOKUP(Y$6,CHARMS!$A$6:$CQ$89,40,)," (",FIXED((HLOOKUP(Y$6,CHARMS!$A$6:$CQ$89,41,)/HLOOKUP(Y$6,CHARMS!$A$6:$CQ$89,40,))*100,1),"%)"),"")</f>
        <v/>
      </c>
      <c r="Z65" s="111" t="str">
        <f>IF(HLOOKUP(Z$6,CHARMS!$A$6:$CQ$89,41,)&lt;&gt;0,CONCATENATE(HLOOKUP(Z$6,CHARMS!$A$6:$CQ$89,41,)," from ",HLOOKUP(Z$6,CHARMS!$A$6:$CQ$89,40,)," (",FIXED((HLOOKUP(Z$6,CHARMS!$A$6:$CQ$89,41,)/HLOOKUP(Z$6,CHARMS!$A$6:$CQ$89,40,))*100,1),"%)"),"")</f>
        <v/>
      </c>
      <c r="AA65" s="111" t="str">
        <f>IF(HLOOKUP(AA$6,CHARMS!$A$6:$CQ$89,41,)&lt;&gt;0,CONCATENATE(HLOOKUP(AA$6,CHARMS!$A$6:$CQ$89,41,)," from ",HLOOKUP(AA$6,CHARMS!$A$6:$CQ$89,40,)," (",FIXED((HLOOKUP(AA$6,CHARMS!$A$6:$CQ$89,41,)/HLOOKUP(AA$6,CHARMS!$A$6:$CQ$89,40,))*100,1),"%)"),"")</f>
        <v/>
      </c>
      <c r="AB65" s="111" t="str">
        <f>IF(HLOOKUP(AB$6,CHARMS!$A$6:$CQ$89,41,)&lt;&gt;0,CONCATENATE(HLOOKUP(AB$6,CHARMS!$A$6:$CQ$89,41,)," from ",HLOOKUP(AB$6,CHARMS!$A$6:$CQ$89,40,)," (",FIXED((HLOOKUP(AB$6,CHARMS!$A$6:$CQ$89,41,)/HLOOKUP(AB$6,CHARMS!$A$6:$CQ$89,40,))*100,1),"%)"),"")</f>
        <v/>
      </c>
      <c r="AC65" s="111" t="str">
        <f>IF(HLOOKUP(AC$6,CHARMS!$A$6:$CQ$89,41,)&lt;&gt;0,CONCATENATE(HLOOKUP(AC$6,CHARMS!$A$6:$CQ$89,41,)," from ",HLOOKUP(AC$6,CHARMS!$A$6:$CQ$89,40,)," (",FIXED((HLOOKUP(AC$6,CHARMS!$A$6:$CQ$89,41,)/HLOOKUP(AC$6,CHARMS!$A$6:$CQ$89,40,))*100,1),"%)"),"")</f>
        <v/>
      </c>
      <c r="AD65" s="111" t="str">
        <f>IF(HLOOKUP(AD$6,CHARMS!$A$6:$CQ$89,41,)&lt;&gt;0,CONCATENATE(HLOOKUP(AD$6,CHARMS!$A$6:$CQ$89,41,)," from ",HLOOKUP(AD$6,CHARMS!$A$6:$CQ$89,40,)," (",FIXED((HLOOKUP(AD$6,CHARMS!$A$6:$CQ$89,41,)/HLOOKUP(AD$6,CHARMS!$A$6:$CQ$89,40,))*100,1),"%)"),"")</f>
        <v/>
      </c>
      <c r="AE65" s="111" t="str">
        <f>IF(HLOOKUP(AE$6,CHARMS!$A$6:$CQ$89,41,)&lt;&gt;0,CONCATENATE(HLOOKUP(AE$6,CHARMS!$A$6:$CQ$89,41,)," from ",HLOOKUP(AE$6,CHARMS!$A$6:$CQ$89,40,)," (",FIXED((HLOOKUP(AE$6,CHARMS!$A$6:$CQ$89,41,)/HLOOKUP(AE$6,CHARMS!$A$6:$CQ$89,40,))*100,1),"%)"),"")</f>
        <v/>
      </c>
    </row>
    <row r="66" spans="1:31" s="83" customFormat="1" ht="15" customHeight="1" x14ac:dyDescent="0.2">
      <c r="A66" s="110" t="s">
        <v>208</v>
      </c>
      <c r="B66" s="120">
        <f>IF(HLOOKUP(B$6,CHARMS!$A$6:$CQ$89,43,)&lt;&gt;0,HLOOKUP(B$6,CHARMS!$A$6:$CQ$89,43,),"")</f>
        <v>4352.3846153846152</v>
      </c>
      <c r="C66" s="111">
        <f>IF(HLOOKUP(C$6,CHARMS!$A$6:$CQ$89,43,)&lt;&gt;0,HLOOKUP(C$6,CHARMS!$A$6:$CQ$89,43,),"")</f>
        <v>2768.0769230769229</v>
      </c>
      <c r="D66" s="111">
        <f>IF(HLOOKUP(D$6,CHARMS!$A$6:$CQ$89,43,)&lt;&gt;0,HLOOKUP(D$6,CHARMS!$A$6:$CQ$89,43,),"")</f>
        <v>2768.0769230769229</v>
      </c>
      <c r="E66" s="111" t="str">
        <f>IF(HLOOKUP(E$6,CHARMS!$A$6:$CQ$89,43,)&lt;&gt;0,HLOOKUP(E$6,CHARMS!$A$6:$CQ$89,43,),"")</f>
        <v>Unknown</v>
      </c>
      <c r="F66" s="111" t="str">
        <f>IF(HLOOKUP(F$6,CHARMS!$A$6:$CQ$89,43,)&lt;&gt;0,HLOOKUP(F$6,CHARMS!$A$6:$CQ$89,43,),"")</f>
        <v>Unknown</v>
      </c>
      <c r="G66" s="111">
        <f>IF(HLOOKUP(G$6,CHARMS!$A$6:$CQ$89,43,)&lt;&gt;0,HLOOKUP(G$6,CHARMS!$A$6:$CQ$89,43,),"")</f>
        <v>1.373</v>
      </c>
      <c r="H66" s="111">
        <f>IF(HLOOKUP(H$6,CHARMS!$A$6:$CQ$89,43,)&lt;&gt;0,HLOOKUP(H$6,CHARMS!$A$6:$CQ$89,43,),"")</f>
        <v>1.7162500000000001</v>
      </c>
      <c r="I66" s="111">
        <f>IF(HLOOKUP(I$6,CHARMS!$A$6:$CQ$89,43,)&lt;&gt;0,HLOOKUP(I$6,CHARMS!$A$6:$CQ$89,43,),"")</f>
        <v>1282.6428571428571</v>
      </c>
      <c r="J66" s="111">
        <f>IF(HLOOKUP(J$6,CHARMS!$A$6:$CQ$89,43,)&lt;&gt;0,HLOOKUP(J$6,CHARMS!$A$6:$CQ$89,43,),"")</f>
        <v>1958.4133333333334</v>
      </c>
      <c r="K66" s="111">
        <f>IF(HLOOKUP(K$6,CHARMS!$A$6:$CQ$89,43,)&lt;&gt;0,HLOOKUP(K$6,CHARMS!$A$6:$CQ$89,43,),"")</f>
        <v>13352.818181818182</v>
      </c>
      <c r="L66" s="111" t="str">
        <f>IF(HLOOKUP(L$6,CHARMS!$A$6:$CQ$89,43,)&lt;&gt;0,HLOOKUP(L$6,CHARMS!$A$6:$CQ$89,43,),"")</f>
        <v/>
      </c>
      <c r="M66" s="111">
        <f>IF(HLOOKUP(M$6,CHARMS!$A$6:$CQ$89,43,)&lt;&gt;0,HLOOKUP(M$6,CHARMS!$A$6:$CQ$89,43,),"")</f>
        <v>3.2727272727272729</v>
      </c>
      <c r="N66" s="111" t="str">
        <f>IF(HLOOKUP(N$6,CHARMS!$A$6:$CQ$89,43,)&lt;&gt;0,HLOOKUP(N$6,CHARMS!$A$6:$CQ$89,43,),"")</f>
        <v/>
      </c>
      <c r="O66" s="111" t="str">
        <f>IF(HLOOKUP(O$6,CHARMS!$A$6:$CQ$89,43,)&lt;&gt;0,HLOOKUP(O$6,CHARMS!$A$6:$CQ$89,43,),"")</f>
        <v/>
      </c>
      <c r="P66" s="111" t="str">
        <f>IF(HLOOKUP(P$6,CHARMS!$A$6:$CQ$89,43,)&lt;&gt;0,HLOOKUP(P$6,CHARMS!$A$6:$CQ$89,43,),"")</f>
        <v/>
      </c>
      <c r="Q66" s="111" t="str">
        <f>IF(HLOOKUP(Q$6,CHARMS!$A$6:$CQ$89,43,)&lt;&gt;0,HLOOKUP(Q$6,CHARMS!$A$6:$CQ$89,43,),"")</f>
        <v/>
      </c>
      <c r="R66" s="111" t="str">
        <f>IF(HLOOKUP(R$6,CHARMS!$A$6:$CQ$89,43,)&lt;&gt;0,HLOOKUP(R$6,CHARMS!$A$6:$CQ$89,43,),"")</f>
        <v/>
      </c>
      <c r="S66" s="111" t="str">
        <f>IF(HLOOKUP(S$6,CHARMS!$A$6:$CQ$89,43,)&lt;&gt;0,HLOOKUP(S$6,CHARMS!$A$6:$CQ$89,43,),"")</f>
        <v/>
      </c>
      <c r="T66" s="111" t="str">
        <f>IF(HLOOKUP(T$6,CHARMS!$A$6:$CQ$89,43,)&lt;&gt;0,HLOOKUP(T$6,CHARMS!$A$6:$CQ$89,43,),"")</f>
        <v/>
      </c>
      <c r="U66" s="111" t="str">
        <f>IF(HLOOKUP(U$6,CHARMS!$A$6:$CQ$89,43,)&lt;&gt;0,HLOOKUP(U$6,CHARMS!$A$6:$CQ$89,43,),"")</f>
        <v/>
      </c>
      <c r="V66" s="111" t="str">
        <f>IF(HLOOKUP(V$6,CHARMS!$A$6:$CQ$89,43,)&lt;&gt;0,HLOOKUP(V$6,CHARMS!$A$6:$CQ$89,43,),"")</f>
        <v/>
      </c>
      <c r="W66" s="111" t="str">
        <f>IF(HLOOKUP(W$6,CHARMS!$A$6:$CQ$89,43,)&lt;&gt;0,HLOOKUP(W$6,CHARMS!$A$6:$CQ$89,43,),"")</f>
        <v/>
      </c>
      <c r="X66" s="111" t="str">
        <f>IF(HLOOKUP(X$6,CHARMS!$A$6:$CQ$89,43,)&lt;&gt;0,HLOOKUP(X$6,CHARMS!$A$6:$CQ$89,43,),"")</f>
        <v/>
      </c>
      <c r="Y66" s="111" t="str">
        <f>IF(HLOOKUP(Y$6,CHARMS!$A$6:$CQ$89,43,)&lt;&gt;0,HLOOKUP(Y$6,CHARMS!$A$6:$CQ$89,43,),"")</f>
        <v/>
      </c>
      <c r="Z66" s="111" t="str">
        <f>IF(HLOOKUP(Z$6,CHARMS!$A$6:$CQ$89,43,)&lt;&gt;0,HLOOKUP(Z$6,CHARMS!$A$6:$CQ$89,43,),"")</f>
        <v/>
      </c>
      <c r="AA66" s="111" t="str">
        <f>IF(HLOOKUP(AA$6,CHARMS!$A$6:$CQ$89,43,)&lt;&gt;0,HLOOKUP(AA$6,CHARMS!$A$6:$CQ$89,43,),"")</f>
        <v/>
      </c>
      <c r="AB66" s="111" t="str">
        <f>IF(HLOOKUP(AB$6,CHARMS!$A$6:$CQ$89,43,)&lt;&gt;0,HLOOKUP(AB$6,CHARMS!$A$6:$CQ$89,43,),"")</f>
        <v/>
      </c>
      <c r="AC66" s="111" t="str">
        <f>IF(HLOOKUP(AC$6,CHARMS!$A$6:$CQ$89,43,)&lt;&gt;0,HLOOKUP(AC$6,CHARMS!$A$6:$CQ$89,43,),"")</f>
        <v/>
      </c>
      <c r="AD66" s="111" t="str">
        <f>IF(HLOOKUP(AD$6,CHARMS!$A$6:$CQ$89,43,)&lt;&gt;0,HLOOKUP(AD$6,CHARMS!$A$6:$CQ$89,43,),"")</f>
        <v/>
      </c>
      <c r="AE66" s="111" t="str">
        <f>IF(HLOOKUP(AE$6,CHARMS!$A$6:$CQ$89,43,)&lt;&gt;0,HLOOKUP(AE$6,CHARMS!$A$6:$CQ$89,43,),"")</f>
        <v/>
      </c>
    </row>
    <row r="67" spans="1:31" s="83" customFormat="1" ht="15" customHeight="1" x14ac:dyDescent="0.2">
      <c r="A67" s="110" t="s">
        <v>209</v>
      </c>
      <c r="B67" s="111" t="str">
        <f>IF(HLOOKUP(B$6,CHARMS!$A$6:$CQ$89,38,)&lt;&gt;0,HLOOKUP(B$6,CHARMS!$A$6:$CQ$89,38,),"")</f>
        <v>Yes</v>
      </c>
      <c r="C67" s="111" t="str">
        <f>IF(HLOOKUP(C$6,CHARMS!$A$6:$CQ$89,38,)&lt;&gt;0,HLOOKUP(C$6,CHARMS!$A$6:$CQ$89,38,),"")</f>
        <v>No information</v>
      </c>
      <c r="D67" s="111" t="str">
        <f>IF(HLOOKUP(D$6,CHARMS!$A$6:$CQ$89,38,)&lt;&gt;0,HLOOKUP(D$6,CHARMS!$A$6:$CQ$89,38,),"")</f>
        <v>No information</v>
      </c>
      <c r="E67" s="111" t="str">
        <f>IF(HLOOKUP(E$6,CHARMS!$A$6:$CQ$89,38,)&lt;&gt;0,HLOOKUP(E$6,CHARMS!$A$6:$CQ$89,38,),"")</f>
        <v>No information</v>
      </c>
      <c r="F67" s="111" t="str">
        <f>IF(HLOOKUP(F$6,CHARMS!$A$6:$CQ$89,38,)&lt;&gt;0,HLOOKUP(F$6,CHARMS!$A$6:$CQ$89,38,),"")</f>
        <v>No information</v>
      </c>
      <c r="G67" s="111" t="str">
        <f>IF(HLOOKUP(G$6,CHARMS!$A$6:$CQ$89,38,)&lt;&gt;0,HLOOKUP(G$6,CHARMS!$A$6:$CQ$89,38,),"")</f>
        <v>Various aggregation functions (mean, minimum, maximum, standard deviation)</v>
      </c>
      <c r="H67" s="111" t="str">
        <f>IF(HLOOKUP(H$6,CHARMS!$A$6:$CQ$89,38,)&lt;&gt;0,HLOOKUP(H$6,CHARMS!$A$6:$CQ$89,38,),"")</f>
        <v>Various aggregation functions (mean, minimum, maximum, standard deviation)</v>
      </c>
      <c r="I67" s="111" t="str">
        <f>IF(HLOOKUP(I$6,CHARMS!$A$6:$CQ$89,38,)&lt;&gt;0,HLOOKUP(I$6,CHARMS!$A$6:$CQ$89,38,),"")</f>
        <v>Continuous predictors were handled using cubic splines and ctergorical specifications where appropriate</v>
      </c>
      <c r="J67" s="111" t="str">
        <f>IF(HLOOKUP(J$6,CHARMS!$A$6:$CQ$89,38,)&lt;&gt;0,HLOOKUP(J$6,CHARMS!$A$6:$CQ$89,38,),"")</f>
        <v>No information</v>
      </c>
      <c r="K67" s="111" t="str">
        <f>IF(HLOOKUP(K$6,CHARMS!$A$6:$CQ$89,38,)&lt;&gt;0,HLOOKUP(K$6,CHARMS!$A$6:$CQ$89,38,),"")</f>
        <v>Yes</v>
      </c>
      <c r="L67" s="111" t="str">
        <f>IF(HLOOKUP(L$6,CHARMS!$A$6:$CQ$89,38,)&lt;&gt;0,HLOOKUP(L$6,CHARMS!$A$6:$CQ$89,38,),"")</f>
        <v>No variable transformation</v>
      </c>
      <c r="M67" s="111" t="str">
        <f>IF(HLOOKUP(M$6,CHARMS!$A$6:$CQ$89,38,)&lt;&gt;0,HLOOKUP(M$6,CHARMS!$A$6:$CQ$89,38,),"")</f>
        <v>No information</v>
      </c>
      <c r="N67" s="111" t="str">
        <f>IF(HLOOKUP(N$6,CHARMS!$A$6:$CQ$89,38,)&lt;&gt;0,HLOOKUP(N$6,CHARMS!$A$6:$CQ$89,38,),"")</f>
        <v/>
      </c>
      <c r="O67" s="111" t="str">
        <f>IF(HLOOKUP(O$6,CHARMS!$A$6:$CQ$89,38,)&lt;&gt;0,HLOOKUP(O$6,CHARMS!$A$6:$CQ$89,38,),"")</f>
        <v/>
      </c>
      <c r="P67" s="111" t="str">
        <f>IF(HLOOKUP(P$6,CHARMS!$A$6:$CQ$89,38,)&lt;&gt;0,HLOOKUP(P$6,CHARMS!$A$6:$CQ$89,38,),"")</f>
        <v/>
      </c>
      <c r="Q67" s="111" t="str">
        <f>IF(HLOOKUP(Q$6,CHARMS!$A$6:$CQ$89,38,)&lt;&gt;0,HLOOKUP(Q$6,CHARMS!$A$6:$CQ$89,38,),"")</f>
        <v/>
      </c>
      <c r="R67" s="111" t="str">
        <f>IF(HLOOKUP(R$6,CHARMS!$A$6:$CQ$89,38,)&lt;&gt;0,HLOOKUP(R$6,CHARMS!$A$6:$CQ$89,38,),"")</f>
        <v/>
      </c>
      <c r="S67" s="111" t="str">
        <f>IF(HLOOKUP(S$6,CHARMS!$A$6:$CQ$89,38,)&lt;&gt;0,HLOOKUP(S$6,CHARMS!$A$6:$CQ$89,38,),"")</f>
        <v/>
      </c>
      <c r="T67" s="111" t="str">
        <f>IF(HLOOKUP(T$6,CHARMS!$A$6:$CQ$89,38,)&lt;&gt;0,HLOOKUP(T$6,CHARMS!$A$6:$CQ$89,38,),"")</f>
        <v/>
      </c>
      <c r="U67" s="111" t="str">
        <f>IF(HLOOKUP(U$6,CHARMS!$A$6:$CQ$89,38,)&lt;&gt;0,HLOOKUP(U$6,CHARMS!$A$6:$CQ$89,38,),"")</f>
        <v/>
      </c>
      <c r="V67" s="111" t="str">
        <f>IF(HLOOKUP(V$6,CHARMS!$A$6:$CQ$89,38,)&lt;&gt;0,HLOOKUP(V$6,CHARMS!$A$6:$CQ$89,38,),"")</f>
        <v/>
      </c>
      <c r="W67" s="111" t="str">
        <f>IF(HLOOKUP(W$6,CHARMS!$A$6:$CQ$89,38,)&lt;&gt;0,HLOOKUP(W$6,CHARMS!$A$6:$CQ$89,38,),"")</f>
        <v/>
      </c>
      <c r="X67" s="111" t="str">
        <f>IF(HLOOKUP(X$6,CHARMS!$A$6:$CQ$89,38,)&lt;&gt;0,HLOOKUP(X$6,CHARMS!$A$6:$CQ$89,38,),"")</f>
        <v/>
      </c>
      <c r="Y67" s="111" t="str">
        <f>IF(HLOOKUP(Y$6,CHARMS!$A$6:$CQ$89,38,)&lt;&gt;0,HLOOKUP(Y$6,CHARMS!$A$6:$CQ$89,38,),"")</f>
        <v/>
      </c>
      <c r="Z67" s="111" t="str">
        <f>IF(HLOOKUP(Z$6,CHARMS!$A$6:$CQ$89,38,)&lt;&gt;0,HLOOKUP(Z$6,CHARMS!$A$6:$CQ$89,38,),"")</f>
        <v/>
      </c>
      <c r="AA67" s="111" t="str">
        <f>IF(HLOOKUP(AA$6,CHARMS!$A$6:$CQ$89,38,)&lt;&gt;0,HLOOKUP(AA$6,CHARMS!$A$6:$CQ$89,38,),"")</f>
        <v/>
      </c>
      <c r="AB67" s="111" t="str">
        <f>IF(HLOOKUP(AB$6,CHARMS!$A$6:$CQ$89,38,)&lt;&gt;0,HLOOKUP(AB$6,CHARMS!$A$6:$CQ$89,38,),"")</f>
        <v/>
      </c>
      <c r="AC67" s="111" t="str">
        <f>IF(HLOOKUP(AC$6,CHARMS!$A$6:$CQ$89,38,)&lt;&gt;0,HLOOKUP(AC$6,CHARMS!$A$6:$CQ$89,38,),"")</f>
        <v/>
      </c>
      <c r="AD67" s="111" t="str">
        <f>IF(HLOOKUP(AD$6,CHARMS!$A$6:$CQ$89,38,)&lt;&gt;0,HLOOKUP(AD$6,CHARMS!$A$6:$CQ$89,38,),"")</f>
        <v/>
      </c>
      <c r="AE67" s="111" t="str">
        <f>IF(HLOOKUP(AE$6,CHARMS!$A$6:$CQ$89,38,)&lt;&gt;0,HLOOKUP(AE$6,CHARMS!$A$6:$CQ$89,38,),"")</f>
        <v/>
      </c>
    </row>
    <row r="68" spans="1:31" s="83" customFormat="1" ht="15" customHeight="1" x14ac:dyDescent="0.2">
      <c r="A68" s="110" t="s">
        <v>210</v>
      </c>
      <c r="B68" s="111" t="str">
        <f>IF(HLOOKUP(B$6,CHARMS!$A$6:$CQ$89,45,)&lt;&gt;0,HLOOKUP(B$6,CHARMS!$A$6:$CQ$89,45,),"")</f>
        <v>No information</v>
      </c>
      <c r="C68" s="111">
        <f>IF(HLOOKUP(C$6,CHARMS!$A$6:$CQ$89,45,)&lt;&gt;0,HLOOKUP(C$6,CHARMS!$A$6:$CQ$89,45,),"")</f>
        <v>1509</v>
      </c>
      <c r="D68" s="111">
        <f>IF(HLOOKUP(D$6,CHARMS!$A$6:$CQ$89,45,)&lt;&gt;0,HLOOKUP(D$6,CHARMS!$A$6:$CQ$89,45,),"")</f>
        <v>1509</v>
      </c>
      <c r="E68" s="111" t="str">
        <f>IF(HLOOKUP(E$6,CHARMS!$A$6:$CQ$89,45,)&lt;&gt;0,HLOOKUP(E$6,CHARMS!$A$6:$CQ$89,45,),"")</f>
        <v>No information</v>
      </c>
      <c r="F68" s="111" t="str">
        <f>IF(HLOOKUP(F$6,CHARMS!$A$6:$CQ$89,45,)&lt;&gt;0,HLOOKUP(F$6,CHARMS!$A$6:$CQ$89,45,),"")</f>
        <v>No information</v>
      </c>
      <c r="G68" s="111" t="str">
        <f>IF(HLOOKUP(G$6,CHARMS!$A$6:$CQ$89,45,)&lt;&gt;0,HLOOKUP(G$6,CHARMS!$A$6:$CQ$89,45,),"")</f>
        <v>No information</v>
      </c>
      <c r="H68" s="111" t="str">
        <f>IF(HLOOKUP(H$6,CHARMS!$A$6:$CQ$89,45,)&lt;&gt;0,HLOOKUP(H$6,CHARMS!$A$6:$CQ$89,45,),"")</f>
        <v>No information</v>
      </c>
      <c r="I68" s="111" t="str">
        <f>IF(HLOOKUP(I$6,CHARMS!$A$6:$CQ$89,45,)&lt;&gt;0,HLOOKUP(I$6,CHARMS!$A$6:$CQ$89,45,),"")</f>
        <v>no information</v>
      </c>
      <c r="J68" s="111" t="str">
        <f>IF(HLOOKUP(J$6,CHARMS!$A$6:$CQ$89,45,)&lt;&gt;0,HLOOKUP(J$6,CHARMS!$A$6:$CQ$89,45,),"")</f>
        <v>No information</v>
      </c>
      <c r="K68" s="111" t="str">
        <f>IF(HLOOKUP(K$6,CHARMS!$A$6:$CQ$89,45,)&lt;&gt;0,HLOOKUP(K$6,CHARMS!$A$6:$CQ$89,45,),"")</f>
        <v>No information</v>
      </c>
      <c r="L68" s="111" t="str">
        <f>IF(HLOOKUP(L$6,CHARMS!$A$6:$CQ$89,45,)&lt;&gt;0,HLOOKUP(L$6,CHARMS!$A$6:$CQ$89,45,),"")</f>
        <v>No information</v>
      </c>
      <c r="M68" s="111" t="str">
        <f>IF(HLOOKUP(M$6,CHARMS!$A$6:$CQ$89,45,)&lt;&gt;0,HLOOKUP(M$6,CHARMS!$A$6:$CQ$89,45,),"")</f>
        <v/>
      </c>
      <c r="N68" s="111" t="str">
        <f>IF(HLOOKUP(N$6,CHARMS!$A$6:$CQ$89,45,)&lt;&gt;0,HLOOKUP(N$6,CHARMS!$A$6:$CQ$89,45,),"")</f>
        <v/>
      </c>
      <c r="O68" s="111" t="str">
        <f>IF(HLOOKUP(O$6,CHARMS!$A$6:$CQ$89,45,)&lt;&gt;0,HLOOKUP(O$6,CHARMS!$A$6:$CQ$89,45,),"")</f>
        <v/>
      </c>
      <c r="P68" s="111" t="str">
        <f>IF(HLOOKUP(P$6,CHARMS!$A$6:$CQ$89,45,)&lt;&gt;0,HLOOKUP(P$6,CHARMS!$A$6:$CQ$89,45,),"")</f>
        <v/>
      </c>
      <c r="Q68" s="111" t="str">
        <f>IF(HLOOKUP(Q$6,CHARMS!$A$6:$CQ$89,45,)&lt;&gt;0,HLOOKUP(Q$6,CHARMS!$A$6:$CQ$89,45,),"")</f>
        <v/>
      </c>
      <c r="R68" s="111" t="str">
        <f>IF(HLOOKUP(R$6,CHARMS!$A$6:$CQ$89,45,)&lt;&gt;0,HLOOKUP(R$6,CHARMS!$A$6:$CQ$89,45,),"")</f>
        <v/>
      </c>
      <c r="S68" s="111" t="str">
        <f>IF(HLOOKUP(S$6,CHARMS!$A$6:$CQ$89,45,)&lt;&gt;0,HLOOKUP(S$6,CHARMS!$A$6:$CQ$89,45,),"")</f>
        <v/>
      </c>
      <c r="T68" s="111" t="str">
        <f>IF(HLOOKUP(T$6,CHARMS!$A$6:$CQ$89,45,)&lt;&gt;0,HLOOKUP(T$6,CHARMS!$A$6:$CQ$89,45,),"")</f>
        <v/>
      </c>
      <c r="U68" s="111" t="str">
        <f>IF(HLOOKUP(U$6,CHARMS!$A$6:$CQ$89,45,)&lt;&gt;0,HLOOKUP(U$6,CHARMS!$A$6:$CQ$89,45,),"")</f>
        <v/>
      </c>
      <c r="V68" s="111" t="str">
        <f>IF(HLOOKUP(V$6,CHARMS!$A$6:$CQ$89,45,)&lt;&gt;0,HLOOKUP(V$6,CHARMS!$A$6:$CQ$89,45,),"")</f>
        <v/>
      </c>
      <c r="W68" s="111" t="str">
        <f>IF(HLOOKUP(W$6,CHARMS!$A$6:$CQ$89,45,)&lt;&gt;0,HLOOKUP(W$6,CHARMS!$A$6:$CQ$89,45,),"")</f>
        <v/>
      </c>
      <c r="X68" s="111" t="str">
        <f>IF(HLOOKUP(X$6,CHARMS!$A$6:$CQ$89,45,)&lt;&gt;0,HLOOKUP(X$6,CHARMS!$A$6:$CQ$89,45,),"")</f>
        <v/>
      </c>
      <c r="Y68" s="111" t="str">
        <f>IF(HLOOKUP(Y$6,CHARMS!$A$6:$CQ$89,45,)&lt;&gt;0,HLOOKUP(Y$6,CHARMS!$A$6:$CQ$89,45,),"")</f>
        <v/>
      </c>
      <c r="Z68" s="111" t="str">
        <f>IF(HLOOKUP(Z$6,CHARMS!$A$6:$CQ$89,45,)&lt;&gt;0,HLOOKUP(Z$6,CHARMS!$A$6:$CQ$89,45,),"")</f>
        <v/>
      </c>
      <c r="AA68" s="111" t="str">
        <f>IF(HLOOKUP(AA$6,CHARMS!$A$6:$CQ$89,45,)&lt;&gt;0,HLOOKUP(AA$6,CHARMS!$A$6:$CQ$89,45,),"")</f>
        <v/>
      </c>
      <c r="AB68" s="111" t="str">
        <f>IF(HLOOKUP(AB$6,CHARMS!$A$6:$CQ$89,45,)&lt;&gt;0,HLOOKUP(AB$6,CHARMS!$A$6:$CQ$89,45,),"")</f>
        <v/>
      </c>
      <c r="AC68" s="111" t="str">
        <f>IF(HLOOKUP(AC$6,CHARMS!$A$6:$CQ$89,45,)&lt;&gt;0,HLOOKUP(AC$6,CHARMS!$A$6:$CQ$89,45,),"")</f>
        <v/>
      </c>
      <c r="AD68" s="111" t="str">
        <f>IF(HLOOKUP(AD$6,CHARMS!$A$6:$CQ$89,45,)&lt;&gt;0,HLOOKUP(AD$6,CHARMS!$A$6:$CQ$89,45,),"")</f>
        <v/>
      </c>
      <c r="AE68" s="111" t="str">
        <f>IF(HLOOKUP(AE$6,CHARMS!$A$6:$CQ$89,45,)&lt;&gt;0,HLOOKUP(AE$6,CHARMS!$A$6:$CQ$89,45,),"")</f>
        <v/>
      </c>
    </row>
    <row r="69" spans="1:31" s="83" customFormat="1" ht="15" customHeight="1" x14ac:dyDescent="0.2">
      <c r="A69" s="110" t="s">
        <v>211</v>
      </c>
      <c r="B69" s="111" t="str">
        <f>IF(HLOOKUP(B$6,CHARMS!$A$6:$CQ$89,46,)&lt;&gt;0,HLOOKUP(B$6,CHARMS!$A$6:$CQ$89,46,),"")</f>
        <v>Knn Imputation</v>
      </c>
      <c r="C69" s="111" t="str">
        <f>IF(HLOOKUP(C$6,CHARMS!$A$6:$CQ$89,46,)&lt;&gt;0,HLOOKUP(C$6,CHARMS!$A$6:$CQ$89,46,),"")</f>
        <v>Single imputation</v>
      </c>
      <c r="D69" s="111" t="str">
        <f>IF(HLOOKUP(D$6,CHARMS!$A$6:$CQ$89,46,)&lt;&gt;0,HLOOKUP(D$6,CHARMS!$A$6:$CQ$89,46,),"")</f>
        <v>Single imputation</v>
      </c>
      <c r="E69" s="111" t="str">
        <f>IF(HLOOKUP(E$6,CHARMS!$A$6:$CQ$89,46,)&lt;&gt;0,HLOOKUP(E$6,CHARMS!$A$6:$CQ$89,46,),"")</f>
        <v>Missing values excluded in analysis</v>
      </c>
      <c r="F69" s="111" t="str">
        <f>IF(HLOOKUP(F$6,CHARMS!$A$6:$CQ$89,46,)&lt;&gt;0,HLOOKUP(F$6,CHARMS!$A$6:$CQ$89,46,),"")</f>
        <v>Missing values excluded in analysis</v>
      </c>
      <c r="G69" s="111" t="str">
        <f>IF(HLOOKUP(G$6,CHARMS!$A$6:$CQ$89,46,)&lt;&gt;0,HLOOKUP(G$6,CHARMS!$A$6:$CQ$89,46,),"")</f>
        <v>Single imputation</v>
      </c>
      <c r="H69" s="111" t="str">
        <f>IF(HLOOKUP(H$6,CHARMS!$A$6:$CQ$89,46,)&lt;&gt;0,HLOOKUP(H$6,CHARMS!$A$6:$CQ$89,46,),"")</f>
        <v>Single imputation</v>
      </c>
      <c r="I69" s="111" t="str">
        <f>IF(HLOOKUP(I$6,CHARMS!$A$6:$CQ$89,46,)&lt;&gt;0,HLOOKUP(I$6,CHARMS!$A$6:$CQ$89,46,),"")</f>
        <v>No information</v>
      </c>
      <c r="J69" s="111" t="str">
        <f>IF(HLOOKUP(J$6,CHARMS!$A$6:$CQ$89,46,)&lt;&gt;0,HLOOKUP(J$6,CHARMS!$A$6:$CQ$89,46,),"")</f>
        <v>Other</v>
      </c>
      <c r="K69" s="111" t="str">
        <f>IF(HLOOKUP(K$6,CHARMS!$A$6:$CQ$89,46,)&lt;&gt;0,HLOOKUP(K$6,CHARMS!$A$6:$CQ$89,46,),"")</f>
        <v>No information</v>
      </c>
      <c r="L69" s="111" t="str">
        <f>IF(HLOOKUP(L$6,CHARMS!$A$6:$CQ$89,46,)&lt;&gt;0,HLOOKUP(L$6,CHARMS!$A$6:$CQ$89,46,),"")</f>
        <v>No information</v>
      </c>
      <c r="M69" s="111" t="str">
        <f>IF(HLOOKUP(M$6,CHARMS!$A$6:$CQ$89,46,)&lt;&gt;0,HLOOKUP(M$6,CHARMS!$A$6:$CQ$89,46,),"")</f>
        <v>Other</v>
      </c>
      <c r="N69" s="111" t="str">
        <f>IF(HLOOKUP(N$6,CHARMS!$A$6:$CQ$89,46,)&lt;&gt;0,HLOOKUP(N$6,CHARMS!$A$6:$CQ$89,46,),"")</f>
        <v/>
      </c>
      <c r="O69" s="111" t="str">
        <f>IF(HLOOKUP(O$6,CHARMS!$A$6:$CQ$89,46,)&lt;&gt;0,HLOOKUP(O$6,CHARMS!$A$6:$CQ$89,46,),"")</f>
        <v/>
      </c>
      <c r="P69" s="111" t="str">
        <f>IF(HLOOKUP(P$6,CHARMS!$A$6:$CQ$89,46,)&lt;&gt;0,HLOOKUP(P$6,CHARMS!$A$6:$CQ$89,46,),"")</f>
        <v/>
      </c>
      <c r="Q69" s="111" t="str">
        <f>IF(HLOOKUP(Q$6,CHARMS!$A$6:$CQ$89,46,)&lt;&gt;0,HLOOKUP(Q$6,CHARMS!$A$6:$CQ$89,46,),"")</f>
        <v/>
      </c>
      <c r="R69" s="111" t="str">
        <f>IF(HLOOKUP(R$6,CHARMS!$A$6:$CQ$89,46,)&lt;&gt;0,HLOOKUP(R$6,CHARMS!$A$6:$CQ$89,46,),"")</f>
        <v/>
      </c>
      <c r="S69" s="111" t="str">
        <f>IF(HLOOKUP(S$6,CHARMS!$A$6:$CQ$89,46,)&lt;&gt;0,HLOOKUP(S$6,CHARMS!$A$6:$CQ$89,46,),"")</f>
        <v/>
      </c>
      <c r="T69" s="111" t="str">
        <f>IF(HLOOKUP(T$6,CHARMS!$A$6:$CQ$89,46,)&lt;&gt;0,HLOOKUP(T$6,CHARMS!$A$6:$CQ$89,46,),"")</f>
        <v/>
      </c>
      <c r="U69" s="111" t="str">
        <f>IF(HLOOKUP(U$6,CHARMS!$A$6:$CQ$89,46,)&lt;&gt;0,HLOOKUP(U$6,CHARMS!$A$6:$CQ$89,46,),"")</f>
        <v/>
      </c>
      <c r="V69" s="111" t="str">
        <f>IF(HLOOKUP(V$6,CHARMS!$A$6:$CQ$89,46,)&lt;&gt;0,HLOOKUP(V$6,CHARMS!$A$6:$CQ$89,46,),"")</f>
        <v/>
      </c>
      <c r="W69" s="111" t="str">
        <f>IF(HLOOKUP(W$6,CHARMS!$A$6:$CQ$89,46,)&lt;&gt;0,HLOOKUP(W$6,CHARMS!$A$6:$CQ$89,46,),"")</f>
        <v/>
      </c>
      <c r="X69" s="111" t="str">
        <f>IF(HLOOKUP(X$6,CHARMS!$A$6:$CQ$89,46,)&lt;&gt;0,HLOOKUP(X$6,CHARMS!$A$6:$CQ$89,46,),"")</f>
        <v/>
      </c>
      <c r="Y69" s="111" t="str">
        <f>IF(HLOOKUP(Y$6,CHARMS!$A$6:$CQ$89,46,)&lt;&gt;0,HLOOKUP(Y$6,CHARMS!$A$6:$CQ$89,46,),"")</f>
        <v/>
      </c>
      <c r="Z69" s="111" t="str">
        <f>IF(HLOOKUP(Z$6,CHARMS!$A$6:$CQ$89,46,)&lt;&gt;0,HLOOKUP(Z$6,CHARMS!$A$6:$CQ$89,46,),"")</f>
        <v/>
      </c>
      <c r="AA69" s="111" t="str">
        <f>IF(HLOOKUP(AA$6,CHARMS!$A$6:$CQ$89,46,)&lt;&gt;0,HLOOKUP(AA$6,CHARMS!$A$6:$CQ$89,46,),"")</f>
        <v/>
      </c>
      <c r="AB69" s="111" t="str">
        <f>IF(HLOOKUP(AB$6,CHARMS!$A$6:$CQ$89,46,)&lt;&gt;0,HLOOKUP(AB$6,CHARMS!$A$6:$CQ$89,46,),"")</f>
        <v/>
      </c>
      <c r="AC69" s="111" t="str">
        <f>IF(HLOOKUP(AC$6,CHARMS!$A$6:$CQ$89,46,)&lt;&gt;0,HLOOKUP(AC$6,CHARMS!$A$6:$CQ$89,46,),"")</f>
        <v/>
      </c>
      <c r="AD69" s="111" t="str">
        <f>IF(HLOOKUP(AD$6,CHARMS!$A$6:$CQ$89,46,)&lt;&gt;0,HLOOKUP(AD$6,CHARMS!$A$6:$CQ$89,46,),"")</f>
        <v/>
      </c>
      <c r="AE69" s="111" t="str">
        <f>IF(HLOOKUP(AE$6,CHARMS!$A$6:$CQ$89,46,)&lt;&gt;0,HLOOKUP(AE$6,CHARMS!$A$6:$CQ$89,46,),"")</f>
        <v/>
      </c>
    </row>
    <row r="70" spans="1:31" s="83" customFormat="1" ht="30" customHeight="1" x14ac:dyDescent="0.2">
      <c r="A70" s="110" t="s">
        <v>212</v>
      </c>
      <c r="B70" s="111" t="str">
        <f>IF(HLOOKUP(B$6,CHARMS!$A$6:$CQ$89,49,)&lt;&gt;0,HLOOKUP(B$6,CHARMS!$A$6:$CQ$89,49,),"")</f>
        <v>Based on prior knowledge</v>
      </c>
      <c r="C70" s="111" t="str">
        <f>IF(HLOOKUP(C$6,CHARMS!$A$6:$CQ$89,49,)&lt;&gt;0,HLOOKUP(C$6,CHARMS!$A$6:$CQ$89,49,),"")</f>
        <v>Based on prior knowledge</v>
      </c>
      <c r="D70" s="111" t="str">
        <f>IF(HLOOKUP(D$6,CHARMS!$A$6:$CQ$89,49,)&lt;&gt;0,HLOOKUP(D$6,CHARMS!$A$6:$CQ$89,49,),"")</f>
        <v>Based on prior knowledge</v>
      </c>
      <c r="E70" s="111" t="str">
        <f>IF(HLOOKUP(E$6,CHARMS!$A$6:$CQ$89,49,)&lt;&gt;0,HLOOKUP(E$6,CHARMS!$A$6:$CQ$89,49,),"")</f>
        <v>Other</v>
      </c>
      <c r="F70" s="111" t="str">
        <f>IF(HLOOKUP(F$6,CHARMS!$A$6:$CQ$89,49,)&lt;&gt;0,HLOOKUP(F$6,CHARMS!$A$6:$CQ$89,49,),"")</f>
        <v>Other</v>
      </c>
      <c r="G70" s="111" t="str">
        <f>IF(HLOOKUP(G$6,CHARMS!$A$6:$CQ$89,49,)&lt;&gt;0,HLOOKUP(G$6,CHARMS!$A$6:$CQ$89,49,),"")</f>
        <v>Based on prior knowledge</v>
      </c>
      <c r="H70" s="111" t="str">
        <f>IF(HLOOKUP(H$6,CHARMS!$A$6:$CQ$89,49,)&lt;&gt;0,HLOOKUP(H$6,CHARMS!$A$6:$CQ$89,49,),"")</f>
        <v>Based on prior knowledge</v>
      </c>
      <c r="I70" s="111" t="str">
        <f>IF(HLOOKUP(I$6,CHARMS!$A$6:$CQ$89,49,)&lt;&gt;0,HLOOKUP(I$6,CHARMS!$A$6:$CQ$89,49,),"")</f>
        <v>Based on prior knowledge</v>
      </c>
      <c r="J70" s="111" t="str">
        <f>IF(HLOOKUP(J$6,CHARMS!$A$6:$CQ$89,49,)&lt;&gt;0,HLOOKUP(J$6,CHARMS!$A$6:$CQ$89,49,),"")</f>
        <v>Other</v>
      </c>
      <c r="K70" s="111" t="str">
        <f>IF(HLOOKUP(K$6,CHARMS!$A$6:$CQ$89,49,)&lt;&gt;0,HLOOKUP(K$6,CHARMS!$A$6:$CQ$89,49,),"")</f>
        <v>No information</v>
      </c>
      <c r="L70" s="111" t="str">
        <f>IF(HLOOKUP(L$6,CHARMS!$A$6:$CQ$89,49,)&lt;&gt;0,HLOOKUP(L$6,CHARMS!$A$6:$CQ$89,49,),"")</f>
        <v>Based on prior knowledge</v>
      </c>
      <c r="M70" s="111" t="str">
        <f>IF(HLOOKUP(M$6,CHARMS!$A$6:$CQ$89,49,)&lt;&gt;0,HLOOKUP(M$6,CHARMS!$A$6:$CQ$89,49,),"")</f>
        <v>Based on prior knowledge</v>
      </c>
      <c r="N70" s="111" t="str">
        <f>IF(HLOOKUP(N$6,CHARMS!$A$6:$CQ$89,49,)&lt;&gt;0,HLOOKUP(N$6,CHARMS!$A$6:$CQ$89,49,),"")</f>
        <v/>
      </c>
      <c r="O70" s="111" t="str">
        <f>IF(HLOOKUP(O$6,CHARMS!$A$6:$CQ$89,49,)&lt;&gt;0,HLOOKUP(O$6,CHARMS!$A$6:$CQ$89,49,),"")</f>
        <v/>
      </c>
      <c r="P70" s="111" t="str">
        <f>IF(HLOOKUP(P$6,CHARMS!$A$6:$CQ$89,49,)&lt;&gt;0,HLOOKUP(P$6,CHARMS!$A$6:$CQ$89,49,),"")</f>
        <v/>
      </c>
      <c r="Q70" s="111" t="str">
        <f>IF(HLOOKUP(Q$6,CHARMS!$A$6:$CQ$89,49,)&lt;&gt;0,HLOOKUP(Q$6,CHARMS!$A$6:$CQ$89,49,),"")</f>
        <v/>
      </c>
      <c r="R70" s="111" t="str">
        <f>IF(HLOOKUP(R$6,CHARMS!$A$6:$CQ$89,49,)&lt;&gt;0,HLOOKUP(R$6,CHARMS!$A$6:$CQ$89,49,),"")</f>
        <v/>
      </c>
      <c r="S70" s="111" t="str">
        <f>IF(HLOOKUP(S$6,CHARMS!$A$6:$CQ$89,49,)&lt;&gt;0,HLOOKUP(S$6,CHARMS!$A$6:$CQ$89,49,),"")</f>
        <v/>
      </c>
      <c r="T70" s="111" t="str">
        <f>IF(HLOOKUP(T$6,CHARMS!$A$6:$CQ$89,49,)&lt;&gt;0,HLOOKUP(T$6,CHARMS!$A$6:$CQ$89,49,),"")</f>
        <v/>
      </c>
      <c r="U70" s="111" t="str">
        <f>IF(HLOOKUP(U$6,CHARMS!$A$6:$CQ$89,49,)&lt;&gt;0,HLOOKUP(U$6,CHARMS!$A$6:$CQ$89,49,),"")</f>
        <v/>
      </c>
      <c r="V70" s="111" t="str">
        <f>IF(HLOOKUP(V$6,CHARMS!$A$6:$CQ$89,49,)&lt;&gt;0,HLOOKUP(V$6,CHARMS!$A$6:$CQ$89,49,),"")</f>
        <v/>
      </c>
      <c r="W70" s="111" t="str">
        <f>IF(HLOOKUP(W$6,CHARMS!$A$6:$CQ$89,49,)&lt;&gt;0,HLOOKUP(W$6,CHARMS!$A$6:$CQ$89,49,),"")</f>
        <v/>
      </c>
      <c r="X70" s="111" t="str">
        <f>IF(HLOOKUP(X$6,CHARMS!$A$6:$CQ$89,49,)&lt;&gt;0,HLOOKUP(X$6,CHARMS!$A$6:$CQ$89,49,),"")</f>
        <v/>
      </c>
      <c r="Y70" s="111" t="str">
        <f>IF(HLOOKUP(Y$6,CHARMS!$A$6:$CQ$89,49,)&lt;&gt;0,HLOOKUP(Y$6,CHARMS!$A$6:$CQ$89,49,),"")</f>
        <v/>
      </c>
      <c r="Z70" s="111" t="str">
        <f>IF(HLOOKUP(Z$6,CHARMS!$A$6:$CQ$89,49,)&lt;&gt;0,HLOOKUP(Z$6,CHARMS!$A$6:$CQ$89,49,),"")</f>
        <v/>
      </c>
      <c r="AA70" s="111" t="str">
        <f>IF(HLOOKUP(AA$6,CHARMS!$A$6:$CQ$89,49,)&lt;&gt;0,HLOOKUP(AA$6,CHARMS!$A$6:$CQ$89,49,),"")</f>
        <v/>
      </c>
      <c r="AB70" s="111" t="str">
        <f>IF(HLOOKUP(AB$6,CHARMS!$A$6:$CQ$89,49,)&lt;&gt;0,HLOOKUP(AB$6,CHARMS!$A$6:$CQ$89,49,),"")</f>
        <v/>
      </c>
      <c r="AC70" s="111" t="str">
        <f>IF(HLOOKUP(AC$6,CHARMS!$A$6:$CQ$89,49,)&lt;&gt;0,HLOOKUP(AC$6,CHARMS!$A$6:$CQ$89,49,),"")</f>
        <v/>
      </c>
      <c r="AD70" s="111" t="str">
        <f>IF(HLOOKUP(AD$6,CHARMS!$A$6:$CQ$89,49,)&lt;&gt;0,HLOOKUP(AD$6,CHARMS!$A$6:$CQ$89,49,),"")</f>
        <v/>
      </c>
      <c r="AE70" s="111" t="str">
        <f>IF(HLOOKUP(AE$6,CHARMS!$A$6:$CQ$89,49,)&lt;&gt;0,HLOOKUP(AE$6,CHARMS!$A$6:$CQ$89,49,),"")</f>
        <v/>
      </c>
    </row>
    <row r="71" spans="1:31" s="83" customFormat="1" ht="30" customHeight="1" x14ac:dyDescent="0.2">
      <c r="A71" s="110" t="s">
        <v>213</v>
      </c>
      <c r="B71" s="111" t="str">
        <f>IF(HLOOKUP(B$6,CHARMS!$A$6:$CQ$89,72,)&lt;&gt;0,CONCATENATE("Internal: ",CHAR(10),HLOOKUP(B$6,CHARMS!$A$6:$CQ$89,72,)),"")</f>
        <v>Internal: 
Yes</v>
      </c>
      <c r="C71" s="111" t="str">
        <f>IF(HLOOKUP(C$6,CHARMS!$A$6:$CQ$89,72,)&lt;&gt;0,CONCATENATE("Internal: ",CHAR(10),HLOOKUP(C$6,CHARMS!$A$6:$CQ$89,72,)),"")</f>
        <v>Internal: 
No</v>
      </c>
      <c r="D71" s="111" t="str">
        <f>IF(HLOOKUP(D$6,CHARMS!$A$6:$CQ$89,72,)&lt;&gt;0,CONCATENATE("Internal: ",CHAR(10),HLOOKUP(D$6,CHARMS!$A$6:$CQ$89,72,)),"")</f>
        <v>Internal: 
No</v>
      </c>
      <c r="E71" s="111" t="str">
        <f>IF(HLOOKUP(E$6,CHARMS!$A$6:$CQ$89,72,)&lt;&gt;0,CONCATENATE("Internal: ",CHAR(10),HLOOKUP(E$6,CHARMS!$A$6:$CQ$89,72,)),"")</f>
        <v>Internal: 
No</v>
      </c>
      <c r="F71" s="111" t="str">
        <f>IF(HLOOKUP(F$6,CHARMS!$A$6:$CQ$89,72,)&lt;&gt;0,CONCATENATE("Internal: ",CHAR(10),HLOOKUP(F$6,CHARMS!$A$6:$CQ$89,72,)),"")</f>
        <v>Internal: 
No</v>
      </c>
      <c r="G71" s="111" t="str">
        <f>IF(HLOOKUP(G$6,CHARMS!$A$6:$CQ$89,72,)&lt;&gt;0,CONCATENATE("Internal: ",CHAR(10),HLOOKUP(G$6,CHARMS!$A$6:$CQ$89,72,)),"")</f>
        <v>Internal: 
No</v>
      </c>
      <c r="H71" s="111" t="str">
        <f>IF(HLOOKUP(H$6,CHARMS!$A$6:$CQ$89,72,)&lt;&gt;0,CONCATENATE("Internal: ",CHAR(10),HLOOKUP(H$6,CHARMS!$A$6:$CQ$89,72,)),"")</f>
        <v>Internal: 
No</v>
      </c>
      <c r="I71" s="111" t="str">
        <f>IF(HLOOKUP(I$6,CHARMS!$A$6:$CQ$89,72,)&lt;&gt;0,CONCATENATE("Internal: ",CHAR(10),HLOOKUP(I$6,CHARMS!$A$6:$CQ$89,72,)),"")</f>
        <v>Internal: 
No</v>
      </c>
      <c r="J71" s="111" t="str">
        <f>IF(HLOOKUP(J$6,CHARMS!$A$6:$CQ$89,72,)&lt;&gt;0,CONCATENATE("Internal: ",CHAR(10),HLOOKUP(J$6,CHARMS!$A$6:$CQ$89,72,)),"")</f>
        <v>Internal: 
No</v>
      </c>
      <c r="K71" s="111" t="str">
        <f>IF(HLOOKUP(K$6,CHARMS!$A$6:$CQ$89,72,)&lt;&gt;0,CONCATENATE("Internal: ",CHAR(10),HLOOKUP(K$6,CHARMS!$A$6:$CQ$89,72,)),"")</f>
        <v>Internal: 
No</v>
      </c>
      <c r="L71" s="111" t="str">
        <f>IF(HLOOKUP(L$6,CHARMS!$A$6:$CQ$89,72,)&lt;&gt;0,CONCATENATE("Internal: ",CHAR(10),HLOOKUP(L$6,CHARMS!$A$6:$CQ$89,72,)),"")</f>
        <v>Internal: 
No</v>
      </c>
      <c r="M71" s="111" t="str">
        <f>IF(HLOOKUP(M$6,CHARMS!$A$6:$CQ$89,72,)&lt;&gt;0,CONCATENATE("Internal: ",CHAR(10),HLOOKUP(M$6,CHARMS!$A$6:$CQ$89,72,)),"")</f>
        <v>Internal: 
No</v>
      </c>
      <c r="N71" s="111" t="str">
        <f>IF(HLOOKUP(N$6,CHARMS!$A$6:$CQ$89,72,)&lt;&gt;0,CONCATENATE("Internal: ",CHAR(10),HLOOKUP(N$6,CHARMS!$A$6:$CQ$89,72,)),"")</f>
        <v/>
      </c>
      <c r="O71" s="111" t="str">
        <f>IF(HLOOKUP(O$6,CHARMS!$A$6:$CQ$89,72,)&lt;&gt;0,CONCATENATE("Internal: ",CHAR(10),HLOOKUP(O$6,CHARMS!$A$6:$CQ$89,72,)),"")</f>
        <v/>
      </c>
      <c r="P71" s="111" t="str">
        <f>IF(HLOOKUP(P$6,CHARMS!$A$6:$CQ$89,72,)&lt;&gt;0,CONCATENATE("Internal: ",CHAR(10),HLOOKUP(P$6,CHARMS!$A$6:$CQ$89,72,)),"")</f>
        <v/>
      </c>
      <c r="Q71" s="111" t="str">
        <f>IF(HLOOKUP(Q$6,CHARMS!$A$6:$CQ$89,72,)&lt;&gt;0,CONCATENATE("Internal: ",CHAR(10),HLOOKUP(Q$6,CHARMS!$A$6:$CQ$89,72,)),"")</f>
        <v/>
      </c>
      <c r="R71" s="111" t="str">
        <f>IF(HLOOKUP(R$6,CHARMS!$A$6:$CQ$89,72,)&lt;&gt;0,CONCATENATE("Internal: ",CHAR(10),HLOOKUP(R$6,CHARMS!$A$6:$CQ$89,72,)),"")</f>
        <v/>
      </c>
      <c r="S71" s="111" t="str">
        <f>IF(HLOOKUP(S$6,CHARMS!$A$6:$CQ$89,72,)&lt;&gt;0,CONCATENATE("Internal: ",CHAR(10),HLOOKUP(S$6,CHARMS!$A$6:$CQ$89,72,)),"")</f>
        <v/>
      </c>
      <c r="T71" s="111" t="str">
        <f>IF(HLOOKUP(T$6,CHARMS!$A$6:$CQ$89,72,)&lt;&gt;0,CONCATENATE("Internal: ",CHAR(10),HLOOKUP(T$6,CHARMS!$A$6:$CQ$89,72,)),"")</f>
        <v/>
      </c>
      <c r="U71" s="111" t="str">
        <f>IF(HLOOKUP(U$6,CHARMS!$A$6:$CQ$89,72,)&lt;&gt;0,CONCATENATE("Internal: ",CHAR(10),HLOOKUP(U$6,CHARMS!$A$6:$CQ$89,72,)),"")</f>
        <v/>
      </c>
      <c r="V71" s="111" t="str">
        <f>IF(HLOOKUP(V$6,CHARMS!$A$6:$CQ$89,72,)&lt;&gt;0,CONCATENATE("Internal: ",CHAR(10),HLOOKUP(V$6,CHARMS!$A$6:$CQ$89,72,)),"")</f>
        <v/>
      </c>
      <c r="W71" s="111" t="str">
        <f>IF(HLOOKUP(W$6,CHARMS!$A$6:$CQ$89,72,)&lt;&gt;0,CONCATENATE("Internal: ",CHAR(10),HLOOKUP(W$6,CHARMS!$A$6:$CQ$89,72,)),"")</f>
        <v/>
      </c>
      <c r="X71" s="111" t="str">
        <f>IF(HLOOKUP(X$6,CHARMS!$A$6:$CQ$89,72,)&lt;&gt;0,CONCATENATE("Internal: ",CHAR(10),HLOOKUP(X$6,CHARMS!$A$6:$CQ$89,72,)),"")</f>
        <v/>
      </c>
      <c r="Y71" s="111" t="str">
        <f>IF(HLOOKUP(Y$6,CHARMS!$A$6:$CQ$89,72,)&lt;&gt;0,CONCATENATE("Internal: ",CHAR(10),HLOOKUP(Y$6,CHARMS!$A$6:$CQ$89,72,)),"")</f>
        <v/>
      </c>
      <c r="Z71" s="111" t="str">
        <f>IF(HLOOKUP(Z$6,CHARMS!$A$6:$CQ$89,72,)&lt;&gt;0,CONCATENATE("Internal: ",CHAR(10),HLOOKUP(Z$6,CHARMS!$A$6:$CQ$89,72,)),"")</f>
        <v/>
      </c>
      <c r="AA71" s="111" t="str">
        <f>IF(HLOOKUP(AA$6,CHARMS!$A$6:$CQ$89,72,)&lt;&gt;0,CONCATENATE("Internal: ",CHAR(10),HLOOKUP(AA$6,CHARMS!$A$6:$CQ$89,72,)),"")</f>
        <v/>
      </c>
      <c r="AB71" s="111" t="str">
        <f>IF(HLOOKUP(AB$6,CHARMS!$A$6:$CQ$89,72,)&lt;&gt;0,CONCATENATE("Internal: ",CHAR(10),HLOOKUP(AB$6,CHARMS!$A$6:$CQ$89,72,)),"")</f>
        <v/>
      </c>
      <c r="AC71" s="111" t="str">
        <f>IF(HLOOKUP(AC$6,CHARMS!$A$6:$CQ$89,72,)&lt;&gt;0,CONCATENATE("Internal: ",CHAR(10),HLOOKUP(AC$6,CHARMS!$A$6:$CQ$89,72,)),"")</f>
        <v/>
      </c>
      <c r="AD71" s="111" t="str">
        <f>IF(HLOOKUP(AD$6,CHARMS!$A$6:$CQ$89,72,)&lt;&gt;0,CONCATENATE("Internal: ",CHAR(10),HLOOKUP(AD$6,CHARMS!$A$6:$CQ$89,72,)),"")</f>
        <v/>
      </c>
      <c r="AE71" s="111" t="str">
        <f>IF(HLOOKUP(AE$6,CHARMS!$A$6:$CQ$89,72,)&lt;&gt;0,CONCATENATE("Internal: ",CHAR(10),HLOOKUP(AE$6,CHARMS!$A$6:$CQ$89,72,)),"")</f>
        <v/>
      </c>
    </row>
    <row r="72" spans="1:31" s="83" customFormat="1" ht="30" customHeight="1" x14ac:dyDescent="0.2">
      <c r="A72" s="110"/>
      <c r="B72" s="111" t="str">
        <f>IF(HLOOKUP(B$6,CHARMS!$A$6:$CQ$89,73,)&lt;&gt;0,CONCATENATE("External: ",CHAR(10),HLOOKUP(B$6,CHARMS!$A$6:$CQ$89,73,)),"")</f>
        <v>External: 
1</v>
      </c>
      <c r="C72" s="111" t="str">
        <f>IF(HLOOKUP(C$6,CHARMS!$A$6:$CQ$89,73,)&lt;&gt;0,CONCATENATE("External: ",CHAR(10),HLOOKUP(C$6,CHARMS!$A$6:$CQ$89,73,)),"")</f>
        <v>External: 
1</v>
      </c>
      <c r="D72" s="111" t="str">
        <f>IF(HLOOKUP(D$6,CHARMS!$A$6:$CQ$89,73,)&lt;&gt;0,CONCATENATE("External: ",CHAR(10),HLOOKUP(D$6,CHARMS!$A$6:$CQ$89,73,)),"")</f>
        <v>External: 
1</v>
      </c>
      <c r="E72" s="111" t="str">
        <f>IF(HLOOKUP(E$6,CHARMS!$A$6:$CQ$89,73,)&lt;&gt;0,CONCATENATE("External: ",CHAR(10),HLOOKUP(E$6,CHARMS!$A$6:$CQ$89,73,)),"")</f>
        <v>External: 
1</v>
      </c>
      <c r="F72" s="111" t="str">
        <f>IF(HLOOKUP(F$6,CHARMS!$A$6:$CQ$89,73,)&lt;&gt;0,CONCATENATE("External: ",CHAR(10),HLOOKUP(F$6,CHARMS!$A$6:$CQ$89,73,)),"")</f>
        <v>External: 
1</v>
      </c>
      <c r="G72" s="111" t="str">
        <f>IF(HLOOKUP(G$6,CHARMS!$A$6:$CQ$89,73,)&lt;&gt;0,CONCATENATE("External: ",CHAR(10),HLOOKUP(G$6,CHARMS!$A$6:$CQ$89,73,)),"")</f>
        <v>External: 
1</v>
      </c>
      <c r="H72" s="111" t="str">
        <f>IF(HLOOKUP(H$6,CHARMS!$A$6:$CQ$89,73,)&lt;&gt;0,CONCATENATE("External: ",CHAR(10),HLOOKUP(H$6,CHARMS!$A$6:$CQ$89,73,)),"")</f>
        <v>External: 
1</v>
      </c>
      <c r="I72" s="111" t="str">
        <f>IF(HLOOKUP(I$6,CHARMS!$A$6:$CQ$89,73,)&lt;&gt;0,CONCATENATE("External: ",CHAR(10),HLOOKUP(I$6,CHARMS!$A$6:$CQ$89,73,)),"")</f>
        <v>External: 
1</v>
      </c>
      <c r="J72" s="111" t="str">
        <f>IF(HLOOKUP(J$6,CHARMS!$A$6:$CQ$89,73,)&lt;&gt;0,CONCATENATE("External: ",CHAR(10),HLOOKUP(J$6,CHARMS!$A$6:$CQ$89,73,)),"")</f>
        <v>External: 
1</v>
      </c>
      <c r="K72" s="111" t="str">
        <f>IF(HLOOKUP(K$6,CHARMS!$A$6:$CQ$89,73,)&lt;&gt;0,CONCATENATE("External: ",CHAR(10),HLOOKUP(K$6,CHARMS!$A$6:$CQ$89,73,)),"")</f>
        <v>External: 
1</v>
      </c>
      <c r="L72" s="111" t="str">
        <f>IF(HLOOKUP(L$6,CHARMS!$A$6:$CQ$89,73,)&lt;&gt;0,CONCATENATE("External: ",CHAR(10),HLOOKUP(L$6,CHARMS!$A$6:$CQ$89,73,)),"")</f>
        <v>External: 
1</v>
      </c>
      <c r="M72" s="111" t="str">
        <f>IF(HLOOKUP(M$6,CHARMS!$A$6:$CQ$89,73,)&lt;&gt;0,CONCATENATE("External: ",CHAR(10),HLOOKUP(M$6,CHARMS!$A$6:$CQ$89,73,)),"")</f>
        <v>External: 
1</v>
      </c>
      <c r="N72" s="111" t="str">
        <f>IF(HLOOKUP(N$6,CHARMS!$A$6:$CQ$89,73,)&lt;&gt;0,CONCATENATE("External: ",CHAR(10),HLOOKUP(N$6,CHARMS!$A$6:$CQ$89,73,)),"")</f>
        <v xml:space="preserve">External: 
</v>
      </c>
      <c r="O72" s="111" t="str">
        <f>IF(HLOOKUP(O$6,CHARMS!$A$6:$CQ$89,73,)&lt;&gt;0,CONCATENATE("External: ",CHAR(10),HLOOKUP(O$6,CHARMS!$A$6:$CQ$89,73,)),"")</f>
        <v xml:space="preserve">External: 
</v>
      </c>
      <c r="P72" s="111" t="str">
        <f>IF(HLOOKUP(P$6,CHARMS!$A$6:$CQ$89,73,)&lt;&gt;0,CONCATENATE("External: ",CHAR(10),HLOOKUP(P$6,CHARMS!$A$6:$CQ$89,73,)),"")</f>
        <v xml:space="preserve">External: 
</v>
      </c>
      <c r="Q72" s="111" t="str">
        <f>IF(HLOOKUP(Q$6,CHARMS!$A$6:$CQ$89,73,)&lt;&gt;0,CONCATENATE("External: ",CHAR(10),HLOOKUP(Q$6,CHARMS!$A$6:$CQ$89,73,)),"")</f>
        <v xml:space="preserve">External: 
</v>
      </c>
      <c r="R72" s="111" t="str">
        <f>IF(HLOOKUP(R$6,CHARMS!$A$6:$CQ$89,73,)&lt;&gt;0,CONCATENATE("External: ",CHAR(10),HLOOKUP(R$6,CHARMS!$A$6:$CQ$89,73,)),"")</f>
        <v xml:space="preserve">External: 
</v>
      </c>
      <c r="S72" s="111" t="str">
        <f>IF(HLOOKUP(S$6,CHARMS!$A$6:$CQ$89,73,)&lt;&gt;0,CONCATENATE("External: ",CHAR(10),HLOOKUP(S$6,CHARMS!$A$6:$CQ$89,73,)),"")</f>
        <v xml:space="preserve">External: 
</v>
      </c>
      <c r="T72" s="111" t="str">
        <f>IF(HLOOKUP(T$6,CHARMS!$A$6:$CQ$89,73,)&lt;&gt;0,CONCATENATE("External: ",CHAR(10),HLOOKUP(T$6,CHARMS!$A$6:$CQ$89,73,)),"")</f>
        <v xml:space="preserve">External: 
</v>
      </c>
      <c r="U72" s="111" t="str">
        <f>IF(HLOOKUP(U$6,CHARMS!$A$6:$CQ$89,73,)&lt;&gt;0,CONCATENATE("External: ",CHAR(10),HLOOKUP(U$6,CHARMS!$A$6:$CQ$89,73,)),"")</f>
        <v xml:space="preserve">External: 
</v>
      </c>
      <c r="V72" s="111" t="str">
        <f>IF(HLOOKUP(V$6,CHARMS!$A$6:$CQ$89,73,)&lt;&gt;0,CONCATENATE("External: ",CHAR(10),HLOOKUP(V$6,CHARMS!$A$6:$CQ$89,73,)),"")</f>
        <v xml:space="preserve">External: 
</v>
      </c>
      <c r="W72" s="111" t="str">
        <f>IF(HLOOKUP(W$6,CHARMS!$A$6:$CQ$89,73,)&lt;&gt;0,CONCATENATE("External: ",CHAR(10),HLOOKUP(W$6,CHARMS!$A$6:$CQ$89,73,)),"")</f>
        <v xml:space="preserve">External: 
</v>
      </c>
      <c r="X72" s="111" t="str">
        <f>IF(HLOOKUP(X$6,CHARMS!$A$6:$CQ$89,73,)&lt;&gt;0,CONCATENATE("External: ",CHAR(10),HLOOKUP(X$6,CHARMS!$A$6:$CQ$89,73,)),"")</f>
        <v xml:space="preserve">External: 
</v>
      </c>
      <c r="Y72" s="111" t="str">
        <f>IF(HLOOKUP(Y$6,CHARMS!$A$6:$CQ$89,73,)&lt;&gt;0,CONCATENATE("External: ",CHAR(10),HLOOKUP(Y$6,CHARMS!$A$6:$CQ$89,73,)),"")</f>
        <v xml:space="preserve">External: 
</v>
      </c>
      <c r="Z72" s="111" t="str">
        <f>IF(HLOOKUP(Z$6,CHARMS!$A$6:$CQ$89,73,)&lt;&gt;0,CONCATENATE("External: ",CHAR(10),HLOOKUP(Z$6,CHARMS!$A$6:$CQ$89,73,)),"")</f>
        <v xml:space="preserve">External: 
</v>
      </c>
      <c r="AA72" s="111" t="str">
        <f>IF(HLOOKUP(AA$6,CHARMS!$A$6:$CQ$89,73,)&lt;&gt;0,CONCATENATE("External: ",CHAR(10),HLOOKUP(AA$6,CHARMS!$A$6:$CQ$89,73,)),"")</f>
        <v xml:space="preserve">External: 
</v>
      </c>
      <c r="AB72" s="111" t="str">
        <f>IF(HLOOKUP(AB$6,CHARMS!$A$6:$CQ$89,73,)&lt;&gt;0,CONCATENATE("External: ",CHAR(10),HLOOKUP(AB$6,CHARMS!$A$6:$CQ$89,73,)),"")</f>
        <v xml:space="preserve">External: 
</v>
      </c>
      <c r="AC72" s="111" t="str">
        <f>IF(HLOOKUP(AC$6,CHARMS!$A$6:$CQ$89,73,)&lt;&gt;0,CONCATENATE("External: ",CHAR(10),HLOOKUP(AC$6,CHARMS!$A$6:$CQ$89,73,)),"")</f>
        <v xml:space="preserve">External: 
</v>
      </c>
      <c r="AD72" s="111" t="str">
        <f>IF(HLOOKUP(AD$6,CHARMS!$A$6:$CQ$89,73,)&lt;&gt;0,CONCATENATE("External: ",CHAR(10),HLOOKUP(AD$6,CHARMS!$A$6:$CQ$89,73,)),"")</f>
        <v xml:space="preserve">External: 
</v>
      </c>
      <c r="AE72" s="111" t="str">
        <f>IF(HLOOKUP(AE$6,CHARMS!$A$6:$CQ$89,73,)&lt;&gt;0,CONCATENATE("External: ",CHAR(10),HLOOKUP(AE$6,CHARMS!$A$6:$CQ$89,73,)),"")</f>
        <v xml:space="preserve">External: 
</v>
      </c>
    </row>
    <row r="73" spans="1:31" s="83" customFormat="1" ht="30" customHeight="1" x14ac:dyDescent="0.2">
      <c r="A73" s="110" t="s">
        <v>214</v>
      </c>
      <c r="B73" s="111" t="str">
        <f>IF(HLOOKUP(B$6,CHARMS!$A$6:$CQ$89,53,)&lt;&gt;"",CONCATENATE("Calibration: ",CHAR(10),HLOOKUP(B$6,CHARMS!$A$6:$CQ$89,53,)),"")</f>
        <v>Calibration: 
Not evaluated</v>
      </c>
      <c r="C73" s="111" t="str">
        <f>IF(HLOOKUP(C$6,CHARMS!$A$6:$CQ$89,53,)&lt;&gt;"",CONCATENATE("Calibration: ",CHAR(10),HLOOKUP(C$6,CHARMS!$A$6:$CQ$89,53,)),"")</f>
        <v>Calibration: 
F1 Score (0.288, 0.286 - 0.290)</v>
      </c>
      <c r="D73" s="111" t="str">
        <f>IF(HLOOKUP(D$6,CHARMS!$A$6:$CQ$89,53,)&lt;&gt;"",CONCATENATE("Calibration: ",CHAR(10),HLOOKUP(D$6,CHARMS!$A$6:$CQ$89,53,)),"")</f>
        <v>Calibration: 
F1 Core (0.299, 0.297 - 0.301)</v>
      </c>
      <c r="E73" s="111" t="str">
        <f>IF(HLOOKUP(E$6,CHARMS!$A$6:$CQ$89,53,)&lt;&gt;"",CONCATENATE("Calibration: ",CHAR(10),HLOOKUP(E$6,CHARMS!$A$6:$CQ$89,53,)),"")</f>
        <v>Calibration: 
Not evaluated</v>
      </c>
      <c r="F73" s="111" t="str">
        <f>IF(HLOOKUP(F$6,CHARMS!$A$6:$CQ$89,53,)&lt;&gt;"",CONCATENATE("Calibration: ",CHAR(10),HLOOKUP(F$6,CHARMS!$A$6:$CQ$89,53,)),"")</f>
        <v>Calibration: 
Not evaluated</v>
      </c>
      <c r="G73" s="111" t="str">
        <f>IF(HLOOKUP(G$6,CHARMS!$A$6:$CQ$89,53,)&lt;&gt;"",CONCATENATE("Calibration: ",CHAR(10),HLOOKUP(G$6,CHARMS!$A$6:$CQ$89,53,)),"")</f>
        <v>Calibration: 
Not evaluated</v>
      </c>
      <c r="H73" s="111" t="str">
        <f>IF(HLOOKUP(H$6,CHARMS!$A$6:$CQ$89,53,)&lt;&gt;"",CONCATENATE("Calibration: ",CHAR(10),HLOOKUP(H$6,CHARMS!$A$6:$CQ$89,53,)),"")</f>
        <v>Calibration: 
Not evaluated</v>
      </c>
      <c r="I73" s="111" t="str">
        <f>IF(HLOOKUP(I$6,CHARMS!$A$6:$CQ$89,53,)&lt;&gt;"",CONCATENATE("Calibration: ",CHAR(10),HLOOKUP(I$6,CHARMS!$A$6:$CQ$89,53,)),"")</f>
        <v>Calibration: 
Not evaluated</v>
      </c>
      <c r="J73" s="111" t="str">
        <f>IF(HLOOKUP(J$6,CHARMS!$A$6:$CQ$89,53,)&lt;&gt;"",CONCATENATE("Calibration: ",CHAR(10),HLOOKUP(J$6,CHARMS!$A$6:$CQ$89,53,)),"")</f>
        <v>Calibration: 
F1 Score (0.29)</v>
      </c>
      <c r="K73" s="111" t="str">
        <f>IF(HLOOKUP(K$6,CHARMS!$A$6:$CQ$89,53,)&lt;&gt;"",CONCATENATE("Calibration: ",CHAR(10),HLOOKUP(K$6,CHARMS!$A$6:$CQ$89,53,)),"")</f>
        <v>Calibration: 
Not evaluated</v>
      </c>
      <c r="L73" s="111" t="str">
        <f>IF(HLOOKUP(L$6,CHARMS!$A$6:$CQ$89,53,)&lt;&gt;"",CONCATENATE("Calibration: ",CHAR(10),HLOOKUP(L$6,CHARMS!$A$6:$CQ$89,53,)),"")</f>
        <v>Calibration: 
Not evaluated</v>
      </c>
      <c r="M73" s="111" t="str">
        <f>IF(HLOOKUP(M$6,CHARMS!$A$6:$CQ$89,53,)&lt;&gt;"",CONCATENATE("Calibration: ",CHAR(10),HLOOKUP(M$6,CHARMS!$A$6:$CQ$89,53,)),"")</f>
        <v>Calibration: 
Not evaluated</v>
      </c>
      <c r="N73" s="111" t="str">
        <f>IF(HLOOKUP(N$6,CHARMS!$A$6:$CQ$89,53,)&lt;&gt;"",CONCATENATE("Calibration: ",CHAR(10),HLOOKUP(N$6,CHARMS!$A$6:$CQ$89,53,)),"")</f>
        <v/>
      </c>
      <c r="O73" s="111" t="str">
        <f>IF(HLOOKUP(O$6,CHARMS!$A$6:$CQ$89,53,)&lt;&gt;"",CONCATENATE("Calibration: ",CHAR(10),HLOOKUP(O$6,CHARMS!$A$6:$CQ$89,53,)),"")</f>
        <v/>
      </c>
      <c r="P73" s="111" t="str">
        <f>IF(HLOOKUP(P$6,CHARMS!$A$6:$CQ$89,53,)&lt;&gt;"",CONCATENATE("Calibration: ",CHAR(10),HLOOKUP(P$6,CHARMS!$A$6:$CQ$89,53,)),"")</f>
        <v/>
      </c>
      <c r="Q73" s="111" t="str">
        <f>IF(HLOOKUP(Q$6,CHARMS!$A$6:$CQ$89,53,)&lt;&gt;"",CONCATENATE("Calibration: ",CHAR(10),HLOOKUP(Q$6,CHARMS!$A$6:$CQ$89,53,)),"")</f>
        <v/>
      </c>
      <c r="R73" s="111" t="str">
        <f>IF(HLOOKUP(R$6,CHARMS!$A$6:$CQ$89,53,)&lt;&gt;"",CONCATENATE("Calibration: ",CHAR(10),HLOOKUP(R$6,CHARMS!$A$6:$CQ$89,53,)),"")</f>
        <v/>
      </c>
      <c r="S73" s="111" t="str">
        <f>IF(HLOOKUP(S$6,CHARMS!$A$6:$CQ$89,53,)&lt;&gt;"",CONCATENATE("Calibration: ",CHAR(10),HLOOKUP(S$6,CHARMS!$A$6:$CQ$89,53,)),"")</f>
        <v/>
      </c>
      <c r="T73" s="111" t="str">
        <f>IF(HLOOKUP(T$6,CHARMS!$A$6:$CQ$89,53,)&lt;&gt;"",CONCATENATE("Calibration: ",CHAR(10),HLOOKUP(T$6,CHARMS!$A$6:$CQ$89,53,)),"")</f>
        <v/>
      </c>
      <c r="U73" s="111" t="str">
        <f>IF(HLOOKUP(U$6,CHARMS!$A$6:$CQ$89,53,)&lt;&gt;"",CONCATENATE("Calibration: ",CHAR(10),HLOOKUP(U$6,CHARMS!$A$6:$CQ$89,53,)),"")</f>
        <v/>
      </c>
      <c r="V73" s="111" t="str">
        <f>IF(HLOOKUP(V$6,CHARMS!$A$6:$CQ$89,53,)&lt;&gt;"",CONCATENATE("Calibration: ",CHAR(10),HLOOKUP(V$6,CHARMS!$A$6:$CQ$89,53,)),"")</f>
        <v/>
      </c>
      <c r="W73" s="111" t="str">
        <f>IF(HLOOKUP(W$6,CHARMS!$A$6:$CQ$89,53,)&lt;&gt;"",CONCATENATE("Calibration: ",CHAR(10),HLOOKUP(W$6,CHARMS!$A$6:$CQ$89,53,)),"")</f>
        <v/>
      </c>
      <c r="X73" s="111" t="str">
        <f>IF(HLOOKUP(X$6,CHARMS!$A$6:$CQ$89,53,)&lt;&gt;"",CONCATENATE("Calibration: ",CHAR(10),HLOOKUP(X$6,CHARMS!$A$6:$CQ$89,53,)),"")</f>
        <v/>
      </c>
      <c r="Y73" s="111" t="str">
        <f>IF(HLOOKUP(Y$6,CHARMS!$A$6:$CQ$89,53,)&lt;&gt;"",CONCATENATE("Calibration: ",CHAR(10),HLOOKUP(Y$6,CHARMS!$A$6:$CQ$89,53,)),"")</f>
        <v/>
      </c>
      <c r="Z73" s="111" t="str">
        <f>IF(HLOOKUP(Z$6,CHARMS!$A$6:$CQ$89,53,)&lt;&gt;"",CONCATENATE("Calibration: ",CHAR(10),HLOOKUP(Z$6,CHARMS!$A$6:$CQ$89,53,)),"")</f>
        <v/>
      </c>
      <c r="AA73" s="111" t="str">
        <f>IF(HLOOKUP(AA$6,CHARMS!$A$6:$CQ$89,53,)&lt;&gt;"",CONCATENATE("Calibration: ",CHAR(10),HLOOKUP(AA$6,CHARMS!$A$6:$CQ$89,53,)),"")</f>
        <v/>
      </c>
      <c r="AB73" s="111" t="str">
        <f>IF(HLOOKUP(AB$6,CHARMS!$A$6:$CQ$89,53,)&lt;&gt;"",CONCATENATE("Calibration: ",CHAR(10),HLOOKUP(AB$6,CHARMS!$A$6:$CQ$89,53,)),"")</f>
        <v/>
      </c>
      <c r="AC73" s="111" t="str">
        <f>IF(HLOOKUP(AC$6,CHARMS!$A$6:$CQ$89,53,)&lt;&gt;"",CONCATENATE("Calibration: ",CHAR(10),HLOOKUP(AC$6,CHARMS!$A$6:$CQ$89,53,)),"")</f>
        <v/>
      </c>
      <c r="AD73" s="111" t="str">
        <f>IF(HLOOKUP(AD$6,CHARMS!$A$6:$CQ$89,53,)&lt;&gt;"",CONCATENATE("Calibration: ",CHAR(10),HLOOKUP(AD$6,CHARMS!$A$6:$CQ$89,53,)),"")</f>
        <v/>
      </c>
      <c r="AE73" s="111" t="str">
        <f>IF(HLOOKUP(AE$6,CHARMS!$A$6:$CQ$89,53,)&lt;&gt;"",CONCATENATE("Calibration: ",CHAR(10),HLOOKUP(AE$6,CHARMS!$A$6:$CQ$89,53,)),"")</f>
        <v/>
      </c>
    </row>
    <row r="74" spans="1:31" s="83" customFormat="1" ht="30" customHeight="1" x14ac:dyDescent="0.2">
      <c r="A74" s="110"/>
      <c r="B74" s="111" t="str">
        <f>IF(HLOOKUP(B$6,CHARMS!$A$6:$CQ$89,59,)&lt;&gt;"",CONCATENATE("Discrimination: ",CHAR(10),HLOOKUP(B$6,CHARMS!$A$6:$CQ$89,59,)),"")</f>
        <v>Discrimination: 
Accuracy 0.85 (0.85 - 0.86), Sensitivity - 0.81; Specificity - 0.88; PPV - 0.83; NPV - 0.87; Kappa 0.70</v>
      </c>
      <c r="C74" s="111" t="str">
        <f>IF(HLOOKUP(C$6,CHARMS!$A$6:$CQ$89,59,)&lt;&gt;"",CONCATENATE("Discrimination: ",CHAR(10),HLOOKUP(C$6,CHARMS!$A$6:$CQ$89,59,)),"")</f>
        <v>Discrimination: 
C-Statistic / AUC graph / Sensitivity (0.608, 0.604 - 0.611),  specificity (0.647, 0.646 - 0.648), ppv (0.189, 0.187 - 0.190), npv (0.924, 0.924 - 0.925)</v>
      </c>
      <c r="D74" s="111" t="str">
        <f>IF(HLOOKUP(D$6,CHARMS!$A$6:$CQ$89,59,)&lt;&gt;"",CONCATENATE("Discrimination: ",CHAR(10),HLOOKUP(D$6,CHARMS!$A$6:$CQ$89,59,)),"")</f>
        <v>Discrimination: 
C-Statistic / AUC graph / Sensitivity (0.646, 0.642 - 0.649),  specificity (0.646, 0.645 - 0.648), ppv (0.195, 0.193 - 0.196), npv (0.932, 0.931 - 0.933)</v>
      </c>
      <c r="E74" s="111" t="str">
        <f>IF(HLOOKUP(E$6,CHARMS!$A$6:$CQ$89,59,)&lt;&gt;"",CONCATENATE("Discrimination: ",CHAR(10),HLOOKUP(E$6,CHARMS!$A$6:$CQ$89,59,)),"")</f>
        <v>Discrimination: 
C-Statistic / AUC-PR, MCC (0.45)</v>
      </c>
      <c r="F74" s="111" t="str">
        <f>IF(HLOOKUP(F$6,CHARMS!$A$6:$CQ$89,59,)&lt;&gt;"",CONCATENATE("Discrimination: ",CHAR(10),HLOOKUP(F$6,CHARMS!$A$6:$CQ$89,59,)),"")</f>
        <v>Discrimination: 
C-Statistic / AUC-PR, MCC(0.37)</v>
      </c>
      <c r="G74" s="111" t="str">
        <f>IF(HLOOKUP(G$6,CHARMS!$A$6:$CQ$89,59,)&lt;&gt;"",CONCATENATE("Discrimination: ",CHAR(10),HLOOKUP(G$6,CHARMS!$A$6:$CQ$89,59,)),"")</f>
        <v>Discrimination: 
PPV (24.5, SD = 0.01)</v>
      </c>
      <c r="H74" s="111" t="str">
        <f>IF(HLOOKUP(H$6,CHARMS!$A$6:$CQ$89,59,)&lt;&gt;"",CONCATENATE("Discrimination: ",CHAR(10),HLOOKUP(H$6,CHARMS!$A$6:$CQ$89,59,)),"")</f>
        <v>Discrimination: 
PPV (15.5, 0.04)</v>
      </c>
      <c r="I74" s="111" t="str">
        <f>IF(HLOOKUP(I$6,CHARMS!$A$6:$CQ$89,59,)&lt;&gt;"",CONCATENATE("Discrimination: ",CHAR(10),HLOOKUP(I$6,CHARMS!$A$6:$CQ$89,59,)),"")</f>
        <v>Discrimination: 
C-Statistic / AUC graph / Sensitivity (0.74,  0.70 - 0.78), Specificity (0.54, 0.44 - 0.64)</v>
      </c>
      <c r="J74" s="111" t="str">
        <f>IF(HLOOKUP(J$6,CHARMS!$A$6:$CQ$89,59,)&lt;&gt;"",CONCATENATE("Discrimination: ",CHAR(10),HLOOKUP(J$6,CHARMS!$A$6:$CQ$89,59,)),"")</f>
        <v>Discrimination: 
C-Statistic / AUC graph / Accuracy (0.786), sensitivity (0.406), specificity (0.83), npv (0.92), ppv (0.22)</v>
      </c>
      <c r="K74" s="111" t="str">
        <f>IF(HLOOKUP(K$6,CHARMS!$A$6:$CQ$89,59,)&lt;&gt;"",CONCATENATE("Discrimination: ",CHAR(10),HLOOKUP(K$6,CHARMS!$A$6:$CQ$89,59,)),"")</f>
        <v>Discrimination: 
C-Statistic / Accuracy = 0.63, Specificity = 0.52, specificity =0.64, ppv = 0.19, NPV = 0.89</v>
      </c>
      <c r="L74" s="111" t="str">
        <f>IF(HLOOKUP(L$6,CHARMS!$A$6:$CQ$89,59,)&lt;&gt;"",CONCATENATE("Discrimination: ",CHAR(10),HLOOKUP(L$6,CHARMS!$A$6:$CQ$89,59,)),"")</f>
        <v xml:space="preserve">Discrimination: 
C-Statistic / AUC graph </v>
      </c>
      <c r="M74" s="111" t="str">
        <f>IF(HLOOKUP(M$6,CHARMS!$A$6:$CQ$89,59,)&lt;&gt;"",CONCATENATE("Discrimination: ",CHAR(10),HLOOKUP(M$6,CHARMS!$A$6:$CQ$89,59,)),"")</f>
        <v>Discrimination: 
C-Statistic / Accuracy (0.723)</v>
      </c>
      <c r="N74" s="111" t="str">
        <f>IF(HLOOKUP(N$6,CHARMS!$A$6:$CQ$89,59,)&lt;&gt;"",CONCATENATE("Discrimination: ",CHAR(10),HLOOKUP(N$6,CHARMS!$A$6:$CQ$89,59,)),"")</f>
        <v/>
      </c>
      <c r="O74" s="111" t="str">
        <f>IF(HLOOKUP(O$6,CHARMS!$A$6:$CQ$89,59,)&lt;&gt;"",CONCATENATE("Discrimination: ",CHAR(10),HLOOKUP(O$6,CHARMS!$A$6:$CQ$89,59,)),"")</f>
        <v/>
      </c>
      <c r="P74" s="111" t="str">
        <f>IF(HLOOKUP(P$6,CHARMS!$A$6:$CQ$89,59,)&lt;&gt;"",CONCATENATE("Discrimination: ",CHAR(10),HLOOKUP(P$6,CHARMS!$A$6:$CQ$89,59,)),"")</f>
        <v/>
      </c>
      <c r="Q74" s="111" t="str">
        <f>IF(HLOOKUP(Q$6,CHARMS!$A$6:$CQ$89,59,)&lt;&gt;"",CONCATENATE("Discrimination: ",CHAR(10),HLOOKUP(Q$6,CHARMS!$A$6:$CQ$89,59,)),"")</f>
        <v/>
      </c>
      <c r="R74" s="111" t="str">
        <f>IF(HLOOKUP(R$6,CHARMS!$A$6:$CQ$89,59,)&lt;&gt;"",CONCATENATE("Discrimination: ",CHAR(10),HLOOKUP(R$6,CHARMS!$A$6:$CQ$89,59,)),"")</f>
        <v/>
      </c>
      <c r="S74" s="111" t="str">
        <f>IF(HLOOKUP(S$6,CHARMS!$A$6:$CQ$89,59,)&lt;&gt;"",CONCATENATE("Discrimination: ",CHAR(10),HLOOKUP(S$6,CHARMS!$A$6:$CQ$89,59,)),"")</f>
        <v/>
      </c>
      <c r="T74" s="111" t="str">
        <f>IF(HLOOKUP(T$6,CHARMS!$A$6:$CQ$89,59,)&lt;&gt;"",CONCATENATE("Discrimination: ",CHAR(10),HLOOKUP(T$6,CHARMS!$A$6:$CQ$89,59,)),"")</f>
        <v/>
      </c>
      <c r="U74" s="111" t="str">
        <f>IF(HLOOKUP(U$6,CHARMS!$A$6:$CQ$89,59,)&lt;&gt;"",CONCATENATE("Discrimination: ",CHAR(10),HLOOKUP(U$6,CHARMS!$A$6:$CQ$89,59,)),"")</f>
        <v/>
      </c>
      <c r="V74" s="111" t="str">
        <f>IF(HLOOKUP(V$6,CHARMS!$A$6:$CQ$89,59,)&lt;&gt;"",CONCATENATE("Discrimination: ",CHAR(10),HLOOKUP(V$6,CHARMS!$A$6:$CQ$89,59,)),"")</f>
        <v/>
      </c>
      <c r="W74" s="111" t="str">
        <f>IF(HLOOKUP(W$6,CHARMS!$A$6:$CQ$89,59,)&lt;&gt;"",CONCATENATE("Discrimination: ",CHAR(10),HLOOKUP(W$6,CHARMS!$A$6:$CQ$89,59,)),"")</f>
        <v/>
      </c>
      <c r="X74" s="111" t="str">
        <f>IF(HLOOKUP(X$6,CHARMS!$A$6:$CQ$89,59,)&lt;&gt;"",CONCATENATE("Discrimination: ",CHAR(10),HLOOKUP(X$6,CHARMS!$A$6:$CQ$89,59,)),"")</f>
        <v/>
      </c>
      <c r="Y74" s="111" t="str">
        <f>IF(HLOOKUP(Y$6,CHARMS!$A$6:$CQ$89,59,)&lt;&gt;"",CONCATENATE("Discrimination: ",CHAR(10),HLOOKUP(Y$6,CHARMS!$A$6:$CQ$89,59,)),"")</f>
        <v/>
      </c>
      <c r="Z74" s="111" t="str">
        <f>IF(HLOOKUP(Z$6,CHARMS!$A$6:$CQ$89,59,)&lt;&gt;"",CONCATENATE("Discrimination: ",CHAR(10),HLOOKUP(Z$6,CHARMS!$A$6:$CQ$89,59,)),"")</f>
        <v/>
      </c>
      <c r="AA74" s="111" t="str">
        <f>IF(HLOOKUP(AA$6,CHARMS!$A$6:$CQ$89,59,)&lt;&gt;"",CONCATENATE("Discrimination: ",CHAR(10),HLOOKUP(AA$6,CHARMS!$A$6:$CQ$89,59,)),"")</f>
        <v/>
      </c>
      <c r="AB74" s="111" t="str">
        <f>IF(HLOOKUP(AB$6,CHARMS!$A$6:$CQ$89,59,)&lt;&gt;"",CONCATENATE("Discrimination: ",CHAR(10),HLOOKUP(AB$6,CHARMS!$A$6:$CQ$89,59,)),"")</f>
        <v/>
      </c>
      <c r="AC74" s="111" t="str">
        <f>IF(HLOOKUP(AC$6,CHARMS!$A$6:$CQ$89,59,)&lt;&gt;"",CONCATENATE("Discrimination: ",CHAR(10),HLOOKUP(AC$6,CHARMS!$A$6:$CQ$89,59,)),"")</f>
        <v/>
      </c>
      <c r="AD74" s="111" t="str">
        <f>IF(HLOOKUP(AD$6,CHARMS!$A$6:$CQ$89,59,)&lt;&gt;"",CONCATENATE("Discrimination: ",CHAR(10),HLOOKUP(AD$6,CHARMS!$A$6:$CQ$89,59,)),"")</f>
        <v/>
      </c>
      <c r="AE74" s="111" t="str">
        <f>IF(HLOOKUP(AE$6,CHARMS!$A$6:$CQ$89,59,)&lt;&gt;"",CONCATENATE("Discrimination: ",CHAR(10),HLOOKUP(AE$6,CHARMS!$A$6:$CQ$89,59,)),"")</f>
        <v/>
      </c>
    </row>
    <row r="75" spans="1:31" s="83" customFormat="1" ht="30" customHeight="1" x14ac:dyDescent="0.2">
      <c r="A75" s="110"/>
      <c r="B75" s="111" t="str">
        <f>IF(HLOOKUP(B$6,CHARMS!$A$6:$CQ$89,66,)&lt;&gt;"",CONCATENATE("Overall: ",CHAR(10),HLOOKUP(B$6,CHARMS!$A$6:$CQ$89,66,)),"")</f>
        <v>Overall: 
Not evaluated</v>
      </c>
      <c r="C75" s="111" t="str">
        <f>IF(HLOOKUP(C$6,CHARMS!$A$6:$CQ$89,66,)&lt;&gt;"",CONCATENATE("Overall: ",CHAR(10),HLOOKUP(C$6,CHARMS!$A$6:$CQ$89,66,)),"")</f>
        <v>Overall: 
Not evaluated</v>
      </c>
      <c r="D75" s="111" t="str">
        <f>IF(HLOOKUP(D$6,CHARMS!$A$6:$CQ$89,66,)&lt;&gt;"",CONCATENATE("Overall: ",CHAR(10),HLOOKUP(D$6,CHARMS!$A$6:$CQ$89,66,)),"")</f>
        <v>Overall: 
Not evaluated</v>
      </c>
      <c r="E75" s="111" t="str">
        <f>IF(HLOOKUP(E$6,CHARMS!$A$6:$CQ$89,66,)&lt;&gt;"",CONCATENATE("Overall: ",CHAR(10),HLOOKUP(E$6,CHARMS!$A$6:$CQ$89,66,)),"")</f>
        <v>Overall: 
Not evaluated</v>
      </c>
      <c r="F75" s="111" t="str">
        <f>IF(HLOOKUP(F$6,CHARMS!$A$6:$CQ$89,66,)&lt;&gt;"",CONCATENATE("Overall: ",CHAR(10),HLOOKUP(F$6,CHARMS!$A$6:$CQ$89,66,)),"")</f>
        <v>Overall: 
Not evaluated</v>
      </c>
      <c r="G75" s="111" t="str">
        <f>IF(HLOOKUP(G$6,CHARMS!$A$6:$CQ$89,66,)&lt;&gt;"",CONCATENATE("Overall: ",CHAR(10),HLOOKUP(G$6,CHARMS!$A$6:$CQ$89,66,)),"")</f>
        <v>Overall: 
Not evaluated</v>
      </c>
      <c r="H75" s="111" t="str">
        <f>IF(HLOOKUP(H$6,CHARMS!$A$6:$CQ$89,66,)&lt;&gt;"",CONCATENATE("Overall: ",CHAR(10),HLOOKUP(H$6,CHARMS!$A$6:$CQ$89,66,)),"")</f>
        <v>Overall: 
Not evaluated</v>
      </c>
      <c r="I75" s="111" t="str">
        <f>IF(HLOOKUP(I$6,CHARMS!$A$6:$CQ$89,66,)&lt;&gt;"",CONCATENATE("Overall: ",CHAR(10),HLOOKUP(I$6,CHARMS!$A$6:$CQ$89,66,)),"")</f>
        <v>Overall: 
Not evaluated</v>
      </c>
      <c r="J75" s="111" t="str">
        <f>IF(HLOOKUP(J$6,CHARMS!$A$6:$CQ$89,66,)&lt;&gt;"",CONCATENATE("Overall: ",CHAR(10),HLOOKUP(J$6,CHARMS!$A$6:$CQ$89,66,)),"")</f>
        <v>Overall: 
Not evaluated</v>
      </c>
      <c r="K75" s="111" t="str">
        <f>IF(HLOOKUP(K$6,CHARMS!$A$6:$CQ$89,66,)&lt;&gt;"",CONCATENATE("Overall: ",CHAR(10),HLOOKUP(K$6,CHARMS!$A$6:$CQ$89,66,)),"")</f>
        <v>Overall: 
Not evaluated</v>
      </c>
      <c r="L75" s="111" t="str">
        <f>IF(HLOOKUP(L$6,CHARMS!$A$6:$CQ$89,66,)&lt;&gt;"",CONCATENATE("Overall: ",CHAR(10),HLOOKUP(L$6,CHARMS!$A$6:$CQ$89,66,)),"")</f>
        <v>Overall: 
Not evaluated</v>
      </c>
      <c r="M75" s="111" t="str">
        <f>IF(HLOOKUP(M$6,CHARMS!$A$6:$CQ$89,66,)&lt;&gt;"",CONCATENATE("Overall: ",CHAR(10),HLOOKUP(M$6,CHARMS!$A$6:$CQ$89,66,)),"")</f>
        <v>Overall: 
Not evaluated</v>
      </c>
      <c r="N75" s="111" t="str">
        <f>IF(HLOOKUP(N$6,CHARMS!$A$6:$CQ$89,66,)&lt;&gt;"",CONCATENATE("Overall: ",CHAR(10),HLOOKUP(N$6,CHARMS!$A$6:$CQ$89,66,)),"")</f>
        <v/>
      </c>
      <c r="O75" s="111" t="str">
        <f>IF(HLOOKUP(O$6,CHARMS!$A$6:$CQ$89,66,)&lt;&gt;"",CONCATENATE("Overall: ",CHAR(10),HLOOKUP(O$6,CHARMS!$A$6:$CQ$89,66,)),"")</f>
        <v/>
      </c>
      <c r="P75" s="111" t="str">
        <f>IF(HLOOKUP(P$6,CHARMS!$A$6:$CQ$89,66,)&lt;&gt;"",CONCATENATE("Overall: ",CHAR(10),HLOOKUP(P$6,CHARMS!$A$6:$CQ$89,66,)),"")</f>
        <v/>
      </c>
      <c r="Q75" s="111" t="str">
        <f>IF(HLOOKUP(Q$6,CHARMS!$A$6:$CQ$89,66,)&lt;&gt;"",CONCATENATE("Overall: ",CHAR(10),HLOOKUP(Q$6,CHARMS!$A$6:$CQ$89,66,)),"")</f>
        <v/>
      </c>
      <c r="R75" s="111" t="str">
        <f>IF(HLOOKUP(R$6,CHARMS!$A$6:$CQ$89,66,)&lt;&gt;"",CONCATENATE("Overall: ",CHAR(10),HLOOKUP(R$6,CHARMS!$A$6:$CQ$89,66,)),"")</f>
        <v/>
      </c>
      <c r="S75" s="111" t="str">
        <f>IF(HLOOKUP(S$6,CHARMS!$A$6:$CQ$89,66,)&lt;&gt;"",CONCATENATE("Overall: ",CHAR(10),HLOOKUP(S$6,CHARMS!$A$6:$CQ$89,66,)),"")</f>
        <v/>
      </c>
      <c r="T75" s="111" t="str">
        <f>IF(HLOOKUP(T$6,CHARMS!$A$6:$CQ$89,66,)&lt;&gt;"",CONCATENATE("Overall: ",CHAR(10),HLOOKUP(T$6,CHARMS!$A$6:$CQ$89,66,)),"")</f>
        <v/>
      </c>
      <c r="U75" s="111" t="str">
        <f>IF(HLOOKUP(U$6,CHARMS!$A$6:$CQ$89,66,)&lt;&gt;"",CONCATENATE("Overall: ",CHAR(10),HLOOKUP(U$6,CHARMS!$A$6:$CQ$89,66,)),"")</f>
        <v/>
      </c>
      <c r="V75" s="111" t="str">
        <f>IF(HLOOKUP(V$6,CHARMS!$A$6:$CQ$89,66,)&lt;&gt;"",CONCATENATE("Overall: ",CHAR(10),HLOOKUP(V$6,CHARMS!$A$6:$CQ$89,66,)),"")</f>
        <v/>
      </c>
      <c r="W75" s="111" t="str">
        <f>IF(HLOOKUP(W$6,CHARMS!$A$6:$CQ$89,66,)&lt;&gt;"",CONCATENATE("Overall: ",CHAR(10),HLOOKUP(W$6,CHARMS!$A$6:$CQ$89,66,)),"")</f>
        <v/>
      </c>
      <c r="X75" s="111" t="str">
        <f>IF(HLOOKUP(X$6,CHARMS!$A$6:$CQ$89,66,)&lt;&gt;"",CONCATENATE("Overall: ",CHAR(10),HLOOKUP(X$6,CHARMS!$A$6:$CQ$89,66,)),"")</f>
        <v/>
      </c>
      <c r="Y75" s="111" t="str">
        <f>IF(HLOOKUP(Y$6,CHARMS!$A$6:$CQ$89,66,)&lt;&gt;"",CONCATENATE("Overall: ",CHAR(10),HLOOKUP(Y$6,CHARMS!$A$6:$CQ$89,66,)),"")</f>
        <v/>
      </c>
      <c r="Z75" s="111" t="str">
        <f>IF(HLOOKUP(Z$6,CHARMS!$A$6:$CQ$89,66,)&lt;&gt;"",CONCATENATE("Overall: ",CHAR(10),HLOOKUP(Z$6,CHARMS!$A$6:$CQ$89,66,)),"")</f>
        <v/>
      </c>
      <c r="AA75" s="111" t="str">
        <f>IF(HLOOKUP(AA$6,CHARMS!$A$6:$CQ$89,66,)&lt;&gt;"",CONCATENATE("Overall: ",CHAR(10),HLOOKUP(AA$6,CHARMS!$A$6:$CQ$89,66,)),"")</f>
        <v/>
      </c>
      <c r="AB75" s="111" t="str">
        <f>IF(HLOOKUP(AB$6,CHARMS!$A$6:$CQ$89,66,)&lt;&gt;"",CONCATENATE("Overall: ",CHAR(10),HLOOKUP(AB$6,CHARMS!$A$6:$CQ$89,66,)),"")</f>
        <v/>
      </c>
      <c r="AC75" s="111" t="str">
        <f>IF(HLOOKUP(AC$6,CHARMS!$A$6:$CQ$89,66,)&lt;&gt;"",CONCATENATE("Overall: ",CHAR(10),HLOOKUP(AC$6,CHARMS!$A$6:$CQ$89,66,)),"")</f>
        <v/>
      </c>
      <c r="AD75" s="111" t="str">
        <f>IF(HLOOKUP(AD$6,CHARMS!$A$6:$CQ$89,66,)&lt;&gt;"",CONCATENATE("Overall: ",CHAR(10),HLOOKUP(AD$6,CHARMS!$A$6:$CQ$89,66,)),"")</f>
        <v/>
      </c>
      <c r="AE75" s="111" t="str">
        <f>IF(HLOOKUP(AE$6,CHARMS!$A$6:$CQ$89,66,)&lt;&gt;"",CONCATENATE("Overall: ",CHAR(10),HLOOKUP(AE$6,CHARMS!$A$6:$CQ$89,66,)),"")</f>
        <v/>
      </c>
    </row>
    <row r="76" spans="1:31" s="83" customFormat="1" ht="15" customHeight="1" x14ac:dyDescent="0.2">
      <c r="A76" s="112" t="s">
        <v>215</v>
      </c>
      <c r="B76" s="113" t="str">
        <f>IF(HLOOKUP(B$6,CHARMS!$A$6:$CQ$89,51,)&lt;&gt;0,HLOOKUP(B$6,CHARMS!$A$6:$CQ$89,51,),"")</f>
        <v>Unclear</v>
      </c>
      <c r="C76" s="113" t="str">
        <f>IF(HLOOKUP(C$6,CHARMS!$A$6:$CQ$89,51,)&lt;&gt;0,HLOOKUP(C$6,CHARMS!$A$6:$CQ$89,51,),"")</f>
        <v>No information</v>
      </c>
      <c r="D76" s="113" t="str">
        <f>IF(HLOOKUP(D$6,CHARMS!$A$6:$CQ$89,51,)&lt;&gt;0,HLOOKUP(D$6,CHARMS!$A$6:$CQ$89,51,),"")</f>
        <v>No information</v>
      </c>
      <c r="E76" s="113" t="str">
        <f>IF(HLOOKUP(E$6,CHARMS!$A$6:$CQ$89,51,)&lt;&gt;0,HLOOKUP(E$6,CHARMS!$A$6:$CQ$89,51,),"")</f>
        <v>No information</v>
      </c>
      <c r="F76" s="113" t="str">
        <f>IF(HLOOKUP(F$6,CHARMS!$A$6:$CQ$89,51,)&lt;&gt;0,HLOOKUP(F$6,CHARMS!$A$6:$CQ$89,51,),"")</f>
        <v>No information</v>
      </c>
      <c r="G76" s="113" t="str">
        <f>IF(HLOOKUP(G$6,CHARMS!$A$6:$CQ$89,51,)&lt;&gt;0,HLOOKUP(G$6,CHARMS!$A$6:$CQ$89,51,),"")</f>
        <v>No information</v>
      </c>
      <c r="H76" s="113" t="str">
        <f>IF(HLOOKUP(H$6,CHARMS!$A$6:$CQ$89,51,)&lt;&gt;0,HLOOKUP(H$6,CHARMS!$A$6:$CQ$89,51,),"")</f>
        <v>No information</v>
      </c>
      <c r="I76" s="113" t="str">
        <f>IF(HLOOKUP(I$6,CHARMS!$A$6:$CQ$89,51,)&lt;&gt;0,HLOOKUP(I$6,CHARMS!$A$6:$CQ$89,51,),"")</f>
        <v>No information</v>
      </c>
      <c r="J76" s="113" t="str">
        <f>IF(HLOOKUP(J$6,CHARMS!$A$6:$CQ$89,51,)&lt;&gt;0,HLOOKUP(J$6,CHARMS!$A$6:$CQ$89,51,),"")</f>
        <v>No</v>
      </c>
      <c r="K76" s="113" t="str">
        <f>IF(HLOOKUP(K$6,CHARMS!$A$6:$CQ$89,51,)&lt;&gt;0,HLOOKUP(K$6,CHARMS!$A$6:$CQ$89,51,),"")</f>
        <v>No</v>
      </c>
      <c r="L76" s="113" t="str">
        <f>IF(HLOOKUP(L$6,CHARMS!$A$6:$CQ$89,51,)&lt;&gt;0,HLOOKUP(L$6,CHARMS!$A$6:$CQ$89,51,),"")</f>
        <v>Unclear</v>
      </c>
      <c r="M76" s="113" t="str">
        <f>IF(HLOOKUP(M$6,CHARMS!$A$6:$CQ$89,51,)&lt;&gt;0,HLOOKUP(M$6,CHARMS!$A$6:$CQ$89,51,),"")</f>
        <v>Yes</v>
      </c>
      <c r="N76" s="113" t="str">
        <f>IF(HLOOKUP(N$6,CHARMS!$A$6:$CQ$89,51,)&lt;&gt;0,HLOOKUP(N$6,CHARMS!$A$6:$CQ$89,51,),"")</f>
        <v/>
      </c>
      <c r="O76" s="113" t="str">
        <f>IF(HLOOKUP(O$6,CHARMS!$A$6:$CQ$89,51,)&lt;&gt;0,HLOOKUP(O$6,CHARMS!$A$6:$CQ$89,51,),"")</f>
        <v/>
      </c>
      <c r="P76" s="113" t="str">
        <f>IF(HLOOKUP(P$6,CHARMS!$A$6:$CQ$89,51,)&lt;&gt;0,HLOOKUP(P$6,CHARMS!$A$6:$CQ$89,51,),"")</f>
        <v/>
      </c>
      <c r="Q76" s="113" t="str">
        <f>IF(HLOOKUP(Q$6,CHARMS!$A$6:$CQ$89,51,)&lt;&gt;0,HLOOKUP(Q$6,CHARMS!$A$6:$CQ$89,51,),"")</f>
        <v/>
      </c>
      <c r="R76" s="113" t="str">
        <f>IF(HLOOKUP(R$6,CHARMS!$A$6:$CQ$89,51,)&lt;&gt;0,HLOOKUP(R$6,CHARMS!$A$6:$CQ$89,51,),"")</f>
        <v/>
      </c>
      <c r="S76" s="113" t="str">
        <f>IF(HLOOKUP(S$6,CHARMS!$A$6:$CQ$89,51,)&lt;&gt;0,HLOOKUP(S$6,CHARMS!$A$6:$CQ$89,51,),"")</f>
        <v/>
      </c>
      <c r="T76" s="113" t="str">
        <f>IF(HLOOKUP(T$6,CHARMS!$A$6:$CQ$89,51,)&lt;&gt;0,HLOOKUP(T$6,CHARMS!$A$6:$CQ$89,51,),"")</f>
        <v/>
      </c>
      <c r="U76" s="113" t="str">
        <f>IF(HLOOKUP(U$6,CHARMS!$A$6:$CQ$89,51,)&lt;&gt;0,HLOOKUP(U$6,CHARMS!$A$6:$CQ$89,51,),"")</f>
        <v/>
      </c>
      <c r="V76" s="113" t="str">
        <f>IF(HLOOKUP(V$6,CHARMS!$A$6:$CQ$89,51,)&lt;&gt;0,HLOOKUP(V$6,CHARMS!$A$6:$CQ$89,51,),"")</f>
        <v/>
      </c>
      <c r="W76" s="113" t="str">
        <f>IF(HLOOKUP(W$6,CHARMS!$A$6:$CQ$89,51,)&lt;&gt;0,HLOOKUP(W$6,CHARMS!$A$6:$CQ$89,51,),"")</f>
        <v/>
      </c>
      <c r="X76" s="113" t="str">
        <f>IF(HLOOKUP(X$6,CHARMS!$A$6:$CQ$89,51,)&lt;&gt;0,HLOOKUP(X$6,CHARMS!$A$6:$CQ$89,51,),"")</f>
        <v/>
      </c>
      <c r="Y76" s="113" t="str">
        <f>IF(HLOOKUP(Y$6,CHARMS!$A$6:$CQ$89,51,)&lt;&gt;0,HLOOKUP(Y$6,CHARMS!$A$6:$CQ$89,51,),"")</f>
        <v/>
      </c>
      <c r="Z76" s="113" t="str">
        <f>IF(HLOOKUP(Z$6,CHARMS!$A$6:$CQ$89,51,)&lt;&gt;0,HLOOKUP(Z$6,CHARMS!$A$6:$CQ$89,51,),"")</f>
        <v/>
      </c>
      <c r="AA76" s="113" t="str">
        <f>IF(HLOOKUP(AA$6,CHARMS!$A$6:$CQ$89,51,)&lt;&gt;0,HLOOKUP(AA$6,CHARMS!$A$6:$CQ$89,51,),"")</f>
        <v/>
      </c>
      <c r="AB76" s="113" t="str">
        <f>IF(HLOOKUP(AB$6,CHARMS!$A$6:$CQ$89,51,)&lt;&gt;0,HLOOKUP(AB$6,CHARMS!$A$6:$CQ$89,51,),"")</f>
        <v/>
      </c>
      <c r="AC76" s="113" t="str">
        <f>IF(HLOOKUP(AC$6,CHARMS!$A$6:$CQ$89,51,)&lt;&gt;0,HLOOKUP(AC$6,CHARMS!$A$6:$CQ$89,51,),"")</f>
        <v/>
      </c>
      <c r="AD76" s="113" t="str">
        <f>IF(HLOOKUP(AD$6,CHARMS!$A$6:$CQ$89,51,)&lt;&gt;0,HLOOKUP(AD$6,CHARMS!$A$6:$CQ$89,51,),"")</f>
        <v/>
      </c>
      <c r="AE76" s="113" t="str">
        <f>IF(HLOOKUP(AE$6,CHARMS!$A$6:$CQ$89,51,)&lt;&gt;0,HLOOKUP(AE$6,CHARMS!$A$6:$CQ$89,51,),"")</f>
        <v/>
      </c>
    </row>
    <row r="77" spans="1:31" s="83" customFormat="1" ht="75" customHeight="1" thickBot="1" x14ac:dyDescent="0.25">
      <c r="A77" s="121" t="s">
        <v>172</v>
      </c>
      <c r="B77" s="31" t="s">
        <v>431</v>
      </c>
      <c r="C77" s="31" t="s">
        <v>432</v>
      </c>
      <c r="D77" s="31" t="s">
        <v>432</v>
      </c>
      <c r="E77" s="31" t="s">
        <v>433</v>
      </c>
      <c r="F77" s="31" t="s">
        <v>433</v>
      </c>
      <c r="G77" s="31" t="s">
        <v>434</v>
      </c>
      <c r="H77" s="31" t="s">
        <v>434</v>
      </c>
      <c r="I77" s="31" t="s">
        <v>435</v>
      </c>
      <c r="J77" s="31"/>
      <c r="K77" s="31" t="s">
        <v>455</v>
      </c>
      <c r="L77" s="31" t="s">
        <v>216</v>
      </c>
      <c r="M77" s="31"/>
      <c r="N77" s="31"/>
      <c r="O77" s="31"/>
      <c r="P77" s="31"/>
      <c r="Q77" s="31"/>
      <c r="R77" s="31"/>
      <c r="S77" s="31"/>
      <c r="T77" s="31"/>
      <c r="U77" s="31"/>
      <c r="V77" s="31"/>
      <c r="W77" s="31"/>
      <c r="X77" s="31"/>
      <c r="Y77" s="31"/>
      <c r="Z77" s="31"/>
      <c r="AA77" s="31"/>
      <c r="AB77" s="31"/>
      <c r="AC77" s="31"/>
      <c r="AD77" s="31"/>
      <c r="AE77" s="31"/>
    </row>
    <row r="78" spans="1:31" x14ac:dyDescent="0.2">
      <c r="A78" s="77"/>
      <c r="B78" s="81"/>
      <c r="C78" s="81"/>
      <c r="D78" s="81"/>
      <c r="E78" s="81"/>
      <c r="F78" s="81"/>
      <c r="G78" s="81"/>
      <c r="H78" s="81"/>
      <c r="I78" s="81"/>
      <c r="J78" s="81"/>
      <c r="K78" s="81"/>
      <c r="L78" s="81"/>
      <c r="M78" s="81"/>
      <c r="N78" s="81"/>
      <c r="O78" s="81"/>
      <c r="P78" s="81"/>
      <c r="Q78" s="81"/>
      <c r="R78" s="81"/>
      <c r="S78" s="81"/>
      <c r="T78" s="81"/>
      <c r="U78" s="81"/>
      <c r="V78" s="81"/>
      <c r="W78" s="81"/>
      <c r="X78" s="81"/>
      <c r="Y78" s="81"/>
      <c r="Z78" s="81"/>
      <c r="AA78" s="81"/>
      <c r="AB78" s="81"/>
      <c r="AC78" s="81"/>
      <c r="AD78" s="81"/>
      <c r="AE78" s="81"/>
    </row>
    <row r="80" spans="1:31" hidden="1" x14ac:dyDescent="0.2">
      <c r="B80" s="82" t="e">
        <f>IF(B8="","NA",COUNTBLANK(B8:B12)+COUNTBLANK(B14)+COUNTBLANK(B33:B77)+COUNTBLANK(#REF!)+COUNTBLANK(#REF!)+COUNTBLANK(#REF!)+COUNTBLANK(#REF!)+COUNTBLANK(#REF!)+COUNTBLANK(#REF!)+COUNTBLANK(#REF!)+COUNTBLANK(#REF!)+COUNTBLANK(#REF!))</f>
        <v>#REF!</v>
      </c>
    </row>
  </sheetData>
  <sheetProtection password="8015" sheet="1" selectLockedCells="1"/>
  <phoneticPr fontId="6" type="noConversion"/>
  <conditionalFormatting sqref="B14:AE15">
    <cfRule type="expression" dxfId="124" priority="52">
      <formula>B14=""</formula>
    </cfRule>
  </conditionalFormatting>
  <conditionalFormatting sqref="B16:AE17">
    <cfRule type="containsText" dxfId="123" priority="36" operator="containsText" text="Unclear">
      <formula>NOT(ISERROR(SEARCH("Unclear",B16)))</formula>
    </cfRule>
    <cfRule type="containsText" dxfId="122" priority="37" operator="containsText" text="High">
      <formula>NOT(ISERROR(SEARCH("High",B16)))</formula>
    </cfRule>
    <cfRule type="expression" dxfId="121" priority="48">
      <formula>AND(B$14&lt;&gt;"",B$15&lt;&gt;"")</formula>
    </cfRule>
    <cfRule type="containsText" dxfId="120" priority="38" operator="containsText" text="Low">
      <formula>NOT(ISERROR(SEARCH("Low",B16)))</formula>
    </cfRule>
  </conditionalFormatting>
  <conditionalFormatting sqref="B27:AE29">
    <cfRule type="expression" dxfId="119" priority="51">
      <formula>B27=""</formula>
    </cfRule>
  </conditionalFormatting>
  <conditionalFormatting sqref="B30:AE31">
    <cfRule type="expression" dxfId="118" priority="57">
      <formula>AND(B$27&lt;&gt;"",B$28&lt;&gt;"",B$29&lt;&gt;"")</formula>
    </cfRule>
    <cfRule type="containsText" dxfId="117" priority="47" operator="containsText" text="Low">
      <formula>NOT(ISERROR(SEARCH("Low",B30)))</formula>
    </cfRule>
    <cfRule type="containsText" dxfId="116" priority="46" operator="containsText" text="High">
      <formula>NOT(ISERROR(SEARCH("High",B30)))</formula>
    </cfRule>
    <cfRule type="containsText" dxfId="115" priority="45" operator="containsText" text="Unclear">
      <formula>NOT(ISERROR(SEARCH("Unclear",B30)))</formula>
    </cfRule>
  </conditionalFormatting>
  <conditionalFormatting sqref="B38:AE43">
    <cfRule type="expression" dxfId="114" priority="50">
      <formula>B38=""</formula>
    </cfRule>
  </conditionalFormatting>
  <conditionalFormatting sqref="B44:AE45">
    <cfRule type="containsText" dxfId="113" priority="43" operator="containsText" text="High">
      <formula>NOT(ISERROR(SEARCH("High",B44)))</formula>
    </cfRule>
    <cfRule type="containsText" dxfId="112" priority="42" operator="containsText" text="Unclear">
      <formula>NOT(ISERROR(SEARCH("Unclear",B44)))</formula>
    </cfRule>
    <cfRule type="containsText" dxfId="111" priority="44" operator="containsText" text="Low">
      <formula>NOT(ISERROR(SEARCH("Low",B44)))</formula>
    </cfRule>
    <cfRule type="expression" dxfId="110" priority="54">
      <formula>AND(B$38&lt;&gt;"",B$39&lt;&gt;"",B$40&lt;&gt;"",B$41&lt;&gt;"",B$42&lt;&gt;"",B$43&lt;&gt;"")</formula>
    </cfRule>
  </conditionalFormatting>
  <conditionalFormatting sqref="B54:AE62">
    <cfRule type="expression" dxfId="109" priority="49">
      <formula>B54=""</formula>
    </cfRule>
  </conditionalFormatting>
  <conditionalFormatting sqref="B63:AE63">
    <cfRule type="containsText" dxfId="108" priority="41" operator="containsText" text="Low">
      <formula>NOT(ISERROR(SEARCH("Low",B63)))</formula>
    </cfRule>
    <cfRule type="containsText" dxfId="107" priority="40" operator="containsText" text="High">
      <formula>NOT(ISERROR(SEARCH("High",B63)))</formula>
    </cfRule>
    <cfRule type="containsText" dxfId="106" priority="39" operator="containsText" text="Unclear">
      <formula>NOT(ISERROR(SEARCH("Unclear",B63)))</formula>
    </cfRule>
    <cfRule type="expression" dxfId="105" priority="53">
      <formula>AND(B$54&lt;&gt;"",B$55&lt;&gt;"",B$56&lt;&gt;"",B$57&lt;&gt;"",B$58&lt;&gt;"",B$59&lt;&gt;"",B$60&lt;&gt;"",B$61&lt;&gt;"",B$62&lt;&gt;"")</formula>
    </cfRule>
  </conditionalFormatting>
  <dataValidations xWindow="83" yWindow="687" count="4">
    <dataValidation type="list" allowBlank="1" showInputMessage="1" showErrorMessage="1" sqref="B17:AE17 B31:AE31 B45:AE45" xr:uid="{9AF75F54-CEE2-494A-96FC-6F72D732276E}">
      <formula1>"Low concern,High concern,Unclear"</formula1>
    </dataValidation>
    <dataValidation type="list" allowBlank="1" showInputMessage="1" showErrorMessage="1" sqref="B63:AE63 B30:AE30 B44:AE44" xr:uid="{A30A811D-A2BA-41F4-AC76-B77C5ACDF944}">
      <formula1>"Low RoB, High RoB, Unclear"</formula1>
    </dataValidation>
    <dataValidation type="list" allowBlank="1" showInputMessage="1" showErrorMessage="1" sqref="B38:AE43 B14:AE15 B27:AE29 B54:AE62" xr:uid="{F05A8AD3-090B-4E00-88B1-BAC9D4ED220B}">
      <formula1>"Yes,Probably Yes,Probably No,No,No Information"</formula1>
    </dataValidation>
    <dataValidation type="list" errorStyle="information" allowBlank="1" showInputMessage="1" showErrorMessage="1" promptTitle="Risk of Bias assessment" prompt="Low RoB: If all answers are &quot;Y&quot; o &quot;PY&quot;. If one or more of the answers is &quot;N&quot; or &quot;PN&quot;, the judgment could still be &quot;Low RoB&quot;. Indicate the reason._x000a_High RoB: If the answer to some questions is &quot;N&quot; or &quot;PN&quot;._x000a_Unclear RoB: If the answer to some question is &quot;NI&quot;" sqref="B16:AE16" xr:uid="{3FB903A7-96F6-4F7C-8484-950C3C4A821C}">
      <formula1>"Low RoB, High RoB, Unclear"</formula1>
    </dataValidation>
  </dataValidations>
  <pageMargins left="0.7" right="0.7" top="0.75" bottom="0.75" header="0.3" footer="0.3"/>
  <pageSetup paperSize="9" orientation="portrait" r:id="rId1"/>
  <ignoredErrors>
    <ignoredError sqref="C8 C9:C12" formula="1"/>
  </ignoredErrors>
  <drawing r:id="rId2"/>
  <extLst>
    <ext xmlns:x14="http://schemas.microsoft.com/office/spreadsheetml/2009/9/main" uri="{78C0D931-6437-407d-A8EE-F0AAD7539E65}">
      <x14:conditionalFormattings>
        <x14:conditionalFormatting xmlns:xm="http://schemas.microsoft.com/office/excel/2006/main">
          <x14:cfRule type="expression" priority="35" id="{F1138FBD-85CE-4C5E-8A30-4B59C35F0899}">
            <xm:f>SUMMARY!$B$7=FALSE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B6:B77</xm:sqref>
        </x14:conditionalFormatting>
        <x14:conditionalFormatting xmlns:xm="http://schemas.microsoft.com/office/excel/2006/main">
          <x14:cfRule type="expression" priority="34" id="{AB04C39C-C708-4AC8-8655-47004978A5B2}">
            <xm:f>SUMMARY!$B$8=FALSE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C6:C77</xm:sqref>
        </x14:conditionalFormatting>
        <x14:conditionalFormatting xmlns:xm="http://schemas.microsoft.com/office/excel/2006/main">
          <x14:cfRule type="expression" priority="33" id="{B332127B-B8E8-495D-A490-89CAD6041F84}">
            <xm:f>SUMMARY!$B$9=FALSE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D6:D77</xm:sqref>
        </x14:conditionalFormatting>
        <x14:conditionalFormatting xmlns:xm="http://schemas.microsoft.com/office/excel/2006/main">
          <x14:cfRule type="expression" priority="32" id="{ED6D4044-D4DC-45E9-AECE-F8CBBF2FBFCD}">
            <xm:f>SUMMARY!$B$10=FALSE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E6:E77</xm:sqref>
        </x14:conditionalFormatting>
        <x14:conditionalFormatting xmlns:xm="http://schemas.microsoft.com/office/excel/2006/main">
          <x14:cfRule type="expression" priority="31" id="{46BD0346-9EFF-47D6-9312-5B1CA395BD7B}">
            <xm:f>SUMMARY!$B$11=FALSE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F6:F77</xm:sqref>
        </x14:conditionalFormatting>
        <x14:conditionalFormatting xmlns:xm="http://schemas.microsoft.com/office/excel/2006/main">
          <x14:cfRule type="expression" priority="30" id="{7CC7047C-8396-4ECB-A1EF-17CFF80B89A6}">
            <xm:f>SUMMARY!$B$12=FALSE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G6:G77</xm:sqref>
        </x14:conditionalFormatting>
        <x14:conditionalFormatting xmlns:xm="http://schemas.microsoft.com/office/excel/2006/main">
          <x14:cfRule type="expression" priority="29" id="{B5192566-C33B-43E6-9E90-D01765CB18E9}">
            <xm:f>SUMMARY!$B$13=FALSE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H6:H77</xm:sqref>
        </x14:conditionalFormatting>
        <x14:conditionalFormatting xmlns:xm="http://schemas.microsoft.com/office/excel/2006/main">
          <x14:cfRule type="expression" priority="28" id="{66AD938D-7BA9-4856-BC96-8E53A4CE8461}">
            <xm:f>SUMMARY!$B$14=FALSE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I6:I77</xm:sqref>
        </x14:conditionalFormatting>
        <x14:conditionalFormatting xmlns:xm="http://schemas.microsoft.com/office/excel/2006/main">
          <x14:cfRule type="expression" priority="27" id="{F315673B-8560-472E-BD73-CCCE6D9738BC}">
            <xm:f>SUMMARY!$B$15=FALSE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J6:J77</xm:sqref>
        </x14:conditionalFormatting>
        <x14:conditionalFormatting xmlns:xm="http://schemas.microsoft.com/office/excel/2006/main">
          <x14:cfRule type="expression" priority="26" id="{930336B7-0B21-4E78-A19C-44B14648EF8E}">
            <xm:f>SUMMARY!$B$16=FALSE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K6:K77</xm:sqref>
        </x14:conditionalFormatting>
        <x14:conditionalFormatting xmlns:xm="http://schemas.microsoft.com/office/excel/2006/main">
          <x14:cfRule type="expression" priority="25" id="{C88BB34A-9BF8-4717-933D-93D6F82311F5}">
            <xm:f>SUMMARY!$B$17=FALSE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L6:L77</xm:sqref>
        </x14:conditionalFormatting>
        <x14:conditionalFormatting xmlns:xm="http://schemas.microsoft.com/office/excel/2006/main">
          <x14:cfRule type="expression" priority="24" id="{9EDEDB92-ECB7-49CC-BE43-11D21B84A62B}">
            <xm:f>SUMMARY!$B$18=FALSE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M6:M77</xm:sqref>
        </x14:conditionalFormatting>
        <x14:conditionalFormatting xmlns:xm="http://schemas.microsoft.com/office/excel/2006/main">
          <x14:cfRule type="expression" priority="23" id="{20CE8D50-A672-45CC-ACC0-B1557518DD9A}">
            <xm:f>SUMMARY!$B$19=FALSE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N6:N77</xm:sqref>
        </x14:conditionalFormatting>
        <x14:conditionalFormatting xmlns:xm="http://schemas.microsoft.com/office/excel/2006/main">
          <x14:cfRule type="expression" priority="22" id="{AC1AD62A-C33C-46EE-99BE-257EBB411927}">
            <xm:f>SUMMARY!$B$20=FALSE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O6:O77</xm:sqref>
        </x14:conditionalFormatting>
        <x14:conditionalFormatting xmlns:xm="http://schemas.microsoft.com/office/excel/2006/main">
          <x14:cfRule type="expression" priority="21" id="{F325B8D3-0CDF-4EB7-8AC0-7F770E53208B}">
            <xm:f>SUMMARY!$B$21=FALSE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P6:P77</xm:sqref>
        </x14:conditionalFormatting>
        <x14:conditionalFormatting xmlns:xm="http://schemas.microsoft.com/office/excel/2006/main">
          <x14:cfRule type="expression" priority="17" id="{BEEF195B-5621-4939-A838-E3AEF104470D}">
            <xm:f>SUMMARY!$B$22=FALSE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Q6:Q77</xm:sqref>
        </x14:conditionalFormatting>
        <x14:conditionalFormatting xmlns:xm="http://schemas.microsoft.com/office/excel/2006/main">
          <x14:cfRule type="expression" priority="16" id="{EB7B7B71-27F1-4FDB-9906-24807A037E00}">
            <xm:f>SUMMARY!$B$23=FALSE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R6:R77</xm:sqref>
        </x14:conditionalFormatting>
        <x14:conditionalFormatting xmlns:xm="http://schemas.microsoft.com/office/excel/2006/main">
          <x14:cfRule type="expression" priority="15" id="{C1727DE8-61BF-4652-A3C3-CB2C40FA40A2}">
            <xm:f>SUMMARY!$B$24=FALSE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S6:S77</xm:sqref>
        </x14:conditionalFormatting>
        <x14:conditionalFormatting xmlns:xm="http://schemas.microsoft.com/office/excel/2006/main">
          <x14:cfRule type="expression" priority="13" id="{EC43D5DD-C03F-4307-ACD1-BD3F527A2ED1}">
            <xm:f>SUMMARY!$B$25=FALSE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T6:T77</xm:sqref>
        </x14:conditionalFormatting>
        <x14:conditionalFormatting xmlns:xm="http://schemas.microsoft.com/office/excel/2006/main">
          <x14:cfRule type="expression" priority="12" id="{60546813-FA24-44FF-84A9-6AF712977F15}">
            <xm:f>SUMMARY!$B$26=FALSE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U6:U77</xm:sqref>
        </x14:conditionalFormatting>
        <x14:conditionalFormatting xmlns:xm="http://schemas.microsoft.com/office/excel/2006/main">
          <x14:cfRule type="expression" priority="11" id="{EE25FA6A-1816-48BC-B8A3-2581AC407719}">
            <xm:f>SUMMARY!$B$27=FALSE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V6:V77</xm:sqref>
        </x14:conditionalFormatting>
        <x14:conditionalFormatting xmlns:xm="http://schemas.microsoft.com/office/excel/2006/main">
          <x14:cfRule type="expression" priority="10" id="{D1737F1C-B55C-4A1E-971E-46E1B72249D3}">
            <xm:f>SUMMARY!$B$28=FALSE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W6:W77</xm:sqref>
        </x14:conditionalFormatting>
        <x14:conditionalFormatting xmlns:xm="http://schemas.microsoft.com/office/excel/2006/main">
          <x14:cfRule type="expression" priority="9" id="{58BEE699-8D29-446D-88E7-52E6186B0B3C}">
            <xm:f>SUMMARY!$B$29=FALSE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X6:X77</xm:sqref>
        </x14:conditionalFormatting>
        <x14:conditionalFormatting xmlns:xm="http://schemas.microsoft.com/office/excel/2006/main">
          <x14:cfRule type="expression" priority="8" id="{B6780FD1-C30E-49ED-9673-28933F3C11C0}">
            <xm:f>SUMMARY!$B$30=FALSE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Y6:Y77</xm:sqref>
        </x14:conditionalFormatting>
        <x14:conditionalFormatting xmlns:xm="http://schemas.microsoft.com/office/excel/2006/main">
          <x14:cfRule type="expression" priority="7" id="{0B371088-851F-4CBA-8C7A-FF52462482B0}">
            <xm:f>SUMMARY!$B$31=FALSE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Z6:Z77</xm:sqref>
        </x14:conditionalFormatting>
        <x14:conditionalFormatting xmlns:xm="http://schemas.microsoft.com/office/excel/2006/main">
          <x14:cfRule type="expression" priority="6" id="{39CCD632-87D5-4D62-A5F3-CEA4217A0112}">
            <xm:f>SUMMARY!$B$32=FALSE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AA6:AA77</xm:sqref>
        </x14:conditionalFormatting>
        <x14:conditionalFormatting xmlns:xm="http://schemas.microsoft.com/office/excel/2006/main">
          <x14:cfRule type="expression" priority="5" id="{BC50C2C5-58BC-44CA-AB89-C669B2DFB7CF}">
            <xm:f>SUMMARY!$B$33=FALSE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AB6:AB77</xm:sqref>
        </x14:conditionalFormatting>
        <x14:conditionalFormatting xmlns:xm="http://schemas.microsoft.com/office/excel/2006/main">
          <x14:cfRule type="expression" priority="4" id="{6C041A17-4CC4-468F-961D-8B38E4CFD4CC}">
            <xm:f>SUMMARY!$B$34=FALSE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AC6:AC77</xm:sqref>
        </x14:conditionalFormatting>
        <x14:conditionalFormatting xmlns:xm="http://schemas.microsoft.com/office/excel/2006/main">
          <x14:cfRule type="expression" priority="3" id="{92DAA1EA-171C-4BEC-A7D8-7F9929DD75F4}">
            <xm:f>SUMMARY!$B$35=FALSE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AD6:AD77</xm:sqref>
        </x14:conditionalFormatting>
        <x14:conditionalFormatting xmlns:xm="http://schemas.microsoft.com/office/excel/2006/main">
          <x14:cfRule type="expression" priority="2" id="{CE4926C0-F0E5-42E1-9E10-626DFA5F795B}">
            <xm:f>SUMMARY!$B$36=FALSE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AE6:AE77</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5">
    <tabColor theme="9" tint="-0.499984740745262"/>
  </sheetPr>
  <dimension ref="A1:T35"/>
  <sheetViews>
    <sheetView topLeftCell="B1" zoomScale="150" zoomScaleNormal="150" workbookViewId="0">
      <selection activeCell="D21" sqref="D21"/>
    </sheetView>
  </sheetViews>
  <sheetFormatPr baseColWidth="10" defaultColWidth="11.5" defaultRowHeight="15" x14ac:dyDescent="0.2"/>
  <cols>
    <col min="1" max="1" width="11.5" style="122" hidden="1" customWidth="1"/>
    <col min="2" max="6" width="24.33203125" style="122" customWidth="1"/>
    <col min="7" max="11" width="15.6640625" style="122" customWidth="1"/>
    <col min="12" max="16384" width="11.5" style="122"/>
  </cols>
  <sheetData>
    <row r="1" spans="1:20" x14ac:dyDescent="0.2">
      <c r="K1" s="123"/>
    </row>
    <row r="2" spans="1:20" x14ac:dyDescent="0.2">
      <c r="K2" s="123"/>
    </row>
    <row r="3" spans="1:20" s="124" customFormat="1" ht="16" thickBot="1" x14ac:dyDescent="0.25">
      <c r="B3" s="360" t="s">
        <v>217</v>
      </c>
      <c r="C3" s="361"/>
      <c r="D3" s="361"/>
      <c r="E3" s="361"/>
      <c r="F3" s="361"/>
      <c r="G3" s="361"/>
      <c r="H3" s="361"/>
      <c r="I3" s="361"/>
      <c r="J3" s="361"/>
      <c r="K3" s="362"/>
      <c r="L3" s="126"/>
      <c r="M3" s="126"/>
      <c r="N3" s="126"/>
      <c r="O3" s="126"/>
      <c r="P3" s="126"/>
      <c r="Q3" s="126"/>
      <c r="R3" s="126"/>
      <c r="S3" s="126"/>
      <c r="T3" s="126"/>
    </row>
    <row r="4" spans="1:20" s="127" customFormat="1" ht="11.25" customHeight="1" x14ac:dyDescent="0.15">
      <c r="B4" s="364" t="s">
        <v>218</v>
      </c>
      <c r="C4" s="364" t="s">
        <v>219</v>
      </c>
      <c r="D4" s="364" t="s">
        <v>220</v>
      </c>
      <c r="E4" s="364" t="s">
        <v>169</v>
      </c>
      <c r="F4" s="364" t="s">
        <v>221</v>
      </c>
      <c r="G4" s="363" t="s">
        <v>222</v>
      </c>
      <c r="H4" s="363"/>
      <c r="I4" s="363"/>
      <c r="J4" s="363"/>
      <c r="K4" s="363"/>
      <c r="L4" s="128"/>
      <c r="M4" s="126"/>
      <c r="N4" s="126"/>
      <c r="O4" s="126"/>
      <c r="P4" s="126"/>
      <c r="Q4" s="126"/>
      <c r="R4" s="126"/>
      <c r="S4" s="126"/>
      <c r="T4" s="126"/>
    </row>
    <row r="5" spans="1:20" s="127" customFormat="1" ht="26.25" customHeight="1" x14ac:dyDescent="0.15">
      <c r="B5" s="365"/>
      <c r="C5" s="366"/>
      <c r="D5" s="365"/>
      <c r="E5" s="365"/>
      <c r="F5" s="365"/>
      <c r="G5" s="168" t="str">
        <f>IF(CHARMS!E24="","",CHARMS!E24)</f>
        <v>Age of participants</v>
      </c>
      <c r="H5" s="168" t="str">
        <f>IF(CHARMS!E25="","",CHARMS!E25)</f>
        <v>Female</v>
      </c>
      <c r="I5" s="168" t="str">
        <f>IF(CHARMS!E26="","",CHARMS!E26)</f>
        <v>Male</v>
      </c>
      <c r="J5" s="168" t="str">
        <f>IF(CHARMS!E27="","",CHARMS!E27)</f>
        <v>IIT</v>
      </c>
      <c r="K5" s="168" t="str">
        <f>IF(CHARMS!E28="","",CHARMS!E28)</f>
        <v/>
      </c>
      <c r="L5" s="128"/>
      <c r="M5" s="126"/>
      <c r="N5" s="126"/>
      <c r="O5" s="126"/>
      <c r="P5" s="126"/>
      <c r="Q5" s="126"/>
      <c r="R5" s="126"/>
      <c r="S5" s="126"/>
      <c r="T5" s="126"/>
    </row>
    <row r="6" spans="1:20" s="129" customFormat="1" ht="22.5" customHeight="1" x14ac:dyDescent="0.2">
      <c r="A6" s="129" t="str">
        <f>CHARMS!F$6</f>
        <v>1 - Matthew-David Ogbechie, 2023</v>
      </c>
      <c r="B6" s="207" t="str">
        <f>HLOOKUP($A6,CHARMS!$A$6:$CQ$89,1,)</f>
        <v>1 - Matthew-David Ogbechie, 2023</v>
      </c>
      <c r="C6" s="169" t="str">
        <f>HLOOKUP($A6,CHARMS!$A$6:$CQ$89,9,)</f>
        <v>Retrospective cohort</v>
      </c>
      <c r="D6" s="169" t="str">
        <f>HLOOKUP($A6,CHARMS!$A$6:$CQ$89,12,)</f>
        <v>January 2005 to February 2021</v>
      </c>
      <c r="E6" s="170" t="str">
        <f>HLOOKUP($A6,CHARMS!$A$6:$CQ$89,13,)</f>
        <v>Health facility</v>
      </c>
      <c r="F6" s="169" t="str">
        <f>HLOOKUP($A6,CHARMS!$A$6:$CQ$89,14,)</f>
        <v>Nigeria</v>
      </c>
      <c r="G6" s="171">
        <f>HLOOKUP($A6,CHARMS!$A$6:$CQ$89,19,)</f>
        <v>0</v>
      </c>
      <c r="H6" s="171" t="str">
        <f>HLOOKUP($A6,CHARMS!$A$6:$CQ$89,20,)</f>
        <v>91982 (67.3)</v>
      </c>
      <c r="I6" s="171" t="str">
        <f>HLOOKUP($A6,CHARMS!$A$6:$CQ$89,21,)</f>
        <v>44765 (32.7)</v>
      </c>
      <c r="J6" s="171" t="str">
        <f>HLOOKUP($A6,CHARMS!$A$6:$CQ$89,22,)</f>
        <v>56581(41.5)</v>
      </c>
      <c r="K6" s="169">
        <f>HLOOKUP($A6,CHARMS!$A$6:$CQ$89,23,)</f>
        <v>0</v>
      </c>
      <c r="L6" s="130"/>
      <c r="M6" s="130"/>
      <c r="N6" s="130"/>
      <c r="O6" s="130"/>
      <c r="P6" s="130"/>
      <c r="Q6" s="130"/>
      <c r="R6" s="130"/>
      <c r="S6" s="130"/>
      <c r="T6" s="130"/>
    </row>
    <row r="7" spans="1:20" s="129" customFormat="1" ht="22.5" customHeight="1" x14ac:dyDescent="0.2">
      <c r="A7" s="129" t="str">
        <f>CHARMS!I$6</f>
        <v>2 - Esra, Rachel, 2023</v>
      </c>
      <c r="B7" s="207" t="str">
        <f>HLOOKUP($A7,CHARMS!$A$6:$CQ$89,1,)</f>
        <v>2 - Esra, Rachel, 2023</v>
      </c>
      <c r="C7" s="169" t="str">
        <f>HLOOKUP($A7,CHARMS!$A$6:$CQ$89,9,)</f>
        <v>Existing registry</v>
      </c>
      <c r="D7" s="169" t="str">
        <f>HLOOKUP($A7,CHARMS!$A$6:$CQ$89,12,)</f>
        <v>January 1, 2017 to March 31, 2020</v>
      </c>
      <c r="E7" s="169" t="str">
        <f>HLOOKUP($A7,CHARMS!$A$6:$CQ$89,13,)</f>
        <v>Public health faciliities</v>
      </c>
      <c r="F7" s="169" t="str">
        <f>HLOOKUP($A7,CHARMS!$A$6:$CQ$89,14,)</f>
        <v>South Africa</v>
      </c>
      <c r="G7" s="169" t="str">
        <f>HLOOKUP($A7,CHARMS!$A$6:$CQ$89,19,)</f>
        <v>33 (27-41)</v>
      </c>
      <c r="H7" s="169" t="str">
        <f>HLOOKUP($A7,CHARMS!$A$6:$CQ$89,20,)</f>
        <v>172170 (65)</v>
      </c>
      <c r="I7" s="169" t="str">
        <f>HLOOKUP($A7,CHARMS!$A$6:$CQ$89,21,)</f>
        <v>92707 (35)</v>
      </c>
      <c r="J7" s="169" t="str">
        <f>HLOOKUP($A7,CHARMS!$A$6:$CQ$89,22,)</f>
        <v>260467 (11.9)</v>
      </c>
      <c r="K7" s="169">
        <f>HLOOKUP($A7,CHARMS!$A$6:$CQ$89,23,)</f>
        <v>0</v>
      </c>
      <c r="L7" s="130"/>
      <c r="M7" s="130"/>
      <c r="N7" s="130"/>
      <c r="O7" s="130"/>
      <c r="P7" s="130"/>
      <c r="Q7" s="130"/>
      <c r="R7" s="130"/>
      <c r="S7" s="130"/>
      <c r="T7" s="130"/>
    </row>
    <row r="8" spans="1:20" s="129" customFormat="1" ht="22.5" customHeight="1" x14ac:dyDescent="0.2">
      <c r="A8" s="129" t="str">
        <f>CHARMS!L$6</f>
        <v>3 - Esra, Rachel, 2023</v>
      </c>
      <c r="B8" s="207" t="str">
        <f>HLOOKUP($A8,CHARMS!$A$6:$CQ$89,1,)</f>
        <v>3 - Esra, Rachel, 2023</v>
      </c>
      <c r="C8" s="169" t="str">
        <f>HLOOKUP($A8,CHARMS!$A$6:$CQ$89,9,)</f>
        <v>Existing registry</v>
      </c>
      <c r="D8" s="169" t="str">
        <f>HLOOKUP($A8,CHARMS!$A$6:$CQ$89,12,)</f>
        <v>January 1, 2017 - October 1, 2018</v>
      </c>
      <c r="E8" s="169" t="str">
        <f>HLOOKUP($A8,CHARMS!$A$6:$CQ$89,13,)</f>
        <v>Public health faciliities</v>
      </c>
      <c r="F8" s="169" t="str">
        <f>HLOOKUP($A8,CHARMS!$A$6:$CQ$89,14,)</f>
        <v>South Africa</v>
      </c>
      <c r="G8" s="169" t="str">
        <f>HLOOKUP($A8,CHARMS!$A$6:$CQ$89,19,)</f>
        <v>33 (27-41)</v>
      </c>
      <c r="H8" s="169" t="str">
        <f>HLOOKUP($A8,CHARMS!$A$6:$CQ$89,20,)</f>
        <v>172170 (65)</v>
      </c>
      <c r="I8" s="169" t="str">
        <f>HLOOKUP($A8,CHARMS!$A$6:$CQ$89,21,)</f>
        <v>92707 (35)</v>
      </c>
      <c r="J8" s="169">
        <f>HLOOKUP($A8,CHARMS!$A$6:$CQ$89,22,)</f>
        <v>0</v>
      </c>
      <c r="K8" s="169">
        <f>HLOOKUP($A8,CHARMS!$A$6:$CQ$89,23,)</f>
        <v>0</v>
      </c>
      <c r="L8" s="130"/>
      <c r="M8" s="130"/>
      <c r="N8" s="130"/>
      <c r="O8" s="130"/>
      <c r="P8" s="130"/>
      <c r="Q8" s="130"/>
      <c r="R8" s="130"/>
      <c r="S8" s="130"/>
      <c r="T8" s="130"/>
    </row>
    <row r="9" spans="1:20" s="129" customFormat="1" ht="22.5" customHeight="1" x14ac:dyDescent="0.2">
      <c r="A9" s="129" t="str">
        <f>CHARMS!O$6</f>
        <v>4 - Stockman, Jeni , 2022</v>
      </c>
      <c r="B9" s="207" t="str">
        <f>HLOOKUP($A9,CHARMS!$A$6:$CQ$89,1,)</f>
        <v>4 - Stockman, Jeni , 2022</v>
      </c>
      <c r="C9" s="169" t="str">
        <f>HLOOKUP($A9,CHARMS!$A$6:$CQ$89,9,)</f>
        <v>Retrospective cohort</v>
      </c>
      <c r="D9" s="169" t="str">
        <f>HLOOKUP($A9,CHARMS!$A$6:$CQ$89,12,)</f>
        <v>January 1, 2010 -  November 28, 2019</v>
      </c>
      <c r="E9" s="169" t="str">
        <f>HLOOKUP($A9,CHARMS!$A$6:$CQ$89,13,)</f>
        <v>Public Sector ART clinics</v>
      </c>
      <c r="F9" s="169" t="str">
        <f>HLOOKUP($A9,CHARMS!$A$6:$CQ$89,14,)</f>
        <v>Mozambique</v>
      </c>
      <c r="G9" s="169" t="str">
        <f>HLOOKUP($A9,CHARMS!$A$6:$CQ$89,19,)</f>
        <v>47.3 (13.6)</v>
      </c>
      <c r="H9" s="169">
        <f>HLOOKUP($A9,CHARMS!$A$6:$CQ$89,20,)</f>
        <v>0</v>
      </c>
      <c r="I9" s="169">
        <f>HLOOKUP($A9,CHARMS!$A$6:$CQ$89,21,)</f>
        <v>0</v>
      </c>
      <c r="J9" s="169">
        <f>HLOOKUP($A9,CHARMS!$A$6:$CQ$89,22,)</f>
        <v>0</v>
      </c>
      <c r="K9" s="169">
        <f>HLOOKUP($A9,CHARMS!$A$6:$CQ$89,23,)</f>
        <v>0</v>
      </c>
      <c r="L9" s="130"/>
      <c r="M9" s="130"/>
      <c r="N9" s="130"/>
      <c r="O9" s="130"/>
      <c r="P9" s="130"/>
      <c r="Q9" s="130"/>
      <c r="R9" s="130"/>
      <c r="S9" s="130"/>
      <c r="T9" s="130"/>
    </row>
    <row r="10" spans="1:20" s="129" customFormat="1" ht="22.5" customHeight="1" x14ac:dyDescent="0.15">
      <c r="A10" s="127" t="str">
        <f>CHARMS!R$6</f>
        <v>5 - Stockman, Jeni , 2022</v>
      </c>
      <c r="B10" s="207" t="str">
        <f>HLOOKUP($A10,CHARMS!$A$6:$CQ$89,1,)</f>
        <v>5 - Stockman, Jeni , 2022</v>
      </c>
      <c r="C10" s="169" t="str">
        <f>HLOOKUP($A10,CHARMS!$A$6:$CQ$89,9,)</f>
        <v>Retrospective cohort</v>
      </c>
      <c r="D10" s="169" t="str">
        <f>HLOOKUP($A10,CHARMS!$A$6:$CQ$89,12,)</f>
        <v>January 1, 2010 -  November 28, 2019</v>
      </c>
      <c r="E10" s="169" t="str">
        <f>HLOOKUP($A10,CHARMS!$A$6:$CQ$89,13,)</f>
        <v>Public Sector ART clinics</v>
      </c>
      <c r="F10" s="169" t="str">
        <f>HLOOKUP($A10,CHARMS!$A$6:$CQ$89,14,)</f>
        <v>Nigeria</v>
      </c>
      <c r="G10" s="169" t="str">
        <f>HLOOKUP($A10,CHARMS!$A$6:$CQ$89,19,)</f>
        <v>47.3 (13.6)</v>
      </c>
      <c r="H10" s="169">
        <f>HLOOKUP($A10,CHARMS!$A$6:$CQ$89,20,)</f>
        <v>0</v>
      </c>
      <c r="I10" s="169">
        <f>HLOOKUP($A10,CHARMS!$A$6:$CQ$89,21,)</f>
        <v>0</v>
      </c>
      <c r="J10" s="169">
        <f>HLOOKUP($A10,CHARMS!$A$6:$CQ$89,22,)</f>
        <v>0</v>
      </c>
      <c r="K10" s="169">
        <f>HLOOKUP($A10,CHARMS!$A$6:$CQ$89,23,)</f>
        <v>0</v>
      </c>
      <c r="L10" s="130"/>
      <c r="M10" s="130"/>
      <c r="N10" s="130"/>
      <c r="O10" s="130"/>
      <c r="P10" s="130"/>
      <c r="Q10" s="130"/>
      <c r="R10" s="130"/>
      <c r="S10" s="130"/>
      <c r="T10" s="130"/>
    </row>
    <row r="11" spans="1:20" s="129" customFormat="1" ht="22.5" customHeight="1" x14ac:dyDescent="0.15">
      <c r="A11" s="127" t="str">
        <f>CHARMS!U$6</f>
        <v>6 - Arthi, Ramachandran, 2020</v>
      </c>
      <c r="B11" s="207" t="str">
        <f>HLOOKUP($A11,CHARMS!$A$6:$CQ$89,1,)</f>
        <v>6 - Arthi, Ramachandran, 2020</v>
      </c>
      <c r="C11" s="169" t="str">
        <f>HLOOKUP($A11,CHARMS!$A$6:$CQ$89,9,)</f>
        <v>Retrospective cohort</v>
      </c>
      <c r="D11" s="169" t="str">
        <f>HLOOKUP($A11,CHARMS!$A$6:$CQ$89,12,)</f>
        <v>January 1, 2008 to May 31, 2015</v>
      </c>
      <c r="E11" s="169" t="str">
        <f>HLOOKUP($A11,CHARMS!$A$6:$CQ$89,13,)</f>
        <v>University of Chicago HIV care clinic</v>
      </c>
      <c r="F11" s="169" t="str">
        <f>HLOOKUP($A11,CHARMS!$A$6:$CQ$89,14,)</f>
        <v>USA</v>
      </c>
      <c r="G11" s="169" t="str">
        <f>HLOOKUP($A11,CHARMS!$A$6:$CQ$89,19,)</f>
        <v>47.3 (13.6)</v>
      </c>
      <c r="H11" s="169" t="str">
        <f>HLOOKUP($A11,CHARMS!$A$6:$CQ$89,20,)</f>
        <v>314 (44%)</v>
      </c>
      <c r="I11" s="169" t="str">
        <f>HLOOKUP($A11,CHARMS!$A$6:$CQ$89,21,)</f>
        <v>399 (56%)</v>
      </c>
      <c r="J11" s="169">
        <f>HLOOKUP($A11,CHARMS!$A$6:$CQ$89,22,)</f>
        <v>0</v>
      </c>
      <c r="K11" s="169">
        <f>HLOOKUP($A11,CHARMS!$A$6:$CQ$89,23,)</f>
        <v>0</v>
      </c>
      <c r="L11" s="130"/>
      <c r="M11" s="130"/>
      <c r="N11" s="130"/>
      <c r="O11" s="130"/>
      <c r="P11" s="130"/>
      <c r="Q11" s="130"/>
      <c r="R11" s="130"/>
      <c r="S11" s="130"/>
      <c r="T11" s="130"/>
    </row>
    <row r="12" spans="1:20" s="129" customFormat="1" ht="22.5" customHeight="1" x14ac:dyDescent="0.15">
      <c r="A12" s="127" t="str">
        <f>CHARMS!X$6</f>
        <v>7 - Arthi, Ramachandran, 2020</v>
      </c>
      <c r="B12" s="207" t="str">
        <f>HLOOKUP($A12,CHARMS!$A$6:$CQ$89,1,)</f>
        <v>7 - Arthi, Ramachandran, 2020</v>
      </c>
      <c r="C12" s="169" t="str">
        <f>HLOOKUP($A12,CHARMS!$A$6:$CQ$89,9,)</f>
        <v>Retrospective cohort</v>
      </c>
      <c r="D12" s="169" t="str">
        <f>HLOOKUP($A12,CHARMS!$A$6:$CQ$89,12,)</f>
        <v>January 1, 2008 to May 31, 2015</v>
      </c>
      <c r="E12" s="169" t="str">
        <f>HLOOKUP($A12,CHARMS!$A$6:$CQ$89,13,)</f>
        <v>University of Chicago HIV care clinic</v>
      </c>
      <c r="F12" s="169" t="str">
        <f>HLOOKUP($A12,CHARMS!$A$6:$CQ$89,14,)</f>
        <v>USA</v>
      </c>
      <c r="G12" s="169" t="str">
        <f>HLOOKUP($A12,CHARMS!$A$6:$CQ$89,19,)</f>
        <v>47.3 (13.6)</v>
      </c>
      <c r="H12" s="169" t="str">
        <f>HLOOKUP($A12,CHARMS!$A$6:$CQ$89,20,)</f>
        <v>314 (44%)</v>
      </c>
      <c r="I12" s="169" t="str">
        <f>HLOOKUP($A12,CHARMS!$A$6:$CQ$89,21,)</f>
        <v>399 (56%)</v>
      </c>
      <c r="J12" s="169">
        <f>HLOOKUP($A12,CHARMS!$A$6:$CQ$89,22,)</f>
        <v>0</v>
      </c>
      <c r="K12" s="169">
        <f>HLOOKUP($A12,CHARMS!$A$6:$CQ$89,23,)</f>
        <v>0</v>
      </c>
      <c r="L12" s="130"/>
      <c r="M12" s="130"/>
      <c r="N12" s="130"/>
      <c r="O12" s="130"/>
      <c r="P12" s="130"/>
      <c r="Q12" s="130"/>
      <c r="R12" s="130"/>
      <c r="S12" s="130"/>
      <c r="T12" s="130"/>
    </row>
    <row r="13" spans="1:20" s="129" customFormat="1" ht="22.5" customHeight="1" x14ac:dyDescent="0.15">
      <c r="A13" s="127" t="str">
        <f>CHARMS!AA$6</f>
        <v>8 - Brian W. Pence, 2018</v>
      </c>
      <c r="B13" s="207" t="str">
        <f>HLOOKUP($A13,CHARMS!$A$6:$CQ$89,1,)</f>
        <v>8 - Brian W. Pence, 2018</v>
      </c>
      <c r="C13" s="169" t="str">
        <f>HLOOKUP($A13,CHARMS!$A$6:$CQ$89,9,)</f>
        <v>Retrospective cohort</v>
      </c>
      <c r="D13" s="169" t="str">
        <f>HLOOKUP($A13,CHARMS!$A$6:$CQ$89,12,)</f>
        <v>2002 - 2015</v>
      </c>
      <c r="E13" s="169" t="str">
        <f>HLOOKUP($A13,CHARMS!$A$6:$CQ$89,13,)</f>
        <v>US-based HIV primary care clinics</v>
      </c>
      <c r="F13" s="169" t="str">
        <f>HLOOKUP($A13,CHARMS!$A$6:$CQ$89,14,)</f>
        <v>USA</v>
      </c>
      <c r="G13" s="169" t="str">
        <f>HLOOKUP($A13,CHARMS!$A$6:$CQ$89,19,)</f>
        <v>46 (39 - 52)</v>
      </c>
      <c r="H13" s="169" t="str">
        <f>HLOOKUP($A13,CHARMS!$A$6:$CQ$89,20,)</f>
        <v>1660 (16)</v>
      </c>
      <c r="I13" s="169" t="str">
        <f>HLOOKUP($A13,CHARMS!$A$6:$CQ$89,21,)</f>
        <v>8714 (84)</v>
      </c>
      <c r="J13" s="169" t="str">
        <f>HLOOKUP($A13,CHARMS!$A$6:$CQ$89,22,)</f>
        <v>17957  (17)</v>
      </c>
      <c r="K13" s="169">
        <f>HLOOKUP($A13,CHARMS!$A$6:$CQ$89,23,)</f>
        <v>0</v>
      </c>
      <c r="L13" s="130"/>
      <c r="M13" s="130"/>
      <c r="N13" s="130"/>
      <c r="O13" s="130"/>
      <c r="P13" s="130"/>
      <c r="Q13" s="130"/>
      <c r="R13" s="130"/>
      <c r="S13" s="130"/>
      <c r="T13" s="130"/>
    </row>
    <row r="14" spans="1:20" s="129" customFormat="1" ht="22.5" customHeight="1" x14ac:dyDescent="0.15">
      <c r="A14" s="127" t="str">
        <f>CHARMS!AD$6</f>
        <v>9 - Mhairi, Maskew, 2022</v>
      </c>
      <c r="B14" s="207" t="str">
        <f>HLOOKUP($A14,CHARMS!$A$6:$CQ$89,1,)</f>
        <v>9 - Mhairi, Maskew, 2022</v>
      </c>
      <c r="C14" s="169" t="str">
        <f>HLOOKUP($A14,CHARMS!$A$6:$CQ$89,9,)</f>
        <v>Retrospective cohort</v>
      </c>
      <c r="D14" s="169" t="str">
        <f>HLOOKUP($A14,CHARMS!$A$6:$CQ$89,12,)</f>
        <v>January 2016 to December 2018</v>
      </c>
      <c r="E14" s="169" t="str">
        <f>HLOOKUP($A14,CHARMS!$A$6:$CQ$89,13,)</f>
        <v>Public Sector HIV care facilities</v>
      </c>
      <c r="F14" s="169" t="str">
        <f>HLOOKUP($A14,CHARMS!$A$6:$CQ$89,14,)</f>
        <v>South Africa</v>
      </c>
      <c r="G14" s="169" t="str">
        <f>HLOOKUP($A14,CHARMS!$A$6:$CQ$89,19,)</f>
        <v>39 (31 - 49)</v>
      </c>
      <c r="H14" s="169" t="str">
        <f>HLOOKUP($A14,CHARMS!$A$6:$CQ$89,20,)</f>
        <v>311,945(70%)</v>
      </c>
      <c r="I14" s="169" t="str">
        <f>HLOOKUP($A14,CHARMS!$A$6:$CQ$89,21,)</f>
        <v>133,690 (30%)</v>
      </c>
      <c r="J14" s="169">
        <f>HLOOKUP($A14,CHARMS!$A$6:$CQ$89,22,)</f>
        <v>0</v>
      </c>
      <c r="K14" s="169">
        <f>HLOOKUP($A14,CHARMS!$A$6:$CQ$89,23,)</f>
        <v>0</v>
      </c>
      <c r="L14" s="130"/>
      <c r="M14" s="130"/>
      <c r="N14" s="130"/>
      <c r="O14" s="130"/>
      <c r="P14" s="130"/>
      <c r="Q14" s="130"/>
      <c r="R14" s="130"/>
      <c r="S14" s="130"/>
      <c r="T14" s="130"/>
    </row>
    <row r="15" spans="1:20" s="129" customFormat="1" ht="22.5" customHeight="1" x14ac:dyDescent="0.15">
      <c r="A15" s="127" t="str">
        <f>CHARMS!AG$6</f>
        <v>10 - Mhairi, Maskew, 2024</v>
      </c>
      <c r="B15" s="207" t="str">
        <f>HLOOKUP($A15,CHARMS!$A$6:$CQ$89,1,)</f>
        <v>10 - Mhairi, Maskew, 2024</v>
      </c>
      <c r="C15" s="169" t="str">
        <f>HLOOKUP($A15,CHARMS!$A$6:$CQ$89,9,)</f>
        <v>Retrospective cohort</v>
      </c>
      <c r="D15" s="169" t="str">
        <f>HLOOKUP($A15,CHARMS!$A$6:$CQ$89,12,)</f>
        <v>January 2016 - December 2018</v>
      </c>
      <c r="E15" s="169" t="str">
        <f>HLOOKUP($A15,CHARMS!$A$6:$CQ$89,13,)</f>
        <v>Public Sector HIV care facilities</v>
      </c>
      <c r="F15" s="169" t="str">
        <f>HLOOKUP($A15,CHARMS!$A$6:$CQ$89,14,)</f>
        <v>South Africa</v>
      </c>
      <c r="G15" s="169" t="str">
        <f>HLOOKUP($A15,CHARMS!$A$6:$CQ$89,19,)</f>
        <v>39 (27 - 49)</v>
      </c>
      <c r="H15" s="169" t="str">
        <f>HLOOKUP($A15,CHARMS!$A$6:$CQ$89,20,)</f>
        <v>315124 (68)</v>
      </c>
      <c r="I15" s="169" t="str">
        <f>HLOOKUP($A15,CHARMS!$A$6:$CQ$89,21,)</f>
        <v>148294 (32)</v>
      </c>
      <c r="J15" s="169">
        <f>HLOOKUP($A15,CHARMS!$A$6:$CQ$89,22,)</f>
        <v>0</v>
      </c>
      <c r="K15" s="169">
        <f>HLOOKUP($A15,CHARMS!$A$6:$CQ$89,23,)</f>
        <v>0</v>
      </c>
      <c r="L15" s="130"/>
      <c r="M15" s="130"/>
      <c r="N15" s="130"/>
      <c r="O15" s="130"/>
      <c r="P15" s="130"/>
      <c r="Q15" s="130"/>
      <c r="R15" s="130"/>
      <c r="S15" s="130"/>
      <c r="T15" s="130"/>
    </row>
    <row r="16" spans="1:20" s="127" customFormat="1" ht="22.5" customHeight="1" x14ac:dyDescent="0.15">
      <c r="A16" s="127" t="str">
        <f>CHARMS!AJ$6</f>
        <v>11 - Joseph A Mason, 2023</v>
      </c>
      <c r="B16" s="207" t="str">
        <f>HLOOKUP($A16,CHARMS!$A$6:$CQ$89,1,)</f>
        <v>11 - Joseph A Mason, 2023</v>
      </c>
      <c r="C16" s="169" t="str">
        <f>HLOOKUP($A16,CHARMS!$A$6:$CQ$89,9,)</f>
        <v>Existing registry</v>
      </c>
      <c r="D16" s="169" t="str">
        <f>HLOOKUP($A16,CHARMS!$A$6:$CQ$89,12,)</f>
        <v>Jan 21 - March 30, 2022</v>
      </c>
      <c r="E16" s="169" t="str">
        <f>HLOOKUP($A16,CHARMS!$A$6:$CQ$89,13,)</f>
        <v>Hospital in a university</v>
      </c>
      <c r="F16" s="169" t="str">
        <f>HLOOKUP($A16,CHARMS!$A$6:$CQ$89,14,)</f>
        <v>USA</v>
      </c>
      <c r="G16" s="169" t="str">
        <f>HLOOKUP($A16,CHARMS!$A$6:$CQ$89,19,)</f>
        <v>No information</v>
      </c>
      <c r="H16" s="169">
        <f>HLOOKUP($A16,CHARMS!$A$6:$CQ$89,20,)</f>
        <v>0</v>
      </c>
      <c r="I16" s="169">
        <f>HLOOKUP($A16,CHARMS!$A$6:$CQ$89,21,)</f>
        <v>0</v>
      </c>
      <c r="J16" s="169">
        <f>HLOOKUP($A16,CHARMS!$A$6:$CQ$89,22,)</f>
        <v>0</v>
      </c>
      <c r="K16" s="169">
        <f>HLOOKUP($A16,CHARMS!$A$6:$CQ$89,23,)</f>
        <v>0</v>
      </c>
      <c r="L16" s="126"/>
      <c r="M16" s="126"/>
      <c r="N16" s="126"/>
      <c r="O16" s="126"/>
      <c r="P16" s="126"/>
      <c r="Q16" s="126"/>
      <c r="R16" s="126"/>
      <c r="S16" s="126"/>
      <c r="T16" s="126"/>
    </row>
    <row r="17" spans="1:20" s="127" customFormat="1" ht="22.5" customHeight="1" x14ac:dyDescent="0.15">
      <c r="A17" s="127" t="str">
        <f>CHARMS!AM$6</f>
        <v>12 - Carolyn A Fahey, 2022</v>
      </c>
      <c r="B17" s="207" t="str">
        <f>HLOOKUP($A17,CHARMS!$A$6:$CQ$89,1,)</f>
        <v>12 - Carolyn A Fahey, 2022</v>
      </c>
      <c r="C17" s="169" t="str">
        <f>HLOOKUP($A17,CHARMS!$A$6:$CQ$89,9,)</f>
        <v>Retrospective cohort</v>
      </c>
      <c r="D17" s="169">
        <f>HLOOKUP($A17,CHARMS!$A$6:$CQ$89,12,)</f>
        <v>2018</v>
      </c>
      <c r="E17" s="169" t="str">
        <f>HLOOKUP($A17,CHARMS!$A$6:$CQ$89,13,)</f>
        <v>HIV care center</v>
      </c>
      <c r="F17" s="169" t="str">
        <f>HLOOKUP($A17,CHARMS!$A$6:$CQ$89,14,)</f>
        <v>Tanzania</v>
      </c>
      <c r="G17" s="169" t="str">
        <f>HLOOKUP($A17,CHARMS!$A$6:$CQ$89,19,)</f>
        <v>36 (10)</v>
      </c>
      <c r="H17" s="169" t="str">
        <f>HLOOKUP($A17,CHARMS!$A$6:$CQ$89,20,)</f>
        <v>113 (63.5)</v>
      </c>
      <c r="I17" s="169" t="str">
        <f>HLOOKUP($A17,CHARMS!$A$6:$CQ$89,21,)</f>
        <v>65 (36.5)</v>
      </c>
      <c r="J17" s="169">
        <f>HLOOKUP($A17,CHARMS!$A$6:$CQ$89,22,)</f>
        <v>0</v>
      </c>
      <c r="K17" s="169">
        <f>HLOOKUP($A17,CHARMS!$A$6:$CQ$89,23,)</f>
        <v>0</v>
      </c>
      <c r="L17" s="126"/>
      <c r="M17" s="126"/>
      <c r="N17" s="126"/>
      <c r="O17" s="126"/>
      <c r="P17" s="126"/>
      <c r="Q17" s="126"/>
      <c r="R17" s="126"/>
      <c r="S17" s="126"/>
      <c r="T17" s="126"/>
    </row>
    <row r="18" spans="1:20" s="127" customFormat="1" ht="22.5" customHeight="1" x14ac:dyDescent="0.15">
      <c r="A18" s="127" t="str">
        <f>CHARMS!AP$6</f>
        <v/>
      </c>
      <c r="B18" s="207" t="str">
        <f>HLOOKUP($A18,CHARMS!$A$6:$CQ$89,1,)</f>
        <v/>
      </c>
      <c r="C18" s="169">
        <f>HLOOKUP($A18,CHARMS!$A$6:$CQ$89,9,)</f>
        <v>0</v>
      </c>
      <c r="D18" s="169">
        <f>HLOOKUP($A18,CHARMS!$A$6:$CQ$89,12,)</f>
        <v>0</v>
      </c>
      <c r="E18" s="169">
        <f>HLOOKUP($A18,CHARMS!$A$6:$CQ$89,13,)</f>
        <v>0</v>
      </c>
      <c r="F18" s="169">
        <f>HLOOKUP($A18,CHARMS!$A$6:$CQ$89,14,)</f>
        <v>0</v>
      </c>
      <c r="G18" s="169">
        <f>HLOOKUP($A18,CHARMS!$A$6:$CQ$89,19,)</f>
        <v>0</v>
      </c>
      <c r="H18" s="169">
        <f>HLOOKUP($A18,CHARMS!$A$6:$CQ$89,20,)</f>
        <v>0</v>
      </c>
      <c r="I18" s="169">
        <f>HLOOKUP($A18,CHARMS!$A$6:$CQ$89,21,)</f>
        <v>0</v>
      </c>
      <c r="J18" s="169">
        <f>HLOOKUP($A18,CHARMS!$A$6:$CQ$89,22,)</f>
        <v>0</v>
      </c>
      <c r="K18" s="169">
        <f>HLOOKUP($A18,CHARMS!$A$6:$CQ$89,23,)</f>
        <v>0</v>
      </c>
      <c r="L18" s="126"/>
      <c r="M18" s="126"/>
      <c r="N18" s="126"/>
      <c r="O18" s="126"/>
      <c r="P18" s="126"/>
      <c r="Q18" s="126"/>
      <c r="R18" s="126"/>
      <c r="S18" s="126"/>
      <c r="T18" s="126"/>
    </row>
    <row r="19" spans="1:20" s="127" customFormat="1" ht="22.5" customHeight="1" x14ac:dyDescent="0.15">
      <c r="A19" s="127" t="str">
        <f>CHARMS!AS$6</f>
        <v/>
      </c>
      <c r="B19" s="207" t="str">
        <f>HLOOKUP($A19,CHARMS!$A$6:$CQ$89,1,)</f>
        <v/>
      </c>
      <c r="C19" s="169">
        <f>HLOOKUP($A19,CHARMS!$A$6:$CQ$89,9,)</f>
        <v>0</v>
      </c>
      <c r="D19" s="169">
        <f>HLOOKUP($A19,CHARMS!$A$6:$CQ$89,12,)</f>
        <v>0</v>
      </c>
      <c r="E19" s="169">
        <f>HLOOKUP($A19,CHARMS!$A$6:$CQ$89,13,)</f>
        <v>0</v>
      </c>
      <c r="F19" s="169">
        <f>HLOOKUP($A19,CHARMS!$A$6:$CQ$89,14,)</f>
        <v>0</v>
      </c>
      <c r="G19" s="169">
        <f>HLOOKUP($A19,CHARMS!$A$6:$CQ$89,19,)</f>
        <v>0</v>
      </c>
      <c r="H19" s="169">
        <f>HLOOKUP($A19,CHARMS!$A$6:$CQ$89,20,)</f>
        <v>0</v>
      </c>
      <c r="I19" s="169">
        <f>HLOOKUP($A19,CHARMS!$A$6:$CQ$89,21,)</f>
        <v>0</v>
      </c>
      <c r="J19" s="169">
        <f>HLOOKUP($A19,CHARMS!$A$6:$CQ$89,22,)</f>
        <v>0</v>
      </c>
      <c r="K19" s="169">
        <f>HLOOKUP($A19,CHARMS!$A$6:$CQ$89,23,)</f>
        <v>0</v>
      </c>
      <c r="L19" s="126"/>
      <c r="M19" s="126"/>
      <c r="N19" s="126"/>
      <c r="O19" s="126"/>
      <c r="P19" s="126"/>
      <c r="Q19" s="126"/>
      <c r="R19" s="126"/>
      <c r="S19" s="126"/>
      <c r="T19" s="126"/>
    </row>
    <row r="20" spans="1:20" s="127" customFormat="1" ht="22.5" customHeight="1" x14ac:dyDescent="0.15">
      <c r="A20" s="127" t="str">
        <f>CHARMS!AV$6</f>
        <v/>
      </c>
      <c r="B20" s="207" t="str">
        <f>HLOOKUP($A20,CHARMS!$A$6:$CQ$89,1,)</f>
        <v/>
      </c>
      <c r="C20" s="169">
        <f>HLOOKUP($A20,CHARMS!$A$6:$CQ$89,9,)</f>
        <v>0</v>
      </c>
      <c r="D20" s="169">
        <f>HLOOKUP($A20,CHARMS!$A$6:$CQ$89,12,)</f>
        <v>0</v>
      </c>
      <c r="E20" s="169">
        <f>HLOOKUP($A20,CHARMS!$A$6:$CQ$89,13,)</f>
        <v>0</v>
      </c>
      <c r="F20" s="169">
        <f>HLOOKUP($A20,CHARMS!$A$6:$CQ$89,14,)</f>
        <v>0</v>
      </c>
      <c r="G20" s="169">
        <f>HLOOKUP($A20,CHARMS!$A$6:$CQ$89,19,)</f>
        <v>0</v>
      </c>
      <c r="H20" s="169">
        <f>HLOOKUP($A20,CHARMS!$A$6:$CQ$89,20,)</f>
        <v>0</v>
      </c>
      <c r="I20" s="169">
        <f>HLOOKUP($A20,CHARMS!$A$6:$CQ$89,21,)</f>
        <v>0</v>
      </c>
      <c r="J20" s="169">
        <f>HLOOKUP($A20,CHARMS!$A$6:$CQ$89,22,)</f>
        <v>0</v>
      </c>
      <c r="K20" s="169">
        <f>HLOOKUP($A20,CHARMS!$A$6:$CQ$89,23,)</f>
        <v>0</v>
      </c>
      <c r="L20" s="126"/>
      <c r="M20" s="126"/>
      <c r="N20" s="126"/>
      <c r="O20" s="126"/>
      <c r="P20" s="126"/>
      <c r="Q20" s="126"/>
      <c r="R20" s="126"/>
      <c r="S20" s="126"/>
      <c r="T20" s="126"/>
    </row>
    <row r="21" spans="1:20" s="127" customFormat="1" ht="22.5" customHeight="1" x14ac:dyDescent="0.15">
      <c r="A21" s="127" t="str">
        <f>CHARMS!AY$6</f>
        <v/>
      </c>
      <c r="B21" s="207" t="str">
        <f>HLOOKUP($A21,CHARMS!$A$6:$CQ$89,1,)</f>
        <v/>
      </c>
      <c r="C21" s="169">
        <f>HLOOKUP($A21,CHARMS!$A$6:$CQ$89,9,)</f>
        <v>0</v>
      </c>
      <c r="D21" s="169">
        <f>HLOOKUP($A21,CHARMS!$A$6:$CQ$89,12,)</f>
        <v>0</v>
      </c>
      <c r="E21" s="169">
        <f>HLOOKUP($A21,CHARMS!$A$6:$CQ$89,13,)</f>
        <v>0</v>
      </c>
      <c r="F21" s="169">
        <f>HLOOKUP($A21,CHARMS!$A$6:$CQ$89,14,)</f>
        <v>0</v>
      </c>
      <c r="G21" s="169">
        <f>HLOOKUP($A21,CHARMS!$A$6:$CQ$89,19,)</f>
        <v>0</v>
      </c>
      <c r="H21" s="169">
        <f>HLOOKUP($A21,CHARMS!$A$6:$CQ$89,20,)</f>
        <v>0</v>
      </c>
      <c r="I21" s="169">
        <f>HLOOKUP($A21,CHARMS!$A$6:$CQ$89,21,)</f>
        <v>0</v>
      </c>
      <c r="J21" s="169">
        <f>HLOOKUP($A21,CHARMS!$A$6:$CQ$89,22,)</f>
        <v>0</v>
      </c>
      <c r="K21" s="169">
        <f>HLOOKUP($A21,CHARMS!$A$6:$CQ$89,23,)</f>
        <v>0</v>
      </c>
      <c r="L21" s="126"/>
      <c r="M21" s="126"/>
      <c r="N21" s="126"/>
      <c r="O21" s="126"/>
      <c r="P21" s="126"/>
      <c r="Q21" s="126"/>
      <c r="R21" s="126"/>
      <c r="S21" s="126"/>
      <c r="T21" s="126"/>
    </row>
    <row r="22" spans="1:20" s="127" customFormat="1" ht="22.5" customHeight="1" x14ac:dyDescent="0.15">
      <c r="A22" s="127" t="str">
        <f>CHARMS!BB$6</f>
        <v/>
      </c>
      <c r="B22" s="207" t="str">
        <f>HLOOKUP($A22,CHARMS!$A$6:$CQ$89,1,)</f>
        <v/>
      </c>
      <c r="C22" s="169">
        <f>HLOOKUP($A22,CHARMS!$A$6:$CQ$89,9,)</f>
        <v>0</v>
      </c>
      <c r="D22" s="169">
        <f>HLOOKUP($A22,CHARMS!$A$6:$CQ$89,12,)</f>
        <v>0</v>
      </c>
      <c r="E22" s="169">
        <f>HLOOKUP($A22,CHARMS!$A$6:$CQ$89,13,)</f>
        <v>0</v>
      </c>
      <c r="F22" s="169">
        <f>HLOOKUP($A22,CHARMS!$A$6:$CQ$89,14,)</f>
        <v>0</v>
      </c>
      <c r="G22" s="169">
        <f>HLOOKUP($A22,CHARMS!$A$6:$CQ$89,19,)</f>
        <v>0</v>
      </c>
      <c r="H22" s="169">
        <f>HLOOKUP($A22,CHARMS!$A$6:$CQ$89,20,)</f>
        <v>0</v>
      </c>
      <c r="I22" s="169">
        <f>HLOOKUP($A22,CHARMS!$A$6:$CQ$89,21,)</f>
        <v>0</v>
      </c>
      <c r="J22" s="169">
        <f>HLOOKUP($A22,CHARMS!$A$6:$CQ$89,22,)</f>
        <v>0</v>
      </c>
      <c r="K22" s="169">
        <f>HLOOKUP($A22,CHARMS!$A$6:$CQ$89,23,)</f>
        <v>0</v>
      </c>
      <c r="L22" s="126"/>
      <c r="M22" s="126"/>
      <c r="N22" s="126"/>
      <c r="O22" s="126"/>
      <c r="P22" s="126"/>
      <c r="Q22" s="126"/>
      <c r="R22" s="126"/>
      <c r="S22" s="126"/>
      <c r="T22" s="126"/>
    </row>
    <row r="23" spans="1:20" s="127" customFormat="1" ht="22.5" customHeight="1" x14ac:dyDescent="0.15">
      <c r="A23" s="127" t="str">
        <f>CHARMS!BE$6</f>
        <v/>
      </c>
      <c r="B23" s="207" t="str">
        <f>HLOOKUP($A23,CHARMS!$A$6:$CQ$89,1,)</f>
        <v/>
      </c>
      <c r="C23" s="169">
        <f>HLOOKUP($A23,CHARMS!$A$6:$CQ$89,9,)</f>
        <v>0</v>
      </c>
      <c r="D23" s="169">
        <f>HLOOKUP($A23,CHARMS!$A$6:$CQ$89,12,)</f>
        <v>0</v>
      </c>
      <c r="E23" s="169">
        <f>HLOOKUP($A23,CHARMS!$A$6:$CQ$89,13,)</f>
        <v>0</v>
      </c>
      <c r="F23" s="169">
        <f>HLOOKUP($A23,CHARMS!$A$6:$CQ$89,14,)</f>
        <v>0</v>
      </c>
      <c r="G23" s="169">
        <f>HLOOKUP($A23,CHARMS!$A$6:$CQ$89,19,)</f>
        <v>0</v>
      </c>
      <c r="H23" s="169">
        <f>HLOOKUP($A23,CHARMS!$A$6:$CQ$89,20,)</f>
        <v>0</v>
      </c>
      <c r="I23" s="169">
        <f>HLOOKUP($A23,CHARMS!$A$6:$CQ$89,21,)</f>
        <v>0</v>
      </c>
      <c r="J23" s="169">
        <f>HLOOKUP($A23,CHARMS!$A$6:$CQ$89,22,)</f>
        <v>0</v>
      </c>
      <c r="K23" s="169">
        <f>HLOOKUP($A23,CHARMS!$A$6:$CQ$89,23,)</f>
        <v>0</v>
      </c>
      <c r="L23" s="126"/>
      <c r="M23" s="126"/>
      <c r="N23" s="126"/>
      <c r="O23" s="126"/>
      <c r="P23" s="126"/>
      <c r="Q23" s="126"/>
      <c r="R23" s="126"/>
      <c r="S23" s="126"/>
      <c r="T23" s="126"/>
    </row>
    <row r="24" spans="1:20" s="127" customFormat="1" ht="22.5" customHeight="1" x14ac:dyDescent="0.15">
      <c r="A24" s="127" t="str">
        <f>CHARMS!BH$6</f>
        <v/>
      </c>
      <c r="B24" s="207" t="str">
        <f>HLOOKUP($A24,CHARMS!$A$6:$CQ$89,1,)</f>
        <v/>
      </c>
      <c r="C24" s="169">
        <f>HLOOKUP($A24,CHARMS!$A$6:$CQ$89,9,)</f>
        <v>0</v>
      </c>
      <c r="D24" s="169">
        <f>HLOOKUP($A24,CHARMS!$A$6:$CQ$89,12,)</f>
        <v>0</v>
      </c>
      <c r="E24" s="169">
        <f>HLOOKUP($A24,CHARMS!$A$6:$CQ$89,13,)</f>
        <v>0</v>
      </c>
      <c r="F24" s="169">
        <f>HLOOKUP($A24,CHARMS!$A$6:$CQ$89,14,)</f>
        <v>0</v>
      </c>
      <c r="G24" s="169">
        <f>HLOOKUP($A24,CHARMS!$A$6:$CQ$89,19,)</f>
        <v>0</v>
      </c>
      <c r="H24" s="169">
        <f>HLOOKUP($A24,CHARMS!$A$6:$CQ$89,20,)</f>
        <v>0</v>
      </c>
      <c r="I24" s="169">
        <f>HLOOKUP($A24,CHARMS!$A$6:$CQ$89,21,)</f>
        <v>0</v>
      </c>
      <c r="J24" s="169">
        <f>HLOOKUP($A24,CHARMS!$A$6:$CQ$89,22,)</f>
        <v>0</v>
      </c>
      <c r="K24" s="169">
        <f>HLOOKUP($A24,CHARMS!$A$6:$CQ$89,23,)</f>
        <v>0</v>
      </c>
      <c r="L24" s="126"/>
      <c r="M24" s="126"/>
      <c r="N24" s="126"/>
      <c r="O24" s="126"/>
      <c r="P24" s="126"/>
      <c r="Q24" s="126"/>
      <c r="R24" s="126"/>
      <c r="S24" s="126"/>
      <c r="T24" s="126"/>
    </row>
    <row r="25" spans="1:20" s="127" customFormat="1" ht="22.5" customHeight="1" x14ac:dyDescent="0.15">
      <c r="A25" s="127" t="str">
        <f>CHARMS!BK$6</f>
        <v/>
      </c>
      <c r="B25" s="207" t="str">
        <f>HLOOKUP($A25,CHARMS!$A$6:$CQ$89,1,)</f>
        <v/>
      </c>
      <c r="C25" s="169">
        <f>HLOOKUP($A25,CHARMS!$A$6:$CQ$89,9,)</f>
        <v>0</v>
      </c>
      <c r="D25" s="169">
        <f>HLOOKUP($A25,CHARMS!$A$6:$CQ$89,12,)</f>
        <v>0</v>
      </c>
      <c r="E25" s="169">
        <f>HLOOKUP($A25,CHARMS!$A$6:$CQ$89,13,)</f>
        <v>0</v>
      </c>
      <c r="F25" s="169">
        <f>HLOOKUP($A25,CHARMS!$A$6:$CQ$89,14,)</f>
        <v>0</v>
      </c>
      <c r="G25" s="169">
        <f>HLOOKUP($A25,CHARMS!$A$6:$CQ$89,19,)</f>
        <v>0</v>
      </c>
      <c r="H25" s="169">
        <f>HLOOKUP($A25,CHARMS!$A$6:$CQ$89,20,)</f>
        <v>0</v>
      </c>
      <c r="I25" s="169">
        <f>HLOOKUP($A25,CHARMS!$A$6:$CQ$89,21,)</f>
        <v>0</v>
      </c>
      <c r="J25" s="169">
        <f>HLOOKUP($A25,CHARMS!$A$6:$CQ$89,22,)</f>
        <v>0</v>
      </c>
      <c r="K25" s="169">
        <f>HLOOKUP($A25,CHARMS!$A$6:$CQ$89,23,)</f>
        <v>0</v>
      </c>
      <c r="L25" s="126"/>
      <c r="M25" s="126"/>
      <c r="N25" s="126"/>
      <c r="O25" s="126"/>
      <c r="P25" s="126"/>
      <c r="Q25" s="126"/>
      <c r="R25" s="126"/>
      <c r="S25" s="126"/>
      <c r="T25" s="126"/>
    </row>
    <row r="26" spans="1:20" s="127" customFormat="1" ht="22.5" customHeight="1" x14ac:dyDescent="0.15">
      <c r="A26" s="127" t="str">
        <f>CHARMS!BN$6</f>
        <v/>
      </c>
      <c r="B26" s="207" t="str">
        <f>HLOOKUP($A26,CHARMS!$A$6:$CQ$89,1,)</f>
        <v/>
      </c>
      <c r="C26" s="169">
        <f>HLOOKUP($A26,CHARMS!$A$6:$CQ$89,9,)</f>
        <v>0</v>
      </c>
      <c r="D26" s="169">
        <f>HLOOKUP($A26,CHARMS!$A$6:$CQ$89,12,)</f>
        <v>0</v>
      </c>
      <c r="E26" s="169">
        <f>HLOOKUP($A26,CHARMS!$A$6:$CQ$89,13,)</f>
        <v>0</v>
      </c>
      <c r="F26" s="169">
        <f>HLOOKUP($A26,CHARMS!$A$6:$CQ$89,14,)</f>
        <v>0</v>
      </c>
      <c r="G26" s="169">
        <f>HLOOKUP($A26,CHARMS!$A$6:$CQ$89,19,)</f>
        <v>0</v>
      </c>
      <c r="H26" s="169">
        <f>HLOOKUP($A26,CHARMS!$A$6:$CQ$89,20,)</f>
        <v>0</v>
      </c>
      <c r="I26" s="169">
        <f>HLOOKUP($A26,CHARMS!$A$6:$CQ$89,21,)</f>
        <v>0</v>
      </c>
      <c r="J26" s="169">
        <f>HLOOKUP($A26,CHARMS!$A$6:$CQ$89,22,)</f>
        <v>0</v>
      </c>
      <c r="K26" s="169">
        <f>HLOOKUP($A26,CHARMS!$A$6:$CQ$89,23,)</f>
        <v>0</v>
      </c>
      <c r="L26" s="126"/>
      <c r="M26" s="126"/>
      <c r="N26" s="126"/>
      <c r="O26" s="126"/>
      <c r="P26" s="126"/>
      <c r="Q26" s="126"/>
      <c r="R26" s="126"/>
      <c r="S26" s="126"/>
      <c r="T26" s="126"/>
    </row>
    <row r="27" spans="1:20" s="127" customFormat="1" ht="22.5" customHeight="1" x14ac:dyDescent="0.15">
      <c r="A27" s="127" t="str">
        <f>CHARMS!BQ$6</f>
        <v/>
      </c>
      <c r="B27" s="207" t="str">
        <f>HLOOKUP($A27,CHARMS!$A$6:$CQ$89,1,)</f>
        <v/>
      </c>
      <c r="C27" s="169">
        <f>HLOOKUP($A27,CHARMS!$A$6:$CQ$89,9,)</f>
        <v>0</v>
      </c>
      <c r="D27" s="169">
        <f>HLOOKUP($A27,CHARMS!$A$6:$CQ$89,12,)</f>
        <v>0</v>
      </c>
      <c r="E27" s="169">
        <f>HLOOKUP($A27,CHARMS!$A$6:$CQ$89,13,)</f>
        <v>0</v>
      </c>
      <c r="F27" s="169">
        <f>HLOOKUP($A27,CHARMS!$A$6:$CQ$89,14,)</f>
        <v>0</v>
      </c>
      <c r="G27" s="169">
        <f>HLOOKUP($A27,CHARMS!$A$6:$CQ$89,19,)</f>
        <v>0</v>
      </c>
      <c r="H27" s="169">
        <f>HLOOKUP($A27,CHARMS!$A$6:$CQ$89,20,)</f>
        <v>0</v>
      </c>
      <c r="I27" s="169">
        <f>HLOOKUP($A27,CHARMS!$A$6:$CQ$89,21,)</f>
        <v>0</v>
      </c>
      <c r="J27" s="169">
        <f>HLOOKUP($A27,CHARMS!$A$6:$CQ$89,22,)</f>
        <v>0</v>
      </c>
      <c r="K27" s="169">
        <f>HLOOKUP($A27,CHARMS!$A$6:$CQ$89,23,)</f>
        <v>0</v>
      </c>
      <c r="L27" s="126"/>
      <c r="M27" s="126"/>
      <c r="N27" s="126"/>
      <c r="O27" s="126"/>
      <c r="P27" s="126"/>
      <c r="Q27" s="126"/>
      <c r="R27" s="126"/>
      <c r="S27" s="126"/>
      <c r="T27" s="126"/>
    </row>
    <row r="28" spans="1:20" s="127" customFormat="1" ht="22.5" customHeight="1" x14ac:dyDescent="0.15">
      <c r="A28" s="127" t="str">
        <f>CHARMS!BT$6</f>
        <v/>
      </c>
      <c r="B28" s="207" t="str">
        <f>HLOOKUP($A28,CHARMS!$A$6:$CQ$89,1,)</f>
        <v/>
      </c>
      <c r="C28" s="169">
        <f>HLOOKUP($A28,CHARMS!$A$6:$CQ$89,9,)</f>
        <v>0</v>
      </c>
      <c r="D28" s="169">
        <f>HLOOKUP($A28,CHARMS!$A$6:$CQ$89,12,)</f>
        <v>0</v>
      </c>
      <c r="E28" s="169">
        <f>HLOOKUP($A28,CHARMS!$A$6:$CQ$89,13,)</f>
        <v>0</v>
      </c>
      <c r="F28" s="169">
        <f>HLOOKUP($A28,CHARMS!$A$6:$CQ$89,14,)</f>
        <v>0</v>
      </c>
      <c r="G28" s="169">
        <f>HLOOKUP($A28,CHARMS!$A$6:$CQ$89,19,)</f>
        <v>0</v>
      </c>
      <c r="H28" s="169">
        <f>HLOOKUP($A28,CHARMS!$A$6:$CQ$89,20,)</f>
        <v>0</v>
      </c>
      <c r="I28" s="169">
        <f>HLOOKUP($A28,CHARMS!$A$6:$CQ$89,21,)</f>
        <v>0</v>
      </c>
      <c r="J28" s="169">
        <f>HLOOKUP($A28,CHARMS!$A$6:$CQ$89,22,)</f>
        <v>0</v>
      </c>
      <c r="K28" s="169">
        <f>HLOOKUP($A28,CHARMS!$A$6:$CQ$89,23,)</f>
        <v>0</v>
      </c>
      <c r="L28" s="126"/>
      <c r="M28" s="126"/>
      <c r="N28" s="126"/>
      <c r="O28" s="126"/>
      <c r="P28" s="126"/>
      <c r="Q28" s="126"/>
      <c r="R28" s="126"/>
      <c r="S28" s="126"/>
      <c r="T28" s="126"/>
    </row>
    <row r="29" spans="1:20" s="127" customFormat="1" ht="22.5" customHeight="1" x14ac:dyDescent="0.15">
      <c r="A29" s="127" t="str">
        <f>CHARMS!BW$6</f>
        <v/>
      </c>
      <c r="B29" s="207" t="str">
        <f>HLOOKUP($A29,CHARMS!$A$6:$CQ$89,1,)</f>
        <v/>
      </c>
      <c r="C29" s="169">
        <f>HLOOKUP($A29,CHARMS!$A$6:$CQ$89,9,)</f>
        <v>0</v>
      </c>
      <c r="D29" s="169">
        <f>HLOOKUP($A29,CHARMS!$A$6:$CQ$89,12,)</f>
        <v>0</v>
      </c>
      <c r="E29" s="169">
        <f>HLOOKUP($A29,CHARMS!$A$6:$CQ$89,13,)</f>
        <v>0</v>
      </c>
      <c r="F29" s="169">
        <f>HLOOKUP($A29,CHARMS!$A$6:$CQ$89,14,)</f>
        <v>0</v>
      </c>
      <c r="G29" s="169">
        <f>HLOOKUP($A29,CHARMS!$A$6:$CQ$89,19,)</f>
        <v>0</v>
      </c>
      <c r="H29" s="169">
        <f>HLOOKUP($A29,CHARMS!$A$6:$CQ$89,20,)</f>
        <v>0</v>
      </c>
      <c r="I29" s="169">
        <f>HLOOKUP($A29,CHARMS!$A$6:$CQ$89,21,)</f>
        <v>0</v>
      </c>
      <c r="J29" s="169">
        <f>HLOOKUP($A29,CHARMS!$A$6:$CQ$89,22,)</f>
        <v>0</v>
      </c>
      <c r="K29" s="169">
        <f>HLOOKUP($A29,CHARMS!$A$6:$CQ$89,23,)</f>
        <v>0</v>
      </c>
      <c r="L29" s="126"/>
      <c r="M29" s="126"/>
      <c r="N29" s="126"/>
      <c r="O29" s="126"/>
      <c r="P29" s="126"/>
      <c r="Q29" s="126"/>
      <c r="R29" s="126"/>
      <c r="S29" s="126"/>
      <c r="T29" s="126"/>
    </row>
    <row r="30" spans="1:20" s="127" customFormat="1" ht="22.5" customHeight="1" x14ac:dyDescent="0.15">
      <c r="A30" s="127" t="str">
        <f>CHARMS!BZ$6</f>
        <v/>
      </c>
      <c r="B30" s="207" t="str">
        <f>HLOOKUP($A30,CHARMS!$A$6:$CQ$89,1,)</f>
        <v/>
      </c>
      <c r="C30" s="169">
        <f>HLOOKUP($A30,CHARMS!$A$6:$CQ$89,9,)</f>
        <v>0</v>
      </c>
      <c r="D30" s="169">
        <f>HLOOKUP($A30,CHARMS!$A$6:$CQ$89,12,)</f>
        <v>0</v>
      </c>
      <c r="E30" s="169">
        <f>HLOOKUP($A30,CHARMS!$A$6:$CQ$89,13,)</f>
        <v>0</v>
      </c>
      <c r="F30" s="169">
        <f>HLOOKUP($A30,CHARMS!$A$6:$CQ$89,14,)</f>
        <v>0</v>
      </c>
      <c r="G30" s="169">
        <f>HLOOKUP($A30,CHARMS!$A$6:$CQ$89,19,)</f>
        <v>0</v>
      </c>
      <c r="H30" s="169">
        <f>HLOOKUP($A30,CHARMS!$A$6:$CQ$89,20,)</f>
        <v>0</v>
      </c>
      <c r="I30" s="169">
        <f>HLOOKUP($A30,CHARMS!$A$6:$CQ$89,21,)</f>
        <v>0</v>
      </c>
      <c r="J30" s="169">
        <f>HLOOKUP($A30,CHARMS!$A$6:$CQ$89,22,)</f>
        <v>0</v>
      </c>
      <c r="K30" s="169">
        <f>HLOOKUP($A30,CHARMS!$A$6:$CQ$89,23,)</f>
        <v>0</v>
      </c>
      <c r="L30" s="126"/>
      <c r="M30" s="126"/>
      <c r="N30" s="126"/>
      <c r="O30" s="126"/>
      <c r="P30" s="126"/>
      <c r="Q30" s="126"/>
      <c r="R30" s="126"/>
      <c r="S30" s="126"/>
      <c r="T30" s="126"/>
    </row>
    <row r="31" spans="1:20" s="127" customFormat="1" ht="22.5" customHeight="1" x14ac:dyDescent="0.15">
      <c r="A31" s="127" t="str">
        <f>CHARMS!CC$6</f>
        <v/>
      </c>
      <c r="B31" s="207" t="str">
        <f>HLOOKUP($A31,CHARMS!$A$6:$CQ$89,1,)</f>
        <v/>
      </c>
      <c r="C31" s="169">
        <f>HLOOKUP($A31,CHARMS!$A$6:$CQ$89,9,)</f>
        <v>0</v>
      </c>
      <c r="D31" s="169">
        <f>HLOOKUP($A31,CHARMS!$A$6:$CQ$89,12,)</f>
        <v>0</v>
      </c>
      <c r="E31" s="169">
        <f>HLOOKUP($A31,CHARMS!$A$6:$CQ$89,13,)</f>
        <v>0</v>
      </c>
      <c r="F31" s="169">
        <f>HLOOKUP($A31,CHARMS!$A$6:$CQ$89,14,)</f>
        <v>0</v>
      </c>
      <c r="G31" s="169">
        <f>HLOOKUP($A31,CHARMS!$A$6:$CQ$89,19,)</f>
        <v>0</v>
      </c>
      <c r="H31" s="169">
        <f>HLOOKUP($A31,CHARMS!$A$6:$CQ$89,20,)</f>
        <v>0</v>
      </c>
      <c r="I31" s="169">
        <f>HLOOKUP($A31,CHARMS!$A$6:$CQ$89,21,)</f>
        <v>0</v>
      </c>
      <c r="J31" s="169">
        <f>HLOOKUP($A31,CHARMS!$A$6:$CQ$89,22,)</f>
        <v>0</v>
      </c>
      <c r="K31" s="169">
        <f>HLOOKUP($A31,CHARMS!$A$6:$CQ$89,23,)</f>
        <v>0</v>
      </c>
      <c r="L31" s="126"/>
      <c r="M31" s="126"/>
      <c r="N31" s="126"/>
      <c r="O31" s="126"/>
      <c r="P31" s="126"/>
      <c r="Q31" s="126"/>
      <c r="R31" s="126"/>
      <c r="S31" s="126"/>
      <c r="T31" s="126"/>
    </row>
    <row r="32" spans="1:20" s="127" customFormat="1" ht="22.5" customHeight="1" x14ac:dyDescent="0.15">
      <c r="A32" s="127" t="str">
        <f>CHARMS!CF$6</f>
        <v/>
      </c>
      <c r="B32" s="207" t="str">
        <f>HLOOKUP($A32,CHARMS!$A$6:$CQ$89,1,)</f>
        <v/>
      </c>
      <c r="C32" s="169">
        <f>HLOOKUP($A32,CHARMS!$A$6:$CQ$89,9,)</f>
        <v>0</v>
      </c>
      <c r="D32" s="169">
        <f>HLOOKUP($A32,CHARMS!$A$6:$CQ$89,12,)</f>
        <v>0</v>
      </c>
      <c r="E32" s="169">
        <f>HLOOKUP($A32,CHARMS!$A$6:$CQ$89,13,)</f>
        <v>0</v>
      </c>
      <c r="F32" s="169">
        <f>HLOOKUP($A32,CHARMS!$A$6:$CQ$89,14,)</f>
        <v>0</v>
      </c>
      <c r="G32" s="169">
        <f>HLOOKUP($A32,CHARMS!$A$6:$CQ$89,19,)</f>
        <v>0</v>
      </c>
      <c r="H32" s="169">
        <f>HLOOKUP($A32,CHARMS!$A$6:$CQ$89,20,)</f>
        <v>0</v>
      </c>
      <c r="I32" s="169">
        <f>HLOOKUP($A32,CHARMS!$A$6:$CQ$89,21,)</f>
        <v>0</v>
      </c>
      <c r="J32" s="169">
        <f>HLOOKUP($A32,CHARMS!$A$6:$CQ$89,22,)</f>
        <v>0</v>
      </c>
      <c r="K32" s="169">
        <f>HLOOKUP($A32,CHARMS!$A$6:$CQ$89,23,)</f>
        <v>0</v>
      </c>
      <c r="L32" s="126"/>
      <c r="M32" s="126"/>
      <c r="N32" s="126"/>
      <c r="O32" s="126"/>
      <c r="P32" s="126"/>
      <c r="Q32" s="126"/>
      <c r="R32" s="126"/>
      <c r="S32" s="126"/>
      <c r="T32" s="126"/>
    </row>
    <row r="33" spans="1:20" s="127" customFormat="1" ht="22.5" customHeight="1" x14ac:dyDescent="0.15">
      <c r="A33" s="127" t="str">
        <f>CHARMS!CI$6</f>
        <v/>
      </c>
      <c r="B33" s="207" t="str">
        <f>HLOOKUP($A33,CHARMS!$A$6:$CQ$89,1,)</f>
        <v/>
      </c>
      <c r="C33" s="169">
        <f>HLOOKUP($A33,CHARMS!$A$6:$CQ$89,9,)</f>
        <v>0</v>
      </c>
      <c r="D33" s="169">
        <f>HLOOKUP($A33,CHARMS!$A$6:$CQ$89,12,)</f>
        <v>0</v>
      </c>
      <c r="E33" s="169">
        <f>HLOOKUP($A33,CHARMS!$A$6:$CQ$89,13,)</f>
        <v>0</v>
      </c>
      <c r="F33" s="169">
        <f>HLOOKUP($A33,CHARMS!$A$6:$CQ$89,14,)</f>
        <v>0</v>
      </c>
      <c r="G33" s="169">
        <f>HLOOKUP($A33,CHARMS!$A$6:$CQ$89,19,)</f>
        <v>0</v>
      </c>
      <c r="H33" s="169">
        <f>HLOOKUP($A33,CHARMS!$A$6:$CQ$89,20,)</f>
        <v>0</v>
      </c>
      <c r="I33" s="169">
        <f>HLOOKUP($A33,CHARMS!$A$6:$CQ$89,21,)</f>
        <v>0</v>
      </c>
      <c r="J33" s="169">
        <f>HLOOKUP($A33,CHARMS!$A$6:$CQ$89,22,)</f>
        <v>0</v>
      </c>
      <c r="K33" s="169">
        <f>HLOOKUP($A33,CHARMS!$A$6:$CQ$89,23,)</f>
        <v>0</v>
      </c>
      <c r="L33" s="126"/>
      <c r="M33" s="126"/>
      <c r="N33" s="126"/>
      <c r="O33" s="126"/>
      <c r="P33" s="126"/>
      <c r="Q33" s="126"/>
      <c r="R33" s="126"/>
      <c r="S33" s="126"/>
      <c r="T33" s="126"/>
    </row>
    <row r="34" spans="1:20" s="127" customFormat="1" ht="22.5" customHeight="1" x14ac:dyDescent="0.15">
      <c r="A34" s="127" t="str">
        <f>CHARMS!CL$6</f>
        <v/>
      </c>
      <c r="B34" s="207" t="str">
        <f>HLOOKUP($A34,CHARMS!$A$6:$CQ$89,1,)</f>
        <v/>
      </c>
      <c r="C34" s="169">
        <f>HLOOKUP($A34,CHARMS!$A$6:$CQ$89,9,)</f>
        <v>0</v>
      </c>
      <c r="D34" s="169">
        <f>HLOOKUP($A34,CHARMS!$A$6:$CQ$89,12,)</f>
        <v>0</v>
      </c>
      <c r="E34" s="169">
        <f>HLOOKUP($A34,CHARMS!$A$6:$CQ$89,13,)</f>
        <v>0</v>
      </c>
      <c r="F34" s="169">
        <f>HLOOKUP($A34,CHARMS!$A$6:$CQ$89,14,)</f>
        <v>0</v>
      </c>
      <c r="G34" s="169">
        <f>HLOOKUP($A34,CHARMS!$A$6:$CQ$89,19,)</f>
        <v>0</v>
      </c>
      <c r="H34" s="169">
        <f>HLOOKUP($A34,CHARMS!$A$6:$CQ$89,20,)</f>
        <v>0</v>
      </c>
      <c r="I34" s="169">
        <f>HLOOKUP($A34,CHARMS!$A$6:$CQ$89,21,)</f>
        <v>0</v>
      </c>
      <c r="J34" s="169">
        <f>HLOOKUP($A34,CHARMS!$A$6:$CQ$89,22,)</f>
        <v>0</v>
      </c>
      <c r="K34" s="169">
        <f>HLOOKUP($A34,CHARMS!$A$6:$CQ$89,23,)</f>
        <v>0</v>
      </c>
      <c r="L34" s="126"/>
      <c r="M34" s="126"/>
      <c r="N34" s="126"/>
      <c r="O34" s="126"/>
      <c r="P34" s="126"/>
      <c r="Q34" s="126"/>
      <c r="R34" s="126"/>
      <c r="S34" s="126"/>
      <c r="T34" s="126"/>
    </row>
    <row r="35" spans="1:20" s="127" customFormat="1" ht="22.5" customHeight="1" x14ac:dyDescent="0.15">
      <c r="A35" s="127" t="str">
        <f>CHARMS!CO$6</f>
        <v/>
      </c>
      <c r="B35" s="208" t="str">
        <f>HLOOKUP($A35,CHARMS!$A$6:$CQ$89,1,)</f>
        <v/>
      </c>
      <c r="C35" s="172">
        <f>HLOOKUP($A35,CHARMS!$A$6:$CQ$89,9,)</f>
        <v>0</v>
      </c>
      <c r="D35" s="172">
        <f>HLOOKUP($A35,CHARMS!$A$6:$CQ$89,12,)</f>
        <v>0</v>
      </c>
      <c r="E35" s="172">
        <f>HLOOKUP($A35,CHARMS!$A$6:$CQ$89,13,)</f>
        <v>0</v>
      </c>
      <c r="F35" s="172">
        <f>HLOOKUP($A35,CHARMS!$A$6:$CQ$89,14,)</f>
        <v>0</v>
      </c>
      <c r="G35" s="172">
        <f>HLOOKUP($A35,CHARMS!$A$6:$CQ$89,19,)</f>
        <v>0</v>
      </c>
      <c r="H35" s="172">
        <f>HLOOKUP($A35,CHARMS!$A$6:$CQ$89,20,)</f>
        <v>0</v>
      </c>
      <c r="I35" s="172">
        <f>HLOOKUP($A35,CHARMS!$A$6:$CQ$89,21,)</f>
        <v>0</v>
      </c>
      <c r="J35" s="172">
        <f>HLOOKUP($A35,CHARMS!$A$6:$CQ$89,22,)</f>
        <v>0</v>
      </c>
      <c r="K35" s="172">
        <f>HLOOKUP($A35,CHARMS!$A$6:$CQ$89,23,)</f>
        <v>0</v>
      </c>
      <c r="L35" s="124"/>
      <c r="M35" s="124"/>
      <c r="N35" s="124"/>
      <c r="O35" s="124"/>
      <c r="P35" s="124"/>
      <c r="Q35" s="124"/>
      <c r="R35" s="124"/>
      <c r="S35" s="124"/>
      <c r="T35" s="124"/>
    </row>
  </sheetData>
  <sheetProtection password="8015" sheet="1" objects="1" scenarios="1"/>
  <mergeCells count="7">
    <mergeCell ref="B3:K3"/>
    <mergeCell ref="G4:K4"/>
    <mergeCell ref="B4:B5"/>
    <mergeCell ref="F4:F5"/>
    <mergeCell ref="C4:C5"/>
    <mergeCell ref="E4:E5"/>
    <mergeCell ref="D4:D5"/>
  </mergeCells>
  <phoneticPr fontId="6" type="noConversion"/>
  <conditionalFormatting sqref="B6:K6">
    <cfRule type="expression" dxfId="75" priority="2">
      <formula>$A$6=""</formula>
    </cfRule>
  </conditionalFormatting>
  <conditionalFormatting sqref="B6:K35">
    <cfRule type="cellIs" dxfId="74" priority="1" operator="equal">
      <formula>0</formula>
    </cfRule>
    <cfRule type="expression" dxfId="73" priority="4">
      <formula>$A6=""</formula>
    </cfRule>
  </conditionalFormatting>
  <conditionalFormatting sqref="B7:K35">
    <cfRule type="expression" dxfId="72" priority="3">
      <formula>$A7&lt;&gt;""</formula>
    </cfRule>
  </conditionalFormatting>
  <pageMargins left="0.7" right="0.7" top="0.75" bottom="0.75" header="0.3" footer="0.3"/>
  <pageSetup paperSize="9" orientation="portrait" horizontalDpi="4294967295" verticalDpi="4294967295"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A211A3-CC87-434E-AC7E-7F0195EEF447}">
  <sheetPr codeName="Hoja6">
    <tabColor theme="9" tint="-0.499984740745262"/>
  </sheetPr>
  <dimension ref="A1:W80"/>
  <sheetViews>
    <sheetView topLeftCell="B1" zoomScale="120" zoomScaleNormal="120" workbookViewId="0">
      <selection activeCell="F32" sqref="F32:F33"/>
    </sheetView>
  </sheetViews>
  <sheetFormatPr baseColWidth="10" defaultColWidth="11.5" defaultRowHeight="15" x14ac:dyDescent="0.2"/>
  <cols>
    <col min="1" max="1" width="11.5" style="131" hidden="1" customWidth="1"/>
    <col min="2" max="2" width="25.6640625" style="131" customWidth="1"/>
    <col min="3" max="3" width="17.1640625" style="131" customWidth="1"/>
    <col min="4" max="4" width="8.5" style="131" customWidth="1"/>
    <col min="5" max="5" width="11.5" style="131"/>
    <col min="6" max="8" width="8.5" style="131" customWidth="1"/>
    <col min="9" max="11" width="25.5" style="131" customWidth="1"/>
    <col min="12" max="12" width="28.5" style="131" customWidth="1"/>
    <col min="13" max="13" width="31.5" style="131" customWidth="1"/>
    <col min="14" max="18" width="5.6640625" style="131" customWidth="1"/>
    <col min="19" max="23" width="11.5" style="122"/>
    <col min="24" max="16384" width="11.5" style="131"/>
  </cols>
  <sheetData>
    <row r="1" spans="1:23" s="122" customFormat="1" x14ac:dyDescent="0.2">
      <c r="R1" s="123"/>
    </row>
    <row r="2" spans="1:23" s="122" customFormat="1" x14ac:dyDescent="0.2">
      <c r="R2" s="123"/>
    </row>
    <row r="3" spans="1:23" s="125" customFormat="1" ht="16" thickBot="1" x14ac:dyDescent="0.25">
      <c r="B3" s="360" t="s">
        <v>223</v>
      </c>
      <c r="C3" s="361"/>
      <c r="D3" s="361"/>
      <c r="E3" s="361"/>
      <c r="F3" s="361"/>
      <c r="G3" s="361"/>
      <c r="H3" s="361"/>
      <c r="I3" s="361"/>
      <c r="J3" s="361"/>
      <c r="K3" s="361"/>
      <c r="L3" s="361"/>
      <c r="M3" s="361"/>
      <c r="N3" s="361"/>
      <c r="O3" s="361"/>
      <c r="P3" s="361"/>
      <c r="Q3" s="361"/>
      <c r="R3" s="362"/>
      <c r="S3" s="122"/>
      <c r="T3" s="122"/>
      <c r="U3" s="122"/>
      <c r="V3" s="122"/>
      <c r="W3" s="122"/>
    </row>
    <row r="4" spans="1:23" ht="22.5" customHeight="1" thickBot="1" x14ac:dyDescent="0.25">
      <c r="B4" s="364" t="s">
        <v>218</v>
      </c>
      <c r="C4" s="364" t="s">
        <v>224</v>
      </c>
      <c r="D4" s="364" t="s">
        <v>225</v>
      </c>
      <c r="E4" s="132" t="s">
        <v>226</v>
      </c>
      <c r="F4" s="364" t="s">
        <v>227</v>
      </c>
      <c r="G4" s="364"/>
      <c r="H4" s="364" t="s">
        <v>228</v>
      </c>
      <c r="I4" s="364" t="s">
        <v>229</v>
      </c>
      <c r="J4" s="364" t="s">
        <v>230</v>
      </c>
      <c r="K4" s="364" t="s">
        <v>231</v>
      </c>
      <c r="L4" s="364" t="s">
        <v>232</v>
      </c>
      <c r="M4" s="364" t="s">
        <v>214</v>
      </c>
      <c r="N4" s="133"/>
      <c r="O4" s="368" t="s">
        <v>233</v>
      </c>
      <c r="P4" s="368"/>
      <c r="Q4" s="368"/>
      <c r="R4" s="368"/>
    </row>
    <row r="5" spans="1:23" ht="15" customHeight="1" thickBot="1" x14ac:dyDescent="0.25">
      <c r="B5" s="367"/>
      <c r="C5" s="367"/>
      <c r="D5" s="367"/>
      <c r="E5" s="134" t="s">
        <v>61</v>
      </c>
      <c r="F5" s="134" t="s">
        <v>234</v>
      </c>
      <c r="G5" s="134" t="s">
        <v>235</v>
      </c>
      <c r="H5" s="367"/>
      <c r="I5" s="367"/>
      <c r="J5" s="367"/>
      <c r="K5" s="367"/>
      <c r="L5" s="367"/>
      <c r="M5" s="367"/>
      <c r="N5" s="134"/>
      <c r="O5" s="135" t="s">
        <v>236</v>
      </c>
      <c r="P5" s="135" t="s">
        <v>237</v>
      </c>
      <c r="Q5" s="135" t="s">
        <v>238</v>
      </c>
      <c r="R5" s="135" t="s">
        <v>239</v>
      </c>
    </row>
    <row r="6" spans="1:23" s="140" customFormat="1" ht="22.5" customHeight="1" x14ac:dyDescent="0.2">
      <c r="A6" s="375" t="str">
        <f>CHARMS!F$6</f>
        <v>1 - Matthew-David Ogbechie, 2023</v>
      </c>
      <c r="B6" s="376" t="str">
        <f>HLOOKUP($A6,CHARMS!$A$6:$CQ$89,1,)</f>
        <v>1 - Matthew-David Ogbechie, 2023</v>
      </c>
      <c r="C6" s="369" t="str">
        <f>IF($A6="","",HLOOKUP($A6,CHARMS!$A$6:$CQ$89,48,))</f>
        <v>XGBoost</v>
      </c>
      <c r="D6" s="373">
        <f>IF($A6="","",IF(HLOOKUP($A6,CHARMS!$A$6:$CQ$89,40,)=0,"Unkown",HLOOKUP($A6,CHARMS!$A$6:$CQ$89,40,)))</f>
        <v>136747</v>
      </c>
      <c r="E6" s="369" t="str">
        <f>IF($A6="","",IF(HLOOKUP($A6,CHARMS!$A$6:$CQ$89,40,)=0,"Unkown",CONCATENATE(HLOOKUP($A6,CHARMS!$A$6:$CQ$89,41,)," (",FIXED((HLOOKUP($A6,CHARMS!$A$6:$CQ$89,41,)/HLOOKUP($A6,CHARMS!$A$6:$CQ$89,40,))*100,1),")")))</f>
        <v>56581 (41.4)</v>
      </c>
      <c r="F6" s="369">
        <f>IF($A6="","",IF(HLOOKUP($A6,CHARMS!$A$6:$CQ$89,33,)=0,"Unkown",HLOOKUP($A6,CHARMS!$A$6:$CQ$89,33,)))</f>
        <v>13</v>
      </c>
      <c r="G6" s="369">
        <f>IF($A6="","",HLOOKUP($A6,CHARMS!$A$6:$CQ$89,79,))</f>
        <v>13</v>
      </c>
      <c r="H6" s="371">
        <f>IF($A6="","",HLOOKUP($A6,CHARMS!$A$6:$CQ$89,43,))</f>
        <v>4352.3846153846152</v>
      </c>
      <c r="I6" s="369" t="str">
        <f>IF($A6="","",HLOOKUP($A6,CHARMS!$A$6:$CQ$89,49,))</f>
        <v>Based on prior knowledge</v>
      </c>
      <c r="J6" s="369" t="str">
        <f>IF($A6="","",HLOOKUP($A6,CHARMS!$A$6:$CQ$89,50,))</f>
        <v>Pre-specified model (not selection)</v>
      </c>
      <c r="K6" s="369" t="str">
        <f>CONCATENATE(IF($A6="","",IF(OR(HLOOKUP($A6,CHARMS!$A$6:$CQ$89,40,)=0,ISTEXT(HLOOKUP($A6,CHARMS!$A$6:$CQ$89,45,))),"n (%): Unkown",CONCATENATE("n (%): ",HLOOKUP($A6,CHARMS!$A$6:$CQ$89,45,)," (",FIXED((HLOOKUP($A6,CHARMS!$A$6:$CQ$89,45,)/HLOOKUP($A6,CHARMS!$A$6:$CQ$89,40,))*100,1),")"))),CHAR(10),IF($A6="","",CONCATENATE("Method: ",HLOOKUP($A6,CHARMS!$A$6:$CQ$89,46,))))</f>
        <v>n (%): Unkown
Method: Knn Imputation</v>
      </c>
      <c r="L6" s="371" t="str">
        <f>IF($A6="","",CONCATENATE("Int: ",HLOOKUP($A6,CHARMS!$A$6:$CQ$89,75,),CHAR(10),"Ext : ",HLOOKUP($A6,CHARMS!$A$6:$CQ$89,76,)))</f>
        <v>Int: Cross-validation and random split data
Ext : None</v>
      </c>
      <c r="M6" s="371" t="str">
        <f>IF($A6="","",CONCATENATE("Cal: ",HLOOKUP($A6,CHARMS!$A$6:$CQ$89,53,),CHAR(10),"Disc : ",HLOOKUP($A6,CHARMS!$A$6:$CQ$89,59,),CHAR(10),"Ov: ",HLOOKUP($A6,CHARMS!$A$6:$CQ$89,66,)))</f>
        <v>Cal: Not evaluated
Disc : Accuracy 0.85 (0.85 - 0.86), Sensitivity - 0.81; Specificity - 0.88; PPV - 0.83; NPV - 0.87; Kappa 0.70
Ov: Not evaluated</v>
      </c>
      <c r="N6" s="136" t="s">
        <v>27</v>
      </c>
      <c r="O6" s="137" t="str">
        <f>_xlfn.IFNA(IF(HLOOKUP($A6,PROBAST!$A$6:$AE$77,11,)="Low RoB","+",IF(HLOOKUP($A6,PROBAST!$A$6:$AE$77,11,)="High RoB","-",IF(HLOOKUP($A6,PROBAST!$A$6:$AE$77,11,)="Unclear","?",""))),"")</f>
        <v>+</v>
      </c>
      <c r="P6" s="137" t="str">
        <f>_xlfn.IFNA(IF(HLOOKUP($A6,PROBAST!$A$6:$AE$77,25,)="Low RoB","+",IF(HLOOKUP($A6,PROBAST!$A$6:$AE$77,25,)="High RoB","-",IF(HLOOKUP($A6,PROBAST!$A$6:$AE$77,25,)="Unclear","?",""))),"")</f>
        <v>+</v>
      </c>
      <c r="Q6" s="137" t="str">
        <f>_xlfn.IFNA(IF(HLOOKUP($A6,PROBAST!$A$6:$AE$77,39,)="Low RoB","+",IF(HLOOKUP($A6,PROBAST!$A$6:$AE$77,39,)="High RoB","-",IF(HLOOKUP($A6,PROBAST!$A$6:$AE$77,39,)="Unclear","?",""))),"")</f>
        <v>+</v>
      </c>
      <c r="R6" s="138" t="str">
        <f>_xlfn.IFNA(IF(HLOOKUP($A6,PROBAST!$A$6:$AE$77,58,)="Low RoB","+",IF(HLOOKUP($A6,PROBAST!$A$6:$AE$77,58,)="High RoB","-",IF(HLOOKUP($A6,PROBAST!$A$6:$AE$77,58,)="Unclear","?",""))),"")</f>
        <v>-</v>
      </c>
      <c r="S6" s="139"/>
      <c r="T6" s="139"/>
      <c r="U6" s="139"/>
      <c r="V6" s="139"/>
      <c r="W6" s="139"/>
    </row>
    <row r="7" spans="1:23" ht="22.5" customHeight="1" thickBot="1" x14ac:dyDescent="0.25">
      <c r="A7" s="375"/>
      <c r="B7" s="377"/>
      <c r="C7" s="370"/>
      <c r="D7" s="374"/>
      <c r="E7" s="370"/>
      <c r="F7" s="370"/>
      <c r="G7" s="370"/>
      <c r="H7" s="372"/>
      <c r="I7" s="370"/>
      <c r="J7" s="370"/>
      <c r="K7" s="379"/>
      <c r="L7" s="372"/>
      <c r="M7" s="372"/>
      <c r="N7" s="141" t="s">
        <v>26</v>
      </c>
      <c r="O7" s="142" t="str">
        <f>_xlfn.IFNA(IF(HLOOKUP($A6,PROBAST!$A$6:$AE$77,12,)="Low concern","+",IF(HLOOKUP($A7,PROBAST!$A$6:$AE$77,12,)="High concern","-",IF(HLOOKUP($A6,PROBAST!$A$6:$AE$77,12,)="Unclear","?",""))),"")</f>
        <v>+</v>
      </c>
      <c r="P7" s="142" t="str">
        <f>_xlfn.IFNA(IF(HLOOKUP($A6,PROBAST!$A$6:$AE$77,26,)="Low concern","+",IF(HLOOKUP($A6,PROBAST!$A$6:$AE$77,26,)="High concern","-",IF(HLOOKUP($A6,PROBAST!$A$6:$AE$77,26,)="Unclear","?",""))),"")</f>
        <v>+</v>
      </c>
      <c r="Q7" s="142" t="str">
        <f>_xlfn.IFNA(IF(HLOOKUP($A6,PROBAST!$A$6:$AE$77,40,)="Low concern","+",IF(HLOOKUP($A6,PROBAST!$A$6:$AE$77,40,)="High concern","-",IF(HLOOKUP($A6,PROBAST!$A$6:$AE$77,40,)="Unclear","?",""))),"")</f>
        <v>+</v>
      </c>
      <c r="R7" s="143"/>
    </row>
    <row r="8" spans="1:23" s="140" customFormat="1" ht="22.5" customHeight="1" x14ac:dyDescent="0.2">
      <c r="A8" s="375" t="str">
        <f>CHARMS!I$6</f>
        <v>2 - Esra, Rachel, 2023</v>
      </c>
      <c r="B8" s="376" t="str">
        <f>HLOOKUP($A8,CHARMS!$A$6:$CQ$89,1,)</f>
        <v>2 - Esra, Rachel, 2023</v>
      </c>
      <c r="C8" s="369" t="str">
        <f>IF($A8="","",HLOOKUP($A8,CHARMS!$A$6:$CQ$89,48,))</f>
        <v>AdaBoost</v>
      </c>
      <c r="D8" s="373">
        <f>IF($A8="","",IF(HLOOKUP($A8,CHARMS!$A$6:$CQ$89,40,)=0,"Unkown",HLOOKUP($A8,CHARMS!$A$6:$CQ$89,40,)))</f>
        <v>264877</v>
      </c>
      <c r="E8" s="369" t="str">
        <f>IF($A8="","",IF(HLOOKUP($A8,CHARMS!$A$6:$CQ$89,40,)=0,"Unkown",CONCATENATE(HLOOKUP($A8,CHARMS!$A$6:$CQ$89,41,)," (",FIXED((HLOOKUP($A8,CHARMS!$A$6:$CQ$89,41,)/HLOOKUP($A8,CHARMS!$A$6:$CQ$89,40,))*100,1),")")))</f>
        <v>35985 (13.6)</v>
      </c>
      <c r="F8" s="369">
        <f>IF($A8="","",IF(HLOOKUP($A8,CHARMS!$A$6:$CQ$89,33,)=0,"Unkown",HLOOKUP($A8,CHARMS!$A$6:$CQ$89,33,)))</f>
        <v>13</v>
      </c>
      <c r="G8" s="369">
        <f>IF($A8="","",HLOOKUP($A8,CHARMS!$A$6:$CQ$89,79,))</f>
        <v>13</v>
      </c>
      <c r="H8" s="371">
        <f>IF($A8="","",HLOOKUP($A8,CHARMS!$A$6:$CQ$89,43,))</f>
        <v>2768.0769230769229</v>
      </c>
      <c r="I8" s="369" t="str">
        <f>IF($A8="","",HLOOKUP($A8,CHARMS!$A$6:$CQ$89,49,))</f>
        <v>Based on prior knowledge</v>
      </c>
      <c r="J8" s="369" t="str">
        <f>IF($A8="","",HLOOKUP($A8,CHARMS!$A$6:$CQ$89,50,))</f>
        <v>Recursive feature elimination</v>
      </c>
      <c r="K8" s="369" t="str">
        <f>CONCATENATE(IF($A8="","",IF(OR(HLOOKUP($A8,CHARMS!$A$6:$CQ$89,40,)=0,ISTEXT(HLOOKUP($A8,CHARMS!$A$6:$CQ$89,45,))),"n (%): Unkown",CONCATENATE("n (%): ",HLOOKUP($A8,CHARMS!$A$6:$CQ$89,45,)," (",FIXED((HLOOKUP($A8,CHARMS!$A$6:$CQ$89,45,)/HLOOKUP($A8,CHARMS!$A$6:$CQ$89,40,))*100,1),")"))),CHAR(10),IF($A8="","",CONCATENATE("Method: ",HLOOKUP($A8,CHARMS!$A$6:$CQ$89,46,))))</f>
        <v>n (%): 1509 (0.6)
Method: Single imputation</v>
      </c>
      <c r="L8" s="371" t="str">
        <f>IF($A8="","",CONCATENATE("Int: ",HLOOKUP($A8,CHARMS!$A$6:$CQ$89,75,),CHAR(10),"Ext : ",HLOOKUP($A8,CHARMS!$A$6:$CQ$89,76,)))</f>
        <v>Int: Random split data
Ext : Different setting</v>
      </c>
      <c r="M8" s="371" t="str">
        <f>IF($A8="","",CONCATENATE("Cal: ",HLOOKUP($A8,CHARMS!$A$6:$CQ$89,53,),CHAR(10),"Disc : ",HLOOKUP($A8,CHARMS!$A$6:$CQ$89,59,),CHAR(10),"Ov: ",HLOOKUP($A8,CHARMS!$A$6:$CQ$89,66,)))</f>
        <v>Cal: F1 Score (0.288, 0.286 - 0.290)
Disc : C-Statistic / AUC graph / Sensitivity (0.608, 0.604 - 0.611),  specificity (0.647, 0.646 - 0.648), ppv (0.189, 0.187 - 0.190), npv (0.924, 0.924 - 0.925)
Ov: Not evaluated</v>
      </c>
      <c r="N8" s="136" t="s">
        <v>27</v>
      </c>
      <c r="O8" s="137" t="str">
        <f>_xlfn.IFNA(IF(HLOOKUP($A8,PROBAST!$A$6:$AE$77,11,)="Low RoB","+",IF(HLOOKUP($A8,PROBAST!$A$6:$AE$77,11,)="High RoB","-",IF(HLOOKUP($A8,PROBAST!$A$6:$AE$77,11,)="Unclear","?",""))),"")</f>
        <v>+</v>
      </c>
      <c r="P8" s="137" t="str">
        <f>_xlfn.IFNA(IF(HLOOKUP($A8,PROBAST!$A$6:$AE$77,25,)="Low RoB","+",IF(HLOOKUP($A8,PROBAST!$A$6:$AE$77,25,)="High RoB","-",IF(HLOOKUP($A8,PROBAST!$A$6:$AE$77,25,)="Unclear","?",""))),"")</f>
        <v>+</v>
      </c>
      <c r="Q8" s="137" t="str">
        <f>_xlfn.IFNA(IF(HLOOKUP($A8,PROBAST!$A$6:$AE$77,39,)="Low RoB","+",IF(HLOOKUP($A8,PROBAST!$A$6:$AE$77,39,)="High RoB","-",IF(HLOOKUP($A8,PROBAST!$A$6:$AE$77,39,)="Unclear","?",""))),"")</f>
        <v>+</v>
      </c>
      <c r="R8" s="138" t="str">
        <f>_xlfn.IFNA(IF(HLOOKUP($A8,PROBAST!$A$6:$AE$77,58,)="Low RoB","+",IF(HLOOKUP($A8,PROBAST!$A$6:$AE$77,58,)="High RoB","-",IF(HLOOKUP($A8,PROBAST!$A$6:$AE$77,58,)="Unclear","?",""))),"")</f>
        <v>+</v>
      </c>
      <c r="S8" s="139"/>
      <c r="T8" s="139"/>
      <c r="U8" s="139"/>
      <c r="V8" s="139"/>
      <c r="W8" s="139"/>
    </row>
    <row r="9" spans="1:23" ht="22.5" customHeight="1" thickBot="1" x14ac:dyDescent="0.25">
      <c r="A9" s="375"/>
      <c r="B9" s="377"/>
      <c r="C9" s="370"/>
      <c r="D9" s="374"/>
      <c r="E9" s="370"/>
      <c r="F9" s="370"/>
      <c r="G9" s="370"/>
      <c r="H9" s="372"/>
      <c r="I9" s="370"/>
      <c r="J9" s="370"/>
      <c r="K9" s="379"/>
      <c r="L9" s="372"/>
      <c r="M9" s="372"/>
      <c r="N9" s="141" t="s">
        <v>26</v>
      </c>
      <c r="O9" s="142" t="str">
        <f>_xlfn.IFNA(IF(HLOOKUP($A8,PROBAST!$A$6:$AE$77,12,)="Low concern","+",IF(HLOOKUP($A8,PROBAST!$A$6:$AE$77,12,)="High concern","-",IF(HLOOKUP($A8,PROBAST!$A$6:$AE$77,12,)="Unclear","?",""))),"")</f>
        <v>+</v>
      </c>
      <c r="P9" s="142" t="str">
        <f>_xlfn.IFNA(IF(HLOOKUP($A8,PROBAST!$A$6:$AE$77,26,)="Low concern","+",IF(HLOOKUP($A8,PROBAST!$A$6:$AE$77,26,)="High concern","-",IF(HLOOKUP($A8,PROBAST!$A$6:$AE$77,26,)="Unclear","?",""))),"")</f>
        <v>+</v>
      </c>
      <c r="Q9" s="142" t="str">
        <f>_xlfn.IFNA(IF(HLOOKUP($A8,PROBAST!$A$6:$AE$77,40,)="Low concern","+",IF(HLOOKUP($A8,PROBAST!$A$6:$AE$77,40,)="High concern","-",IF(HLOOKUP($A8,PROBAST!$A$6:$AE$77,40,)="Unclear","?",""))),"")</f>
        <v>+</v>
      </c>
      <c r="R9" s="143"/>
    </row>
    <row r="10" spans="1:23" s="140" customFormat="1" ht="22.5" customHeight="1" x14ac:dyDescent="0.2">
      <c r="A10" s="375" t="str">
        <f>CHARMS!L$6</f>
        <v>3 - Esra, Rachel, 2023</v>
      </c>
      <c r="B10" s="376" t="str">
        <f>HLOOKUP($A10,CHARMS!$A$6:$CQ$89,1,)</f>
        <v>3 - Esra, Rachel, 2023</v>
      </c>
      <c r="C10" s="369" t="str">
        <f>IF($A10="","",HLOOKUP($A10,CHARMS!$A$6:$CQ$89,48,))</f>
        <v>CatBoost</v>
      </c>
      <c r="D10" s="373">
        <f>IF($A10="","",IF(HLOOKUP($A10,CHARMS!$A$6:$CQ$89,40,)=0,"Unkown",HLOOKUP($A10,CHARMS!$A$6:$CQ$89,40,)))</f>
        <v>136082</v>
      </c>
      <c r="E10" s="369" t="str">
        <f>IF($A10="","",IF(HLOOKUP($A10,CHARMS!$A$6:$CQ$89,40,)=0,"Unkown",CONCATENATE(HLOOKUP($A10,CHARMS!$A$6:$CQ$89,41,)," (",FIXED((HLOOKUP($A10,CHARMS!$A$6:$CQ$89,41,)/HLOOKUP($A10,CHARMS!$A$6:$CQ$89,40,))*100,1),")")))</f>
        <v>35985 (26.4)</v>
      </c>
      <c r="F10" s="369">
        <f>IF($A10="","",IF(HLOOKUP($A10,CHARMS!$A$6:$CQ$89,33,)=0,"Unkown",HLOOKUP($A10,CHARMS!$A$6:$CQ$89,33,)))</f>
        <v>13</v>
      </c>
      <c r="G10" s="369">
        <f>IF($A10="","",HLOOKUP($A10,CHARMS!$A$6:$CQ$89,79,))</f>
        <v>13</v>
      </c>
      <c r="H10" s="371">
        <f>IF($A10="","",HLOOKUP($A10,CHARMS!$A$6:$CQ$89,43,))</f>
        <v>2768.0769230769229</v>
      </c>
      <c r="I10" s="369" t="str">
        <f>IF($A10="","",HLOOKUP($A10,CHARMS!$A$6:$CQ$89,49,))</f>
        <v>Based on prior knowledge</v>
      </c>
      <c r="J10" s="369" t="str">
        <f>IF($A10="","",HLOOKUP($A10,CHARMS!$A$6:$CQ$89,50,))</f>
        <v>Recursive feature elimination</v>
      </c>
      <c r="K10" s="369" t="str">
        <f>CONCATENATE(IF($A10="","",IF(OR(HLOOKUP($A10,CHARMS!$A$6:$CQ$89,40,)=0,ISTEXT(HLOOKUP($A10,CHARMS!$A$6:$CQ$89,45,))),"n (%): Unkown",CONCATENATE("n (%): ",HLOOKUP($A10,CHARMS!$A$6:$CQ$89,45,)," (",FIXED((HLOOKUP($A10,CHARMS!$A$6:$CQ$89,45,)/HLOOKUP($A10,CHARMS!$A$6:$CQ$89,40,))*100,1),")"))),CHAR(10),IF($A10="","",CONCATENATE("Method: ",HLOOKUP($A10,CHARMS!$A$6:$CQ$89,46,))))</f>
        <v>n (%): 1509 (1.1)
Method: Single imputation</v>
      </c>
      <c r="L10" s="371" t="str">
        <f>IF($A10="","",CONCATENATE("Int: ",HLOOKUP($A10,CHARMS!$A$6:$CQ$89,75,),CHAR(10),"Ext : ",HLOOKUP($A10,CHARMS!$A$6:$CQ$89,76,)))</f>
        <v>Int: Random split data
Ext : Different setting</v>
      </c>
      <c r="M10" s="371" t="str">
        <f>IF($A10="","",CONCATENATE("Cal: ",HLOOKUP($A10,CHARMS!$A$6:$CQ$89,53,),CHAR(10),"Disc : ",HLOOKUP($A10,CHARMS!$A$6:$CQ$89,59,),CHAR(10),"Ov: ",HLOOKUP($A10,CHARMS!$A$6:$CQ$89,66,)))</f>
        <v>Cal: F1 Core (0.299, 0.297 - 0.301)
Disc : C-Statistic / AUC graph / Sensitivity (0.646, 0.642 - 0.649),  specificity (0.646, 0.645 - 0.648), ppv (0.195, 0.193 - 0.196), npv (0.932, 0.931 - 0.933)
Ov: Not evaluated</v>
      </c>
      <c r="N10" s="136" t="s">
        <v>27</v>
      </c>
      <c r="O10" s="137" t="str">
        <f>_xlfn.IFNA(IF(HLOOKUP($A10,PROBAST!$A$6:$AE$77,11,)="Low RoB","+",IF(HLOOKUP($A10,PROBAST!$A$6:$AE$77,11,)="High RoB","-",IF(HLOOKUP($A10,PROBAST!$A$6:$AE$77,11,)="Unclear","?",""))),"")</f>
        <v>+</v>
      </c>
      <c r="P10" s="137" t="str">
        <f>_xlfn.IFNA(IF(HLOOKUP($A10,PROBAST!$A$6:$AE$77,25,)="Low RoB","+",IF(HLOOKUP($A10,PROBAST!$A$6:$AE$77,25,)="High RoB","-",IF(HLOOKUP($A10,PROBAST!$A$6:$AE$77,25,)="Unclear","?",""))),"")</f>
        <v>+</v>
      </c>
      <c r="Q10" s="137" t="str">
        <f>_xlfn.IFNA(IF(HLOOKUP($A10,PROBAST!$A$6:$AE$77,39,)="Low RoB","+",IF(HLOOKUP($A10,PROBAST!$A$6:$AE$77,39,)="High RoB","-",IF(HLOOKUP($A10,PROBAST!$A$6:$AE$77,39,)="Unclear","?",""))),"")</f>
        <v>+</v>
      </c>
      <c r="R10" s="138" t="str">
        <f>_xlfn.IFNA(IF(HLOOKUP($A10,PROBAST!$A$6:$AE$77,58,)="Low RoB","+",IF(HLOOKUP($A10,PROBAST!$A$6:$AE$77,58,)="High RoB","-",IF(HLOOKUP($A10,PROBAST!$A$6:$AE$77,58,)="Unclear","?",""))),"")</f>
        <v>+</v>
      </c>
      <c r="S10" s="139"/>
      <c r="T10" s="139"/>
      <c r="U10" s="139"/>
      <c r="V10" s="139"/>
      <c r="W10" s="139"/>
    </row>
    <row r="11" spans="1:23" ht="22.5" customHeight="1" thickBot="1" x14ac:dyDescent="0.25">
      <c r="A11" s="375"/>
      <c r="B11" s="377"/>
      <c r="C11" s="370"/>
      <c r="D11" s="374"/>
      <c r="E11" s="370"/>
      <c r="F11" s="370"/>
      <c r="G11" s="370"/>
      <c r="H11" s="372"/>
      <c r="I11" s="370"/>
      <c r="J11" s="370"/>
      <c r="K11" s="379"/>
      <c r="L11" s="372"/>
      <c r="M11" s="372"/>
      <c r="N11" s="141" t="s">
        <v>26</v>
      </c>
      <c r="O11" s="142" t="str">
        <f>_xlfn.IFNA(IF(HLOOKUP($A10,PROBAST!$A$6:$AE$77,12,)="Low concern","+",IF(HLOOKUP($A10,PROBAST!$A$6:$AE$77,12,)="High concern","-",IF(HLOOKUP($A10,PROBAST!$A$6:$AE$77,12,)="Unclear","?",""))),"")</f>
        <v>+</v>
      </c>
      <c r="P11" s="142" t="str">
        <f>_xlfn.IFNA(IF(HLOOKUP($A10,PROBAST!$A$6:$AE$77,26,)="Low concern","+",IF(HLOOKUP($A10,PROBAST!$A$6:$AE$77,26,)="High concern","-",IF(HLOOKUP($A10,PROBAST!$A$6:$AE$77,26,)="Unclear","?",""))),"")</f>
        <v>+</v>
      </c>
      <c r="Q11" s="142" t="str">
        <f>_xlfn.IFNA(IF(HLOOKUP($A10,PROBAST!$A$6:$AE$77,40,)="Low concern","+",IF(HLOOKUP($A10,PROBAST!$A$6:$AE$77,40,)="High concern","-",IF(HLOOKUP($A10,PROBAST!$A$6:$AE$77,40,)="Unclear","?",""))),"")</f>
        <v>+</v>
      </c>
      <c r="R11" s="143"/>
    </row>
    <row r="12" spans="1:23" s="140" customFormat="1" ht="22.5" customHeight="1" x14ac:dyDescent="0.2">
      <c r="A12" s="375" t="str">
        <f>CHARMS!O$6</f>
        <v>4 - Stockman, Jeni , 2022</v>
      </c>
      <c r="B12" s="376" t="str">
        <f>HLOOKUP($A12,CHARMS!$A$6:$CQ$89,1,)</f>
        <v>4 - Stockman, Jeni , 2022</v>
      </c>
      <c r="C12" s="369" t="str">
        <f>IF($A12="","",HLOOKUP($A12,CHARMS!$A$6:$CQ$89,48,))</f>
        <v>Random Forest</v>
      </c>
      <c r="D12" s="373">
        <f>IF($A12="","",IF(HLOOKUP($A12,CHARMS!$A$6:$CQ$89,40,)=0,"Unkown",HLOOKUP($A12,CHARMS!$A$6:$CQ$89,40,)))</f>
        <v>360000</v>
      </c>
      <c r="E12" s="369" t="e">
        <f>IF($A12="","",IF(HLOOKUP($A12,CHARMS!$A$6:$CQ$89,40,)=0,"Unkown",CONCATENATE(HLOOKUP($A12,CHARMS!$A$6:$CQ$89,41,)," (",FIXED((HLOOKUP($A12,CHARMS!$A$6:$CQ$89,41,)/HLOOKUP($A12,CHARMS!$A$6:$CQ$89,40,))*100,1),")")))</f>
        <v>#VALUE!</v>
      </c>
      <c r="F12" s="369">
        <f>IF($A12="","",IF(HLOOKUP($A12,CHARMS!$A$6:$CQ$89,33,)=0,"Unkown",HLOOKUP($A12,CHARMS!$A$6:$CQ$89,33,)))</f>
        <v>70</v>
      </c>
      <c r="G12" s="369">
        <f>IF($A12="","",HLOOKUP($A12,CHARMS!$A$6:$CQ$89,79,))</f>
        <v>12</v>
      </c>
      <c r="H12" s="371" t="str">
        <f>IF($A12="","",HLOOKUP($A12,CHARMS!$A$6:$CQ$89,43,))</f>
        <v>Unknown</v>
      </c>
      <c r="I12" s="369" t="str">
        <f>IF($A12="","",HLOOKUP($A12,CHARMS!$A$6:$CQ$89,49,))</f>
        <v>Other</v>
      </c>
      <c r="J12" s="369" t="str">
        <f>IF($A12="","",HLOOKUP($A12,CHARMS!$A$6:$CQ$89,50,))</f>
        <v>No information</v>
      </c>
      <c r="K12" s="369" t="str">
        <f>CONCATENATE(IF($A12="","",IF(OR(HLOOKUP($A12,CHARMS!$A$6:$CQ$89,40,)=0,ISTEXT(HLOOKUP($A12,CHARMS!$A$6:$CQ$89,45,))),"n (%): Unkown",CONCATENATE("n (%): ",HLOOKUP($A12,CHARMS!$A$6:$CQ$89,45,)," (",FIXED((HLOOKUP($A12,CHARMS!$A$6:$CQ$89,45,)/HLOOKUP($A12,CHARMS!$A$6:$CQ$89,40,))*100,1),")"))),CHAR(10),IF($A12="","",CONCATENATE("Method: ",HLOOKUP($A12,CHARMS!$A$6:$CQ$89,46,))))</f>
        <v>n (%): Unkown
Method: Missing values excluded in analysis</v>
      </c>
      <c r="L12" s="371" t="str">
        <f>IF($A12="","",CONCATENATE("Int: ",HLOOKUP($A12,CHARMS!$A$6:$CQ$89,75,),CHAR(10),"Ext : ",HLOOKUP($A12,CHARMS!$A$6:$CQ$89,76,)))</f>
        <v>Int: Cross-validation
Ext : No information</v>
      </c>
      <c r="M12" s="371" t="str">
        <f>IF($A12="","",CONCATENATE("Cal: ",HLOOKUP($A12,CHARMS!$A$6:$CQ$89,53,),CHAR(10),"Disc : ",HLOOKUP($A12,CHARMS!$A$6:$CQ$89,59,),CHAR(10),"Ov: ",HLOOKUP($A12,CHARMS!$A$6:$CQ$89,66,)))</f>
        <v>Cal: Not evaluated
Disc : C-Statistic / AUC-PR, MCC (0.45)
Ov: Not evaluated</v>
      </c>
      <c r="N12" s="136" t="s">
        <v>27</v>
      </c>
      <c r="O12" s="137" t="str">
        <f>_xlfn.IFNA(IF(HLOOKUP($A12,PROBAST!$A$6:$AE$77,11,)="Low RoB","+",IF(HLOOKUP($A12,PROBAST!$A$6:$AE$77,11,)="High RoB","-",IF(HLOOKUP($A12,PROBAST!$A$6:$AE$77,11,)="Unclear","?",""))),"")</f>
        <v>+</v>
      </c>
      <c r="P12" s="137" t="str">
        <f>_xlfn.IFNA(IF(HLOOKUP($A12,PROBAST!$A$6:$AE$77,25,)="Low RoB","+",IF(HLOOKUP($A12,PROBAST!$A$6:$AE$77,25,)="High RoB","-",IF(HLOOKUP($A12,PROBAST!$A$6:$AE$77,25,)="Unclear","?",""))),"")</f>
        <v>+</v>
      </c>
      <c r="Q12" s="137" t="str">
        <f>_xlfn.IFNA(IF(HLOOKUP($A12,PROBAST!$A$6:$AE$77,39,)="Low RoB","+",IF(HLOOKUP($A12,PROBAST!$A$6:$AE$77,39,)="High RoB","-",IF(HLOOKUP($A12,PROBAST!$A$6:$AE$77,39,)="Unclear","?",""))),"")</f>
        <v>+</v>
      </c>
      <c r="R12" s="138" t="str">
        <f>_xlfn.IFNA(IF(HLOOKUP($A12,PROBAST!$A$6:$AE$77,58,)="Low RoB","+",IF(HLOOKUP($A12,PROBAST!$A$6:$AE$77,58,)="High RoB","-",IF(HLOOKUP($A12,PROBAST!$A$6:$AE$77,58,)="Unclear","?",""))),"")</f>
        <v>-</v>
      </c>
      <c r="S12" s="139"/>
      <c r="T12" s="139"/>
      <c r="U12" s="139"/>
      <c r="V12" s="139"/>
      <c r="W12" s="139"/>
    </row>
    <row r="13" spans="1:23" ht="22.5" customHeight="1" thickBot="1" x14ac:dyDescent="0.25">
      <c r="A13" s="375"/>
      <c r="B13" s="377"/>
      <c r="C13" s="370"/>
      <c r="D13" s="374"/>
      <c r="E13" s="370"/>
      <c r="F13" s="370"/>
      <c r="G13" s="370"/>
      <c r="H13" s="372"/>
      <c r="I13" s="370"/>
      <c r="J13" s="370"/>
      <c r="K13" s="379"/>
      <c r="L13" s="372"/>
      <c r="M13" s="372"/>
      <c r="N13" s="141" t="s">
        <v>26</v>
      </c>
      <c r="O13" s="142" t="str">
        <f>_xlfn.IFNA(IF(HLOOKUP($A12,PROBAST!$A$6:$AE$77,12,)="Low concern","+",IF(HLOOKUP($A12,PROBAST!$A$6:$AE$77,12,)="High concern","-",IF(HLOOKUP($A12,PROBAST!$A$6:$AE$77,12,)="Unclear","?",""))),"")</f>
        <v>+</v>
      </c>
      <c r="P13" s="142" t="str">
        <f>_xlfn.IFNA(IF(HLOOKUP($A12,PROBAST!$A$6:$AE$77,26,)="Low concern","+",IF(HLOOKUP($A12,PROBAST!$A$6:$AE$77,26,)="High concern","-",IF(HLOOKUP($A12,PROBAST!$A$6:$AE$77,26,)="Unclear","?",""))),"")</f>
        <v>+</v>
      </c>
      <c r="Q13" s="142" t="str">
        <f>_xlfn.IFNA(IF(HLOOKUP($A12,PROBAST!$A$6:$AE$77,40,)="Low concern","+",IF(HLOOKUP($A12,PROBAST!$A$6:$AE$77,40,)="High concern","-",IF(HLOOKUP($A12,PROBAST!$A$6:$AE$77,40,)="Unclear","?",""))),"")</f>
        <v>+</v>
      </c>
      <c r="R13" s="143"/>
      <c r="V13" s="139"/>
    </row>
    <row r="14" spans="1:23" s="140" customFormat="1" ht="22.5" customHeight="1" x14ac:dyDescent="0.2">
      <c r="A14" s="375" t="str">
        <f>CHARMS!R$6</f>
        <v>5 - Stockman, Jeni , 2022</v>
      </c>
      <c r="B14" s="376" t="str">
        <f>HLOOKUP($A14,CHARMS!$A$6:$CQ$89,1,)</f>
        <v>5 - Stockman, Jeni , 2022</v>
      </c>
      <c r="C14" s="369" t="str">
        <f>IF($A14="","",HLOOKUP($A14,CHARMS!$A$6:$CQ$89,48,))</f>
        <v>XGBoost</v>
      </c>
      <c r="D14" s="373">
        <f>IF($A14="","",IF(HLOOKUP($A14,CHARMS!$A$6:$CQ$89,40,)=0,"Unkown",HLOOKUP($A14,CHARMS!$A$6:$CQ$89,40,)))</f>
        <v>450000</v>
      </c>
      <c r="E14" s="369" t="e">
        <f>IF($A14="","",IF(HLOOKUP($A14,CHARMS!$A$6:$CQ$89,40,)=0,"Unkown",CONCATENATE(HLOOKUP($A14,CHARMS!$A$6:$CQ$89,41,)," (",FIXED((HLOOKUP($A14,CHARMS!$A$6:$CQ$89,41,)/HLOOKUP($A14,CHARMS!$A$6:$CQ$89,40,))*100,1),")")))</f>
        <v>#VALUE!</v>
      </c>
      <c r="F14" s="369">
        <f>IF($A14="","",IF(HLOOKUP($A14,CHARMS!$A$6:$CQ$89,33,)=0,"Unkown",HLOOKUP($A14,CHARMS!$A$6:$CQ$89,33,)))</f>
        <v>70</v>
      </c>
      <c r="G14" s="369">
        <f>IF($A14="","",HLOOKUP($A14,CHARMS!$A$6:$CQ$89,79,))</f>
        <v>12</v>
      </c>
      <c r="H14" s="371" t="str">
        <f>IF($A14="","",HLOOKUP($A14,CHARMS!$A$6:$CQ$89,43,))</f>
        <v>Unknown</v>
      </c>
      <c r="I14" s="369" t="str">
        <f>IF($A14="","",HLOOKUP($A14,CHARMS!$A$6:$CQ$89,49,))</f>
        <v>Other</v>
      </c>
      <c r="J14" s="369" t="str">
        <f>IF($A14="","",HLOOKUP($A14,CHARMS!$A$6:$CQ$89,50,))</f>
        <v>No information</v>
      </c>
      <c r="K14" s="369" t="str">
        <f>CONCATENATE(IF($A14="","",IF(OR(HLOOKUP($A14,CHARMS!$A$6:$CQ$89,40,)=0,ISTEXT(HLOOKUP($A14,CHARMS!$A$6:$CQ$89,45,))),"n (%): Unkown",CONCATENATE("n (%): ",HLOOKUP($A14,CHARMS!$A$6:$CQ$89,45,)," (",FIXED((HLOOKUP($A14,CHARMS!$A$6:$CQ$89,45,)/HLOOKUP($A14,CHARMS!$A$6:$CQ$89,40,))*100,1),")"))),CHAR(10),IF($A14="","",CONCATENATE("Method: ",HLOOKUP($A14,CHARMS!$A$6:$CQ$89,46,))))</f>
        <v>n (%): Unkown
Method: Missing values excluded in analysis</v>
      </c>
      <c r="L14" s="371" t="str">
        <f>IF($A14="","",CONCATENATE("Int: ",HLOOKUP($A14,CHARMS!$A$6:$CQ$89,75,),CHAR(10),"Ext : ",HLOOKUP($A14,CHARMS!$A$6:$CQ$89,76,)))</f>
        <v>Int: Temporal cross-validation
Ext : No information</v>
      </c>
      <c r="M14" s="371" t="str">
        <f>IF($A14="","",CONCATENATE("Cal: ",HLOOKUP($A14,CHARMS!$A$6:$CQ$89,53,),CHAR(10),"Disc : ",HLOOKUP($A14,CHARMS!$A$6:$CQ$89,59,),CHAR(10),"Ov: ",HLOOKUP($A14,CHARMS!$A$6:$CQ$89,66,)))</f>
        <v>Cal: Not evaluated
Disc : C-Statistic / AUC-PR, MCC(0.37)
Ov: Not evaluated</v>
      </c>
      <c r="N14" s="136" t="s">
        <v>27</v>
      </c>
      <c r="O14" s="137" t="str">
        <f>_xlfn.IFNA(IF(HLOOKUP($A14,PROBAST!$A$6:$AE$77,11,)="Low RoB","+",IF(HLOOKUP($A14,PROBAST!$A$6:$AE$77,11,)="High RoB","-",IF(HLOOKUP($A14,PROBAST!$A$6:$AE$77,11,)="Unclear","?",""))),"")</f>
        <v>+</v>
      </c>
      <c r="P14" s="137" t="str">
        <f>_xlfn.IFNA(IF(HLOOKUP($A14,PROBAST!$A$6:$AE$77,25,)="Low RoB","+",IF(HLOOKUP($A14,PROBAST!$A$6:$AE$77,25,)="High RoB","-",IF(HLOOKUP($A14,PROBAST!$A$6:$AE$77,25,)="Unclear","?",""))),"")</f>
        <v>+</v>
      </c>
      <c r="Q14" s="137" t="str">
        <f>_xlfn.IFNA(IF(HLOOKUP($A14,PROBAST!$A$6:$AE$77,39,)="Low RoB","+",IF(HLOOKUP($A14,PROBAST!$A$6:$AE$77,39,)="High RoB","-",IF(HLOOKUP($A14,PROBAST!$A$6:$AE$77,39,)="Unclear","?",""))),"")</f>
        <v>+</v>
      </c>
      <c r="R14" s="138" t="str">
        <f>_xlfn.IFNA(IF(HLOOKUP($A14,PROBAST!$A$6:$AE$77,58,)="Low RoB","+",IF(HLOOKUP($A14,PROBAST!$A$6:$AE$77,58,)="High RoB","-",IF(HLOOKUP($A14,PROBAST!$A$6:$AE$77,58,)="Unclear","?",""))),"")</f>
        <v>-</v>
      </c>
      <c r="S14" s="139"/>
      <c r="T14" s="139"/>
      <c r="U14" s="139"/>
      <c r="V14" s="139"/>
      <c r="W14" s="139"/>
    </row>
    <row r="15" spans="1:23" ht="22.5" customHeight="1" thickBot="1" x14ac:dyDescent="0.25">
      <c r="A15" s="375"/>
      <c r="B15" s="377"/>
      <c r="C15" s="370"/>
      <c r="D15" s="374"/>
      <c r="E15" s="370"/>
      <c r="F15" s="370"/>
      <c r="G15" s="370"/>
      <c r="H15" s="372"/>
      <c r="I15" s="370"/>
      <c r="J15" s="370"/>
      <c r="K15" s="379"/>
      <c r="L15" s="372"/>
      <c r="M15" s="372"/>
      <c r="N15" s="141" t="s">
        <v>26</v>
      </c>
      <c r="O15" s="142" t="str">
        <f>_xlfn.IFNA(IF(HLOOKUP($A14,PROBAST!$A$6:$AE$77,12,)="Low concern","+",IF(HLOOKUP($A14,PROBAST!$A$6:$AE$77,12,)="High concern","-",IF(HLOOKUP($A14,PROBAST!$A$6:$AE$77,12,)="Unclear","?",""))),"")</f>
        <v>+</v>
      </c>
      <c r="P15" s="142" t="str">
        <f>_xlfn.IFNA(IF(HLOOKUP($A14,PROBAST!$A$6:$AE$77,26,)="Low concern","+",IF(HLOOKUP($A14,PROBAST!$A$6:$AE$77,26,)="High concern","-",IF(HLOOKUP($A14,PROBAST!$A$6:$AE$77,26,)="Unclear","?",""))),"")</f>
        <v>+</v>
      </c>
      <c r="Q15" s="142" t="str">
        <f>_xlfn.IFNA(IF(HLOOKUP($A14,PROBAST!$A$6:$AE$77,40,)="Low concern","+",IF(HLOOKUP($A14,PROBAST!$A$6:$AE$77,40,)="High concern","-",IF(HLOOKUP($A14,PROBAST!$A$6:$AE$77,40,)="Unclear","?",""))),"")</f>
        <v>+</v>
      </c>
      <c r="R15" s="143"/>
    </row>
    <row r="16" spans="1:23" s="140" customFormat="1" ht="22.5" customHeight="1" x14ac:dyDescent="0.2">
      <c r="A16" s="375" t="str">
        <f>CHARMS!U$6</f>
        <v>6 - Arthi, Ramachandran, 2020</v>
      </c>
      <c r="B16" s="376" t="str">
        <f>HLOOKUP($A16,CHARMS!$A$6:$CQ$89,1,)</f>
        <v>6 - Arthi, Ramachandran, 2020</v>
      </c>
      <c r="C16" s="369" t="str">
        <f>IF($A16="","",HLOOKUP($A16,CHARMS!$A$6:$CQ$89,48,))</f>
        <v>Random Forest</v>
      </c>
      <c r="D16" s="373">
        <f>IF($A16="","",IF(HLOOKUP($A16,CHARMS!$A$6:$CQ$89,40,)=0,"Unkown",HLOOKUP($A16,CHARMS!$A$6:$CQ$89,40,)))</f>
        <v>11445</v>
      </c>
      <c r="E16" s="369" t="str">
        <f>IF($A16="","",IF(HLOOKUP($A16,CHARMS!$A$6:$CQ$89,40,)=0,"Unkown",CONCATENATE(HLOOKUP($A16,CHARMS!$A$6:$CQ$89,41,)," (",FIXED((HLOOKUP($A16,CHARMS!$A$6:$CQ$89,41,)/HLOOKUP($A16,CHARMS!$A$6:$CQ$89,40,))*100,1),")")))</f>
        <v>1373 (12.0)</v>
      </c>
      <c r="F16" s="369">
        <f>IF($A16="","",IF(HLOOKUP($A16,CHARMS!$A$6:$CQ$89,33,)=0,"Unkown",HLOOKUP($A16,CHARMS!$A$6:$CQ$89,33,)))</f>
        <v>1000</v>
      </c>
      <c r="G16" s="369">
        <f>IF($A16="","",HLOOKUP($A16,CHARMS!$A$6:$CQ$89,79,))</f>
        <v>20</v>
      </c>
      <c r="H16" s="371">
        <f>IF($A16="","",HLOOKUP($A16,CHARMS!$A$6:$CQ$89,43,))</f>
        <v>1.373</v>
      </c>
      <c r="I16" s="369" t="str">
        <f>IF($A16="","",HLOOKUP($A16,CHARMS!$A$6:$CQ$89,49,))</f>
        <v>Based on prior knowledge</v>
      </c>
      <c r="J16" s="369" t="str">
        <f>IF($A16="","",HLOOKUP($A16,CHARMS!$A$6:$CQ$89,50,))</f>
        <v>Other</v>
      </c>
      <c r="K16" s="369" t="str">
        <f>CONCATENATE(IF($A16="","",IF(OR(HLOOKUP($A16,CHARMS!$A$6:$CQ$89,40,)=0,ISTEXT(HLOOKUP($A16,CHARMS!$A$6:$CQ$89,45,))),"n (%): Unkown",CONCATENATE("n (%): ",HLOOKUP($A16,CHARMS!$A$6:$CQ$89,45,)," (",FIXED((HLOOKUP($A16,CHARMS!$A$6:$CQ$89,45,)/HLOOKUP($A16,CHARMS!$A$6:$CQ$89,40,))*100,1),")"))),CHAR(10),IF($A16="","",CONCATENATE("Method: ",HLOOKUP($A16,CHARMS!$A$6:$CQ$89,46,))))</f>
        <v>n (%): Unkown
Method: Single imputation</v>
      </c>
      <c r="L16" s="371" t="str">
        <f>IF($A16="","",CONCATENATE("Int: ",HLOOKUP($A16,CHARMS!$A$6:$CQ$89,75,),CHAR(10),"Ext : ",HLOOKUP($A16,CHARMS!$A$6:$CQ$89,76,)))</f>
        <v>Int: Temporal cross-validation
Ext : No information</v>
      </c>
      <c r="M16" s="371" t="str">
        <f>IF($A16="","",CONCATENATE("Cal: ",HLOOKUP($A16,CHARMS!$A$6:$CQ$89,53,),CHAR(10),"Disc : ",HLOOKUP($A16,CHARMS!$A$6:$CQ$89,59,),CHAR(10),"Ov: ",HLOOKUP($A16,CHARMS!$A$6:$CQ$89,66,)))</f>
        <v>Cal: Not evaluated
Disc : PPV (24.5, SD = 0.01)
Ov: Not evaluated</v>
      </c>
      <c r="N16" s="136" t="s">
        <v>27</v>
      </c>
      <c r="O16" s="137" t="str">
        <f>_xlfn.IFNA(IF(HLOOKUP($A16,PROBAST!$A$6:$AE$77,11,)="Low RoB","+",IF(HLOOKUP($A16,PROBAST!$A$6:$AE$77,11,)="High RoB","-",IF(HLOOKUP($A16,PROBAST!$A$6:$AE$77,11,)="Unclear","?",""))),"")</f>
        <v>+</v>
      </c>
      <c r="P16" s="137" t="str">
        <f>_xlfn.IFNA(IF(HLOOKUP($A16,PROBAST!$A$6:$AE$77,25,)="Low RoB","+",IF(HLOOKUP($A16,PROBAST!$A$6:$AE$77,25,)="High RoB","-",IF(HLOOKUP($A16,PROBAST!$A$6:$AE$77,25,)="Unclear","?",""))),"")</f>
        <v>+</v>
      </c>
      <c r="Q16" s="137" t="str">
        <f>_xlfn.IFNA(IF(HLOOKUP($A16,PROBAST!$A$6:$AE$77,39,)="Low RoB","+",IF(HLOOKUP($A16,PROBAST!$A$6:$AE$77,39,)="High RoB","-",IF(HLOOKUP($A16,PROBAST!$A$6:$AE$77,39,)="Unclear","?",""))),"")</f>
        <v>+</v>
      </c>
      <c r="R16" s="138" t="str">
        <f>_xlfn.IFNA(IF(HLOOKUP($A16,PROBAST!$A$6:$AE$77,58,)="Low RoB","+",IF(HLOOKUP($A16,PROBAST!$A$6:$AE$77,58,)="High RoB","-",IF(HLOOKUP($A16,PROBAST!$A$6:$AE$77,58,)="Unclear","?",""))),"")</f>
        <v>?</v>
      </c>
      <c r="S16" s="139"/>
      <c r="T16" s="139"/>
      <c r="U16" s="139"/>
      <c r="V16" s="139"/>
      <c r="W16" s="139"/>
    </row>
    <row r="17" spans="1:23" ht="22.5" customHeight="1" thickBot="1" x14ac:dyDescent="0.25">
      <c r="A17" s="375"/>
      <c r="B17" s="377"/>
      <c r="C17" s="370"/>
      <c r="D17" s="374"/>
      <c r="E17" s="370"/>
      <c r="F17" s="370"/>
      <c r="G17" s="370"/>
      <c r="H17" s="372"/>
      <c r="I17" s="370"/>
      <c r="J17" s="370"/>
      <c r="K17" s="379"/>
      <c r="L17" s="372"/>
      <c r="M17" s="372"/>
      <c r="N17" s="141" t="s">
        <v>26</v>
      </c>
      <c r="O17" s="142" t="str">
        <f>_xlfn.IFNA(IF(HLOOKUP($A16,PROBAST!$A$6:$AE$77,12,)="Low concern","+",IF(HLOOKUP($A16,PROBAST!$A$6:$AE$77,12,)="High concern","-",IF(HLOOKUP($A16,PROBAST!$A$6:$AE$77,12,)="Unclear","?",""))),"")</f>
        <v>+</v>
      </c>
      <c r="P17" s="142" t="str">
        <f>_xlfn.IFNA(IF(HLOOKUP($A16,PROBAST!$A$6:$AE$77,26,)="Low concern","+",IF(HLOOKUP($A16,PROBAST!$A$6:$AE$77,26,)="High concern","-",IF(HLOOKUP($A16,PROBAST!$A$6:$AE$77,26,)="Unclear","?",""))),"")</f>
        <v>+</v>
      </c>
      <c r="Q17" s="142" t="str">
        <f>_xlfn.IFNA(IF(HLOOKUP($A16,PROBAST!$A$6:$AE$77,40,)="Low concern","+",IF(HLOOKUP($A16,PROBAST!$A$6:$AE$77,40,)="High concern","-",IF(HLOOKUP($A16,PROBAST!$A$6:$AE$77,40,)="Unclear","?",""))),"")</f>
        <v>+</v>
      </c>
      <c r="R17" s="143"/>
    </row>
    <row r="18" spans="1:23" s="140" customFormat="1" ht="22.5" customHeight="1" x14ac:dyDescent="0.2">
      <c r="A18" s="375" t="str">
        <f>CHARMS!X$6</f>
        <v>7 - Arthi, Ramachandran, 2020</v>
      </c>
      <c r="B18" s="376" t="str">
        <f>HLOOKUP($A18,CHARMS!$A$6:$CQ$89,1,)</f>
        <v>7 - Arthi, Ramachandran, 2020</v>
      </c>
      <c r="C18" s="369" t="str">
        <f>IF($A18="","",HLOOKUP($A18,CHARMS!$A$6:$CQ$89,48,))</f>
        <v>Decision Trees</v>
      </c>
      <c r="D18" s="373">
        <f>IF($A18="","",IF(HLOOKUP($A18,CHARMS!$A$6:$CQ$89,40,)=0,"Unkown",HLOOKUP($A18,CHARMS!$A$6:$CQ$89,40,)))</f>
        <v>11445</v>
      </c>
      <c r="E18" s="369" t="str">
        <f>IF($A18="","",IF(HLOOKUP($A18,CHARMS!$A$6:$CQ$89,40,)=0,"Unkown",CONCATENATE(HLOOKUP($A18,CHARMS!$A$6:$CQ$89,41,)," (",FIXED((HLOOKUP($A18,CHARMS!$A$6:$CQ$89,41,)/HLOOKUP($A18,CHARMS!$A$6:$CQ$89,40,))*100,1),")")))</f>
        <v>1373 (12.0)</v>
      </c>
      <c r="F18" s="369">
        <f>IF($A18="","",IF(HLOOKUP($A18,CHARMS!$A$6:$CQ$89,33,)=0,"Unkown",HLOOKUP($A18,CHARMS!$A$6:$CQ$89,33,)))</f>
        <v>800</v>
      </c>
      <c r="G18" s="369">
        <f>IF($A18="","",HLOOKUP($A18,CHARMS!$A$6:$CQ$89,79,))</f>
        <v>20</v>
      </c>
      <c r="H18" s="371">
        <f>IF($A18="","",HLOOKUP($A18,CHARMS!$A$6:$CQ$89,43,))</f>
        <v>1.7162500000000001</v>
      </c>
      <c r="I18" s="369" t="str">
        <f>IF($A18="","",HLOOKUP($A18,CHARMS!$A$6:$CQ$89,49,))</f>
        <v>Based on prior knowledge</v>
      </c>
      <c r="J18" s="369" t="str">
        <f>IF($A18="","",HLOOKUP($A18,CHARMS!$A$6:$CQ$89,50,))</f>
        <v>Other</v>
      </c>
      <c r="K18" s="369" t="str">
        <f>CONCATENATE(IF($A18="","",IF(OR(HLOOKUP($A18,CHARMS!$A$6:$CQ$89,40,)=0,ISTEXT(HLOOKUP($A18,CHARMS!$A$6:$CQ$89,45,))),"n (%): Unkown",CONCATENATE("n (%): ",HLOOKUP($A18,CHARMS!$A$6:$CQ$89,45,)," (",FIXED((HLOOKUP($A18,CHARMS!$A$6:$CQ$89,45,)/HLOOKUP($A18,CHARMS!$A$6:$CQ$89,40,))*100,1),")"))),CHAR(10),IF($A18="","",CONCATENATE("Method: ",HLOOKUP($A18,CHARMS!$A$6:$CQ$89,46,))))</f>
        <v>n (%): Unkown
Method: Single imputation</v>
      </c>
      <c r="L18" s="371" t="str">
        <f>IF($A18="","",CONCATENATE("Int: ",HLOOKUP($A18,CHARMS!$A$6:$CQ$89,75,),CHAR(10),"Ext : ",HLOOKUP($A18,CHARMS!$A$6:$CQ$89,76,)))</f>
        <v>Int: Random split data
Ext : No information</v>
      </c>
      <c r="M18" s="371" t="str">
        <f>IF($A18="","",CONCATENATE("Cal: ",HLOOKUP($A18,CHARMS!$A$6:$CQ$89,53,),CHAR(10),"Disc : ",HLOOKUP($A18,CHARMS!$A$6:$CQ$89,59,),CHAR(10),"Ov: ",HLOOKUP($A18,CHARMS!$A$6:$CQ$89,66,)))</f>
        <v>Cal: Not evaluated
Disc : PPV (15.5, 0.04)
Ov: Not evaluated</v>
      </c>
      <c r="N18" s="136" t="s">
        <v>27</v>
      </c>
      <c r="O18" s="137" t="str">
        <f>_xlfn.IFNA(IF(HLOOKUP($A18,PROBAST!$A$6:$AE$77,11,)="Low RoB","+",IF(HLOOKUP($A18,PROBAST!$A$6:$AE$77,11,)="High RoB","-",IF(HLOOKUP($A18,PROBAST!$A$6:$AE$77,11,)="Unclear","?",""))),"")</f>
        <v>+</v>
      </c>
      <c r="P18" s="137" t="str">
        <f>_xlfn.IFNA(IF(HLOOKUP($A18,PROBAST!$A$6:$AE$77,25,)="Low RoB","+",IF(HLOOKUP($A18,PROBAST!$A$6:$AE$77,25,)="High RoB","-",IF(HLOOKUP($A18,PROBAST!$A$6:$AE$77,25,)="Unclear","?",""))),"")</f>
        <v>+</v>
      </c>
      <c r="Q18" s="137" t="str">
        <f>_xlfn.IFNA(IF(HLOOKUP($A18,PROBAST!$A$6:$AE$77,39,)="Low RoB","+",IF(HLOOKUP($A18,PROBAST!$A$6:$AE$77,39,)="High RoB","-",IF(HLOOKUP($A18,PROBAST!$A$6:$AE$77,39,)="Unclear","?",""))),"")</f>
        <v>+</v>
      </c>
      <c r="R18" s="138" t="str">
        <f>_xlfn.IFNA(IF(HLOOKUP($A18,PROBAST!$A$6:$AE$77,58,)="Low RoB","+",IF(HLOOKUP($A18,PROBAST!$A$6:$AE$77,58,)="High RoB","-",IF(HLOOKUP($A18,PROBAST!$A$6:$AE$77,58,)="Unclear","?",""))),"")</f>
        <v>-</v>
      </c>
      <c r="S18" s="139"/>
      <c r="T18" s="139"/>
      <c r="U18" s="139"/>
      <c r="V18" s="139"/>
      <c r="W18" s="139"/>
    </row>
    <row r="19" spans="1:23" ht="22.5" customHeight="1" thickBot="1" x14ac:dyDescent="0.25">
      <c r="A19" s="375"/>
      <c r="B19" s="377"/>
      <c r="C19" s="370"/>
      <c r="D19" s="374"/>
      <c r="E19" s="370"/>
      <c r="F19" s="370"/>
      <c r="G19" s="370"/>
      <c r="H19" s="372"/>
      <c r="I19" s="370"/>
      <c r="J19" s="370"/>
      <c r="K19" s="379"/>
      <c r="L19" s="372"/>
      <c r="M19" s="372"/>
      <c r="N19" s="141" t="s">
        <v>26</v>
      </c>
      <c r="O19" s="142" t="str">
        <f>_xlfn.IFNA(IF(HLOOKUP($A18,PROBAST!$A$6:$AE$77,12,)="Low concern","+",IF(HLOOKUP($A18,PROBAST!$A$6:$AE$77,12,)="High concern","-",IF(HLOOKUP($A18,PROBAST!$A$6:$AE$77,12,)="Unclear","?",""))),"")</f>
        <v>+</v>
      </c>
      <c r="P19" s="142" t="str">
        <f>_xlfn.IFNA(IF(HLOOKUP($A18,PROBAST!$A$6:$AE$77,26,)="Low concern","+",IF(HLOOKUP($A18,PROBAST!$A$6:$AE$77,26,)="High concern","-",IF(HLOOKUP($A18,PROBAST!$A$6:$AE$77,26,)="Unclear","?",""))),"")</f>
        <v>+</v>
      </c>
      <c r="Q19" s="142" t="str">
        <f>_xlfn.IFNA(IF(HLOOKUP($A18,PROBAST!$A$6:$AE$77,40,)="Low concern","+",IF(HLOOKUP($A18,PROBAST!$A$6:$AE$77,40,)="High concern","-",IF(HLOOKUP($A18,PROBAST!$A$6:$AE$77,40,)="Unclear","?",""))),"")</f>
        <v>+</v>
      </c>
      <c r="R19" s="143"/>
    </row>
    <row r="20" spans="1:23" s="140" customFormat="1" ht="22.5" customHeight="1" x14ac:dyDescent="0.2">
      <c r="A20" s="375" t="str">
        <f>CHARMS!AA$6</f>
        <v>8 - Brian W. Pence, 2018</v>
      </c>
      <c r="B20" s="376" t="str">
        <f>HLOOKUP($A20,CHARMS!$A$6:$CQ$89,1,)</f>
        <v>8 - Brian W. Pence, 2018</v>
      </c>
      <c r="C20" s="369" t="str">
        <f>IF($A20="","",HLOOKUP($A20,CHARMS!$A$6:$CQ$89,48,))</f>
        <v>Logistic regression</v>
      </c>
      <c r="D20" s="373">
        <f>IF($A20="","",IF(HLOOKUP($A20,CHARMS!$A$6:$CQ$89,40,)=0,"Unkown",HLOOKUP($A20,CHARMS!$A$6:$CQ$89,40,)))</f>
        <v>105628</v>
      </c>
      <c r="E20" s="369" t="str">
        <f>IF($A20="","",IF(HLOOKUP($A20,CHARMS!$A$6:$CQ$89,40,)=0,"Unkown",CONCATENATE(HLOOKUP($A20,CHARMS!$A$6:$CQ$89,41,)," (",FIXED((HLOOKUP($A20,CHARMS!$A$6:$CQ$89,41,)/HLOOKUP($A20,CHARMS!$A$6:$CQ$89,40,))*100,1),")")))</f>
        <v>17957 (17.0)</v>
      </c>
      <c r="F20" s="369">
        <f>IF($A20="","",IF(HLOOKUP($A20,CHARMS!$A$6:$CQ$89,33,)=0,"Unkown",HLOOKUP($A20,CHARMS!$A$6:$CQ$89,33,)))</f>
        <v>14</v>
      </c>
      <c r="G20" s="369">
        <f>IF($A20="","",HLOOKUP($A20,CHARMS!$A$6:$CQ$89,79,))</f>
        <v>14</v>
      </c>
      <c r="H20" s="371">
        <f>IF($A20="","",HLOOKUP($A20,CHARMS!$A$6:$CQ$89,43,))</f>
        <v>1282.6428571428571</v>
      </c>
      <c r="I20" s="369" t="str">
        <f>IF($A20="","",HLOOKUP($A20,CHARMS!$A$6:$CQ$89,49,))</f>
        <v>Based on prior knowledge</v>
      </c>
      <c r="J20" s="369" t="str">
        <f>IF($A20="","",HLOOKUP($A20,CHARMS!$A$6:$CQ$89,50,))</f>
        <v>Pre-specified model (not selection)</v>
      </c>
      <c r="K20" s="369" t="str">
        <f>CONCATENATE(IF($A20="","",IF(OR(HLOOKUP($A20,CHARMS!$A$6:$CQ$89,40,)=0,ISTEXT(HLOOKUP($A20,CHARMS!$A$6:$CQ$89,45,))),"n (%): Unkown",CONCATENATE("n (%): ",HLOOKUP($A20,CHARMS!$A$6:$CQ$89,45,)," (",FIXED((HLOOKUP($A20,CHARMS!$A$6:$CQ$89,45,)/HLOOKUP($A20,CHARMS!$A$6:$CQ$89,40,))*100,1),")"))),CHAR(10),IF($A20="","",CONCATENATE("Method: ",HLOOKUP($A20,CHARMS!$A$6:$CQ$89,46,))))</f>
        <v>n (%): Unkown
Method: No information</v>
      </c>
      <c r="L20" s="371" t="str">
        <f>IF($A20="","",CONCATENATE("Int: ",HLOOKUP($A20,CHARMS!$A$6:$CQ$89,75,),CHAR(10),"Ext : ",HLOOKUP($A20,CHARMS!$A$6:$CQ$89,76,)))</f>
        <v>Int: Cross-validation
Ext : No information</v>
      </c>
      <c r="M20" s="371" t="str">
        <f>IF($A20="","",CONCATENATE("Cal: ",HLOOKUP($A20,CHARMS!$A$6:$CQ$89,53,),CHAR(10),"Disc : ",HLOOKUP($A20,CHARMS!$A$6:$CQ$89,59,),CHAR(10),"Ov: ",HLOOKUP($A20,CHARMS!$A$6:$CQ$89,66,)))</f>
        <v>Cal: Not evaluated
Disc : C-Statistic / AUC graph / Sensitivity (0.74,  0.70 - 0.78), Specificity (0.54, 0.44 - 0.64)
Ov: Not evaluated</v>
      </c>
      <c r="N20" s="136" t="s">
        <v>27</v>
      </c>
      <c r="O20" s="137" t="str">
        <f>_xlfn.IFNA(IF(HLOOKUP($A20,PROBAST!$A$6:$AE$77,11,)="Low RoB","+",IF(HLOOKUP($A20,PROBAST!$A$6:$AE$77,11,)="High RoB","-",IF(HLOOKUP($A20,PROBAST!$A$6:$AE$77,11,)="Unclear","?",""))),"")</f>
        <v>-</v>
      </c>
      <c r="P20" s="137" t="str">
        <f>_xlfn.IFNA(IF(HLOOKUP($A20,PROBAST!$A$6:$AE$77,25,)="Low RoB","+",IF(HLOOKUP($A20,PROBAST!$A$6:$AE$77,25,)="High RoB","-",IF(HLOOKUP($A20,PROBAST!$A$6:$AE$77,25,)="Unclear","?",""))),"")</f>
        <v>+</v>
      </c>
      <c r="Q20" s="137" t="str">
        <f>_xlfn.IFNA(IF(HLOOKUP($A20,PROBAST!$A$6:$AE$77,39,)="Low RoB","+",IF(HLOOKUP($A20,PROBAST!$A$6:$AE$77,39,)="High RoB","-",IF(HLOOKUP($A20,PROBAST!$A$6:$AE$77,39,)="Unclear","?",""))),"")</f>
        <v>+</v>
      </c>
      <c r="R20" s="138" t="str">
        <f>_xlfn.IFNA(IF(HLOOKUP($A20,PROBAST!$A$6:$AE$77,58,)="Low RoB","+",IF(HLOOKUP($A20,PROBAST!$A$6:$AE$77,58,)="High RoB","-",IF(HLOOKUP($A20,PROBAST!$A$6:$AE$77,58,)="Unclear","?",""))),"")</f>
        <v>-</v>
      </c>
      <c r="S20" s="139"/>
      <c r="T20" s="139"/>
      <c r="U20" s="139"/>
      <c r="V20" s="139"/>
      <c r="W20" s="139"/>
    </row>
    <row r="21" spans="1:23" ht="22.5" customHeight="1" thickBot="1" x14ac:dyDescent="0.25">
      <c r="A21" s="375"/>
      <c r="B21" s="377"/>
      <c r="C21" s="370"/>
      <c r="D21" s="374"/>
      <c r="E21" s="370"/>
      <c r="F21" s="370"/>
      <c r="G21" s="370"/>
      <c r="H21" s="372"/>
      <c r="I21" s="370"/>
      <c r="J21" s="370"/>
      <c r="K21" s="379"/>
      <c r="L21" s="372"/>
      <c r="M21" s="372"/>
      <c r="N21" s="141" t="s">
        <v>26</v>
      </c>
      <c r="O21" s="142" t="str">
        <f>_xlfn.IFNA(IF(HLOOKUP($A20,PROBAST!$A$6:$AE$77,12,)="Low concern","+",IF(HLOOKUP($A20,PROBAST!$A$6:$AE$77,12,)="High concern","-",IF(HLOOKUP($A20,PROBAST!$A$6:$AE$77,12,)="Unclear","?",""))),"")</f>
        <v>-</v>
      </c>
      <c r="P21" s="142" t="str">
        <f>_xlfn.IFNA(IF(HLOOKUP($A20,PROBAST!$A$6:$AE$77,26,)="Low concern","+",IF(HLOOKUP($A20,PROBAST!$A$6:$AE$77,26,)="High concern","-",IF(HLOOKUP($A20,PROBAST!$A$6:$AE$77,26,)="Unclear","?",""))),"")</f>
        <v>+</v>
      </c>
      <c r="Q21" s="142" t="str">
        <f>_xlfn.IFNA(IF(HLOOKUP($A20,PROBAST!$A$6:$AE$77,40,)="Low concern","+",IF(HLOOKUP($A20,PROBAST!$A$6:$AE$77,40,)="High concern","-",IF(HLOOKUP($A20,PROBAST!$A$6:$AE$77,40,)="Unclear","?",""))),"")</f>
        <v>+</v>
      </c>
      <c r="R21" s="143"/>
    </row>
    <row r="22" spans="1:23" s="140" customFormat="1" ht="22.5" customHeight="1" x14ac:dyDescent="0.2">
      <c r="A22" s="375" t="str">
        <f>CHARMS!AD$6</f>
        <v>9 - Mhairi, Maskew, 2022</v>
      </c>
      <c r="B22" s="376" t="str">
        <f>HLOOKUP($A22,CHARMS!$A$6:$CQ$89,1,)</f>
        <v>9 - Mhairi, Maskew, 2022</v>
      </c>
      <c r="C22" s="369" t="str">
        <f>IF($A22="","",HLOOKUP($A22,CHARMS!$A$6:$CQ$89,48,))</f>
        <v>AdaBoost</v>
      </c>
      <c r="D22" s="373">
        <f>IF($A22="","",IF(HLOOKUP($A22,CHARMS!$A$6:$CQ$89,40,)=0,"Unkown",HLOOKUP($A22,CHARMS!$A$6:$CQ$89,40,)))</f>
        <v>1399145</v>
      </c>
      <c r="E22" s="369" t="str">
        <f>IF($A22="","",IF(HLOOKUP($A22,CHARMS!$A$6:$CQ$89,40,)=0,"Unkown",CONCATENATE(HLOOKUP($A22,CHARMS!$A$6:$CQ$89,41,)," (",FIXED((HLOOKUP($A22,CHARMS!$A$6:$CQ$89,41,)/HLOOKUP($A22,CHARMS!$A$6:$CQ$89,40,))*100,1),")")))</f>
        <v>146881 (10.5)</v>
      </c>
      <c r="F22" s="369">
        <f>IF($A22="","",IF(HLOOKUP($A22,CHARMS!$A$6:$CQ$89,33,)=0,"Unkown",HLOOKUP($A22,CHARMS!$A$6:$CQ$89,33,)))</f>
        <v>75</v>
      </c>
      <c r="G22" s="369">
        <f>IF($A22="","",HLOOKUP($A22,CHARMS!$A$6:$CQ$89,79,))</f>
        <v>20</v>
      </c>
      <c r="H22" s="371">
        <f>IF($A22="","",HLOOKUP($A22,CHARMS!$A$6:$CQ$89,43,))</f>
        <v>1958.4133333333334</v>
      </c>
      <c r="I22" s="369" t="str">
        <f>IF($A22="","",HLOOKUP($A22,CHARMS!$A$6:$CQ$89,49,))</f>
        <v>Other</v>
      </c>
      <c r="J22" s="369" t="str">
        <f>IF($A22="","",HLOOKUP($A22,CHARMS!$A$6:$CQ$89,50,))</f>
        <v>Feature selection using random forest</v>
      </c>
      <c r="K22" s="369" t="str">
        <f>CONCATENATE(IF($A22="","",IF(OR(HLOOKUP($A22,CHARMS!$A$6:$CQ$89,40,)=0,ISTEXT(HLOOKUP($A22,CHARMS!$A$6:$CQ$89,45,))),"n (%): Unkown",CONCATENATE("n (%): ",HLOOKUP($A22,CHARMS!$A$6:$CQ$89,45,)," (",FIXED((HLOOKUP($A22,CHARMS!$A$6:$CQ$89,45,)/HLOOKUP($A22,CHARMS!$A$6:$CQ$89,40,))*100,1),")"))),CHAR(10),IF($A22="","",CONCATENATE("Method: ",HLOOKUP($A22,CHARMS!$A$6:$CQ$89,46,))))</f>
        <v>n (%): Unkown
Method: Other</v>
      </c>
      <c r="L22" s="371" t="str">
        <f>IF($A22="","",CONCATENATE("Int: ",HLOOKUP($A22,CHARMS!$A$6:$CQ$89,75,),CHAR(10),"Ext : ",HLOOKUP($A22,CHARMS!$A$6:$CQ$89,76,)))</f>
        <v>Int: Random split data
Ext : No information</v>
      </c>
      <c r="M22" s="371" t="str">
        <f>IF($A22="","",CONCATENATE("Cal: ",HLOOKUP($A22,CHARMS!$A$6:$CQ$89,53,),CHAR(10),"Disc : ",HLOOKUP($A22,CHARMS!$A$6:$CQ$89,59,),CHAR(10),"Ov: ",HLOOKUP($A22,CHARMS!$A$6:$CQ$89,66,)))</f>
        <v>Cal: F1 Score (0.29)
Disc : C-Statistic / AUC graph / Accuracy (0.786), sensitivity (0.406), specificity (0.83), npv (0.92), ppv (0.22)
Ov: Not evaluated</v>
      </c>
      <c r="N22" s="136" t="s">
        <v>27</v>
      </c>
      <c r="O22" s="137" t="str">
        <f>_xlfn.IFNA(IF(HLOOKUP($A22,PROBAST!$A$6:$AE$77,11,)="Low RoB","+",IF(HLOOKUP($A22,PROBAST!$A$6:$AE$77,11,)="High RoB","-",IF(HLOOKUP($A22,PROBAST!$A$6:$AE$77,11,)="Unclear","?",""))),"")</f>
        <v>+</v>
      </c>
      <c r="P22" s="137" t="str">
        <f>_xlfn.IFNA(IF(HLOOKUP($A22,PROBAST!$A$6:$AE$77,25,)="Low RoB","+",IF(HLOOKUP($A22,PROBAST!$A$6:$AE$77,25,)="High RoB","-",IF(HLOOKUP($A22,PROBAST!$A$6:$AE$77,25,)="Unclear","?",""))),"")</f>
        <v>+</v>
      </c>
      <c r="Q22" s="137" t="str">
        <f>_xlfn.IFNA(IF(HLOOKUP($A22,PROBAST!$A$6:$AE$77,39,)="Low RoB","+",IF(HLOOKUP($A22,PROBAST!$A$6:$AE$77,39,)="High RoB","-",IF(HLOOKUP($A22,PROBAST!$A$6:$AE$77,39,)="Unclear","?",""))),"")</f>
        <v>+</v>
      </c>
      <c r="R22" s="138" t="str">
        <f>_xlfn.IFNA(IF(HLOOKUP($A22,PROBAST!$A$6:$AE$77,58,)="Low RoB","+",IF(HLOOKUP($A22,PROBAST!$A$6:$AE$77,58,)="High RoB","-",IF(HLOOKUP($A22,PROBAST!$A$6:$AE$77,58,)="Unclear","?",""))),"")</f>
        <v>-</v>
      </c>
      <c r="S22" s="139"/>
      <c r="T22" s="139"/>
      <c r="U22" s="139"/>
      <c r="V22" s="139"/>
      <c r="W22" s="139"/>
    </row>
    <row r="23" spans="1:23" ht="22.5" customHeight="1" thickBot="1" x14ac:dyDescent="0.25">
      <c r="A23" s="375"/>
      <c r="B23" s="377"/>
      <c r="C23" s="370"/>
      <c r="D23" s="374"/>
      <c r="E23" s="370"/>
      <c r="F23" s="370"/>
      <c r="G23" s="370"/>
      <c r="H23" s="372"/>
      <c r="I23" s="370"/>
      <c r="J23" s="370"/>
      <c r="K23" s="379"/>
      <c r="L23" s="372"/>
      <c r="M23" s="372"/>
      <c r="N23" s="141" t="s">
        <v>26</v>
      </c>
      <c r="O23" s="142" t="str">
        <f>_xlfn.IFNA(IF(HLOOKUP($A22,PROBAST!$A$6:$AE$77,12,)="Low concern","+",IF(HLOOKUP($A22,PROBAST!$A$6:$AE$77,12,)="High concern","-",IF(HLOOKUP($A22,PROBAST!$A$6:$AE$77,12,)="Unclear","?",""))),"")</f>
        <v>+</v>
      </c>
      <c r="P23" s="142" t="str">
        <f>_xlfn.IFNA(IF(HLOOKUP($A22,PROBAST!$A$6:$AE$77,26,)="Low concern","+",IF(HLOOKUP($A22,PROBAST!$A$6:$AE$77,26,)="High concern","-",IF(HLOOKUP($A22,PROBAST!$A$6:$AE$77,26,)="Unclear","?",""))),"")</f>
        <v>+</v>
      </c>
      <c r="Q23" s="142" t="str">
        <f>_xlfn.IFNA(IF(HLOOKUP($A22,PROBAST!$A$6:$AE$77,40,)="Low concern","+",IF(HLOOKUP($A22,PROBAST!$A$6:$AE$77,40,)="High concern","-",IF(HLOOKUP($A22,PROBAST!$A$6:$AE$77,40,)="Unclear","?",""))),"")</f>
        <v>+</v>
      </c>
      <c r="R23" s="143"/>
    </row>
    <row r="24" spans="1:23" s="140" customFormat="1" ht="22.5" customHeight="1" x14ac:dyDescent="0.2">
      <c r="A24" s="375" t="str">
        <f>CHARMS!AG$6</f>
        <v>10 - Mhairi, Maskew, 2024</v>
      </c>
      <c r="B24" s="376" t="str">
        <f>HLOOKUP($A24,CHARMS!$A$6:$CQ$89,1,)</f>
        <v>10 - Mhairi, Maskew, 2024</v>
      </c>
      <c r="C24" s="369" t="str">
        <f>IF($A24="","",HLOOKUP($A24,CHARMS!$A$6:$CQ$89,48,))</f>
        <v>AdaBoost</v>
      </c>
      <c r="D24" s="373">
        <f>IF($A24="","",IF(HLOOKUP($A24,CHARMS!$A$6:$CQ$89,40,)=0,"Unkown",HLOOKUP($A24,CHARMS!$A$6:$CQ$89,40,)))</f>
        <v>3264671</v>
      </c>
      <c r="E24" s="369" t="str">
        <f>IF($A24="","",IF(HLOOKUP($A24,CHARMS!$A$6:$CQ$89,40,)=0,"Unkown",CONCATENATE(HLOOKUP($A24,CHARMS!$A$6:$CQ$89,41,)," (",FIXED((HLOOKUP($A24,CHARMS!$A$6:$CQ$89,41,)/HLOOKUP($A24,CHARMS!$A$6:$CQ$89,40,))*100,1),")")))</f>
        <v>146881 (4.5)</v>
      </c>
      <c r="F24" s="369">
        <f>IF($A24="","",IF(HLOOKUP($A24,CHARMS!$A$6:$CQ$89,33,)=0,"Unkown",HLOOKUP($A24,CHARMS!$A$6:$CQ$89,33,)))</f>
        <v>11</v>
      </c>
      <c r="G24" s="369">
        <f>IF($A24="","",HLOOKUP($A24,CHARMS!$A$6:$CQ$89,79,))</f>
        <v>10</v>
      </c>
      <c r="H24" s="371">
        <f>IF($A24="","",HLOOKUP($A24,CHARMS!$A$6:$CQ$89,43,))</f>
        <v>13352.818181818182</v>
      </c>
      <c r="I24" s="369" t="str">
        <f>IF($A24="","",HLOOKUP($A24,CHARMS!$A$6:$CQ$89,49,))</f>
        <v>No information</v>
      </c>
      <c r="J24" s="369" t="str">
        <f>IF($A24="","",HLOOKUP($A24,CHARMS!$A$6:$CQ$89,50,))</f>
        <v>No information</v>
      </c>
      <c r="K24" s="369" t="str">
        <f>CONCATENATE(IF($A24="","",IF(OR(HLOOKUP($A24,CHARMS!$A$6:$CQ$89,40,)=0,ISTEXT(HLOOKUP($A24,CHARMS!$A$6:$CQ$89,45,))),"n (%): Unkown",CONCATENATE("n (%): ",HLOOKUP($A24,CHARMS!$A$6:$CQ$89,45,)," (",FIXED((HLOOKUP($A24,CHARMS!$A$6:$CQ$89,45,)/HLOOKUP($A24,CHARMS!$A$6:$CQ$89,40,))*100,1),")"))),CHAR(10),IF($A24="","",CONCATENATE("Method: ",HLOOKUP($A24,CHARMS!$A$6:$CQ$89,46,))))</f>
        <v>n (%): Unkown
Method: No information</v>
      </c>
      <c r="L24" s="371" t="str">
        <f>IF($A24="","",CONCATENATE("Int: ",HLOOKUP($A24,CHARMS!$A$6:$CQ$89,75,),CHAR(10),"Ext : ",HLOOKUP($A24,CHARMS!$A$6:$CQ$89,76,)))</f>
        <v>Int: Random split data
Ext : No information</v>
      </c>
      <c r="M24" s="371" t="str">
        <f>IF($A24="","",CONCATENATE("Cal: ",HLOOKUP($A24,CHARMS!$A$6:$CQ$89,53,),CHAR(10),"Disc : ",HLOOKUP($A24,CHARMS!$A$6:$CQ$89,59,),CHAR(10),"Ov: ",HLOOKUP($A24,CHARMS!$A$6:$CQ$89,66,)))</f>
        <v>Cal: Not evaluated
Disc : C-Statistic / Accuracy = 0.63, Specificity = 0.52, specificity =0.64, ppv = 0.19, NPV = 0.89
Ov: Not evaluated</v>
      </c>
      <c r="N24" s="136" t="s">
        <v>27</v>
      </c>
      <c r="O24" s="137" t="str">
        <f>_xlfn.IFNA(IF(HLOOKUP($A24,PROBAST!$A$6:$AE$77,11,)="Low RoB","+",IF(HLOOKUP($A24,PROBAST!$A$6:$AE$77,11,)="High RoB","-",IF(HLOOKUP($A24,PROBAST!$A$6:$AE$77,11,)="Unclear","?",""))),"")</f>
        <v>+</v>
      </c>
      <c r="P24" s="137" t="str">
        <f>_xlfn.IFNA(IF(HLOOKUP($A24,PROBAST!$A$6:$AE$77,25,)="Low RoB","+",IF(HLOOKUP($A24,PROBAST!$A$6:$AE$77,25,)="High RoB","-",IF(HLOOKUP($A24,PROBAST!$A$6:$AE$77,25,)="Unclear","?",""))),"")</f>
        <v>+</v>
      </c>
      <c r="Q24" s="137" t="str">
        <f>_xlfn.IFNA(IF(HLOOKUP($A24,PROBAST!$A$6:$AE$77,39,)="Low RoB","+",IF(HLOOKUP($A24,PROBAST!$A$6:$AE$77,39,)="High RoB","-",IF(HLOOKUP($A24,PROBAST!$A$6:$AE$77,39,)="Unclear","?",""))),"")</f>
        <v>+</v>
      </c>
      <c r="R24" s="138" t="str">
        <f>_xlfn.IFNA(IF(HLOOKUP($A24,PROBAST!$A$6:$AE$77,58,)="Low RoB","+",IF(HLOOKUP($A24,PROBAST!$A$6:$AE$77,58,)="High RoB","-",IF(HLOOKUP($A24,PROBAST!$A$6:$AE$77,58,)="Unclear","?",""))),"")</f>
        <v>-</v>
      </c>
      <c r="S24" s="139"/>
      <c r="T24" s="139"/>
      <c r="U24" s="139"/>
      <c r="V24" s="139"/>
      <c r="W24" s="139"/>
    </row>
    <row r="25" spans="1:23" ht="22.5" customHeight="1" thickBot="1" x14ac:dyDescent="0.25">
      <c r="A25" s="375"/>
      <c r="B25" s="377"/>
      <c r="C25" s="370"/>
      <c r="D25" s="374"/>
      <c r="E25" s="370"/>
      <c r="F25" s="370"/>
      <c r="G25" s="370"/>
      <c r="H25" s="372"/>
      <c r="I25" s="370"/>
      <c r="J25" s="370"/>
      <c r="K25" s="379"/>
      <c r="L25" s="372"/>
      <c r="M25" s="372"/>
      <c r="N25" s="141" t="s">
        <v>26</v>
      </c>
      <c r="O25" s="142" t="str">
        <f>_xlfn.IFNA(IF(HLOOKUP($A24,PROBAST!$A$6:$AE$77,12,)="Low concern","+",IF(HLOOKUP($A24,PROBAST!$A$6:$AE$77,12,)="High concern","-",IF(HLOOKUP($A24,PROBAST!$A$6:$AE$77,12,)="Unclear","?",""))),"")</f>
        <v>+</v>
      </c>
      <c r="P25" s="142" t="str">
        <f>_xlfn.IFNA(IF(HLOOKUP($A24,PROBAST!$A$6:$AE$77,26,)="Low concern","+",IF(HLOOKUP($A24,PROBAST!$A$6:$AE$77,26,)="High concern","-",IF(HLOOKUP($A24,PROBAST!$A$6:$AE$77,26,)="Unclear","?",""))),"")</f>
        <v>+</v>
      </c>
      <c r="Q25" s="142" t="str">
        <f>_xlfn.IFNA(IF(HLOOKUP($A24,PROBAST!$A$6:$AE$77,40,)="Low concern","+",IF(HLOOKUP($A24,PROBAST!$A$6:$AE$77,40,)="High concern","-",IF(HLOOKUP($A24,PROBAST!$A$6:$AE$77,40,)="Unclear","?",""))),"")</f>
        <v>+</v>
      </c>
      <c r="R25" s="143"/>
    </row>
    <row r="26" spans="1:23" s="140" customFormat="1" ht="22.5" customHeight="1" x14ac:dyDescent="0.2">
      <c r="A26" s="375" t="str">
        <f>CHARMS!AJ$6</f>
        <v>11 - Joseph A Mason, 2023</v>
      </c>
      <c r="B26" s="376" t="str">
        <f>HLOOKUP($A26,CHARMS!$A$6:$CQ$89,1,)</f>
        <v>11 - Joseph A Mason, 2023</v>
      </c>
      <c r="C26" s="369" t="str">
        <f>IF($A26="","",HLOOKUP($A26,CHARMS!$A$6:$CQ$89,48,))</f>
        <v>Random Forest</v>
      </c>
      <c r="D26" s="373">
        <f>IF($A26="","",IF(HLOOKUP($A26,CHARMS!$A$6:$CQ$89,40,)=0,"Unkown",HLOOKUP($A26,CHARMS!$A$6:$CQ$89,40,)))</f>
        <v>331</v>
      </c>
      <c r="E26" s="369" t="str">
        <f>IF($A26="","",IF(HLOOKUP($A26,CHARMS!$A$6:$CQ$89,40,)=0,"Unkown",CONCATENATE(HLOOKUP($A26,CHARMS!$A$6:$CQ$89,41,)," (",FIXED((HLOOKUP($A26,CHARMS!$A$6:$CQ$89,41,)/HLOOKUP($A26,CHARMS!$A$6:$CQ$89,40,))*100,1),")")))</f>
        <v>0 (0.0)</v>
      </c>
      <c r="F26" s="369">
        <f>IF($A26="","",IF(HLOOKUP($A26,CHARMS!$A$6:$CQ$89,33,)=0,"Unkown",HLOOKUP($A26,CHARMS!$A$6:$CQ$89,33,)))</f>
        <v>11</v>
      </c>
      <c r="G26" s="369">
        <f>IF($A26="","",HLOOKUP($A26,CHARMS!$A$6:$CQ$89,79,))</f>
        <v>11</v>
      </c>
      <c r="H26" s="371">
        <f>IF($A26="","",HLOOKUP($A26,CHARMS!$A$6:$CQ$89,43,))</f>
        <v>0</v>
      </c>
      <c r="I26" s="369" t="str">
        <f>IF($A26="","",HLOOKUP($A26,CHARMS!$A$6:$CQ$89,49,))</f>
        <v>Based on prior knowledge</v>
      </c>
      <c r="J26" s="369" t="str">
        <f>IF($A26="","",HLOOKUP($A26,CHARMS!$A$6:$CQ$89,50,))</f>
        <v>No information</v>
      </c>
      <c r="K26" s="369" t="str">
        <f>CONCATENATE(IF($A26="","",IF(OR(HLOOKUP($A26,CHARMS!$A$6:$CQ$89,40,)=0,ISTEXT(HLOOKUP($A26,CHARMS!$A$6:$CQ$89,45,))),"n (%): Unkown",CONCATENATE("n (%): ",HLOOKUP($A26,CHARMS!$A$6:$CQ$89,45,)," (",FIXED((HLOOKUP($A26,CHARMS!$A$6:$CQ$89,45,)/HLOOKUP($A26,CHARMS!$A$6:$CQ$89,40,))*100,1),")"))),CHAR(10),IF($A26="","",CONCATENATE("Method: ",HLOOKUP($A26,CHARMS!$A$6:$CQ$89,46,))))</f>
        <v>n (%): Unkown
Method: No information</v>
      </c>
      <c r="L26" s="371" t="str">
        <f>IF($A26="","",CONCATENATE("Int: ",HLOOKUP($A26,CHARMS!$A$6:$CQ$89,75,),CHAR(10),"Ext : ",HLOOKUP($A26,CHARMS!$A$6:$CQ$89,76,)))</f>
        <v>Int: Random split data
Ext : Different dataset and provider feedback</v>
      </c>
      <c r="M26" s="371" t="str">
        <f>IF($A26="","",CONCATENATE("Cal: ",HLOOKUP($A26,CHARMS!$A$6:$CQ$89,53,),CHAR(10),"Disc : ",HLOOKUP($A26,CHARMS!$A$6:$CQ$89,59,),CHAR(10),"Ov: ",HLOOKUP($A26,CHARMS!$A$6:$CQ$89,66,)))</f>
        <v>Cal: Not evaluated
Disc : C-Statistic / AUC graph 
Ov: Not evaluated</v>
      </c>
      <c r="N26" s="136" t="s">
        <v>27</v>
      </c>
      <c r="O26" s="137" t="str">
        <f>_xlfn.IFNA(IF(HLOOKUP($A26,PROBAST!$A$6:$AE$77,11,)="Low RoB","+",IF(HLOOKUP($A26,PROBAST!$A$6:$AE$77,11,)="High RoB","-",IF(HLOOKUP($A26,PROBAST!$A$6:$AE$77,11,)="Unclear","?",""))),"")</f>
        <v>-</v>
      </c>
      <c r="P26" s="137" t="str">
        <f>_xlfn.IFNA(IF(HLOOKUP($A26,PROBAST!$A$6:$AE$77,25,)="Low RoB","+",IF(HLOOKUP($A26,PROBAST!$A$6:$AE$77,25,)="High RoB","-",IF(HLOOKUP($A26,PROBAST!$A$6:$AE$77,25,)="Unclear","?",""))),"")</f>
        <v>+</v>
      </c>
      <c r="Q26" s="137" t="str">
        <f>_xlfn.IFNA(IF(HLOOKUP($A26,PROBAST!$A$6:$AE$77,39,)="Low RoB","+",IF(HLOOKUP($A26,PROBAST!$A$6:$AE$77,39,)="High RoB","-",IF(HLOOKUP($A26,PROBAST!$A$6:$AE$77,39,)="Unclear","?",""))),"")</f>
        <v>?</v>
      </c>
      <c r="R26" s="138" t="str">
        <f>_xlfn.IFNA(IF(HLOOKUP($A26,PROBAST!$A$6:$AE$77,58,)="Low RoB","+",IF(HLOOKUP($A26,PROBAST!$A$6:$AE$77,58,)="High RoB","-",IF(HLOOKUP($A26,PROBAST!$A$6:$AE$77,58,)="Unclear","?",""))),"")</f>
        <v>-</v>
      </c>
      <c r="S26" s="139"/>
      <c r="T26" s="139"/>
      <c r="U26" s="139"/>
      <c r="V26" s="139"/>
      <c r="W26" s="139"/>
    </row>
    <row r="27" spans="1:23" ht="22.5" customHeight="1" thickBot="1" x14ac:dyDescent="0.25">
      <c r="A27" s="375"/>
      <c r="B27" s="377"/>
      <c r="C27" s="370"/>
      <c r="D27" s="374"/>
      <c r="E27" s="370"/>
      <c r="F27" s="370"/>
      <c r="G27" s="370"/>
      <c r="H27" s="372"/>
      <c r="I27" s="370"/>
      <c r="J27" s="370"/>
      <c r="K27" s="379"/>
      <c r="L27" s="372"/>
      <c r="M27" s="372"/>
      <c r="N27" s="141" t="s">
        <v>26</v>
      </c>
      <c r="O27" s="142" t="str">
        <f>_xlfn.IFNA(IF(HLOOKUP($A26,PROBAST!$A$6:$AE$77,12,)="Low concern","+",IF(HLOOKUP($A26,PROBAST!$A$6:$AE$77,12,)="High concern","-",IF(HLOOKUP($A26,PROBAST!$A$6:$AE$77,12,)="Unclear","?",""))),"")</f>
        <v>-</v>
      </c>
      <c r="P27" s="142" t="str">
        <f>_xlfn.IFNA(IF(HLOOKUP($A26,PROBAST!$A$6:$AE$77,26,)="Low concern","+",IF(HLOOKUP($A26,PROBAST!$A$6:$AE$77,26,)="High concern","-",IF(HLOOKUP($A26,PROBAST!$A$6:$AE$77,26,)="Unclear","?",""))),"")</f>
        <v>+</v>
      </c>
      <c r="Q27" s="142" t="str">
        <f>_xlfn.IFNA(IF(HLOOKUP($A26,PROBAST!$A$6:$AE$77,40,)="Low concern","+",IF(HLOOKUP($A26,PROBAST!$A$6:$AE$77,40,)="High concern","-",IF(HLOOKUP($A26,PROBAST!$A$6:$AE$77,40,)="Unclear","?",""))),"")</f>
        <v>?</v>
      </c>
      <c r="R27" s="143"/>
    </row>
    <row r="28" spans="1:23" s="140" customFormat="1" ht="22.5" customHeight="1" x14ac:dyDescent="0.2">
      <c r="A28" s="375" t="str">
        <f>CHARMS!AM$6</f>
        <v>12 - Carolyn A Fahey, 2022</v>
      </c>
      <c r="B28" s="376" t="str">
        <f>HLOOKUP($A28,CHARMS!$A$6:$CQ$89,1,)</f>
        <v>12 - Carolyn A Fahey, 2022</v>
      </c>
      <c r="C28" s="369" t="str">
        <f>IF($A28="","",HLOOKUP($A28,CHARMS!$A$6:$CQ$89,48,))</f>
        <v>Decision Trees</v>
      </c>
      <c r="D28" s="373">
        <f>IF($A28="","",IF(HLOOKUP($A28,CHARMS!$A$6:$CQ$89,40,)=0,"Unkown",HLOOKUP($A28,CHARMS!$A$6:$CQ$89,40,)))</f>
        <v>178</v>
      </c>
      <c r="E28" s="369" t="str">
        <f>IF($A28="","",IF(HLOOKUP($A28,CHARMS!$A$6:$CQ$89,40,)=0,"Unkown",CONCATENATE(HLOOKUP($A28,CHARMS!$A$6:$CQ$89,41,)," (",FIXED((HLOOKUP($A28,CHARMS!$A$6:$CQ$89,41,)/HLOOKUP($A28,CHARMS!$A$6:$CQ$89,40,))*100,1),")")))</f>
        <v>72 (40.4)</v>
      </c>
      <c r="F28" s="369">
        <f>IF($A28="","",IF(HLOOKUP($A28,CHARMS!$A$6:$CQ$89,33,)=0,"Unkown",HLOOKUP($A28,CHARMS!$A$6:$CQ$89,33,)))</f>
        <v>22</v>
      </c>
      <c r="G28" s="369">
        <f>IF($A28="","",HLOOKUP($A28,CHARMS!$A$6:$CQ$89,79,))</f>
        <v>22</v>
      </c>
      <c r="H28" s="371">
        <f>IF($A28="","",HLOOKUP($A28,CHARMS!$A$6:$CQ$89,43,))</f>
        <v>3.2727272727272729</v>
      </c>
      <c r="I28" s="369" t="str">
        <f>IF($A28="","",HLOOKUP($A28,CHARMS!$A$6:$CQ$89,49,))</f>
        <v>Based on prior knowledge</v>
      </c>
      <c r="J28" s="369" t="str">
        <f>IF($A28="","",HLOOKUP($A28,CHARMS!$A$6:$CQ$89,50,))</f>
        <v>No information</v>
      </c>
      <c r="K28" s="369" t="str">
        <f>CONCATENATE(IF($A28="","",IF(OR(HLOOKUP($A28,CHARMS!$A$6:$CQ$89,40,)=0,ISTEXT(HLOOKUP($A28,CHARMS!$A$6:$CQ$89,45,))),"n (%): Unkown",CONCATENATE("n (%): ",HLOOKUP($A28,CHARMS!$A$6:$CQ$89,45,)," (",FIXED((HLOOKUP($A28,CHARMS!$A$6:$CQ$89,45,)/HLOOKUP($A28,CHARMS!$A$6:$CQ$89,40,))*100,1),")"))),CHAR(10),IF($A28="","",CONCATENATE("Method: ",HLOOKUP($A28,CHARMS!$A$6:$CQ$89,46,))))</f>
        <v>n (%): 0 (0.0)
Method: Other</v>
      </c>
      <c r="L28" s="371" t="str">
        <f>IF($A28="","",CONCATENATE("Int: ",HLOOKUP($A28,CHARMS!$A$6:$CQ$89,75,),CHAR(10),"Ext : ",HLOOKUP($A28,CHARMS!$A$6:$CQ$89,76,)))</f>
        <v>Int: Cross-validation and random split data
Ext : Unclear</v>
      </c>
      <c r="M28" s="371" t="str">
        <f>IF($A28="","",CONCATENATE("Cal: ",HLOOKUP($A28,CHARMS!$A$6:$CQ$89,53,),CHAR(10),"Disc : ",HLOOKUP($A28,CHARMS!$A$6:$CQ$89,59,),CHAR(10),"Ov: ",HLOOKUP($A28,CHARMS!$A$6:$CQ$89,66,)))</f>
        <v>Cal: Not evaluated
Disc : C-Statistic / Accuracy (0.723)
Ov: Not evaluated</v>
      </c>
      <c r="N28" s="136" t="s">
        <v>27</v>
      </c>
      <c r="O28" s="137" t="str">
        <f>_xlfn.IFNA(IF(HLOOKUP($A28,PROBAST!$A$6:$AE$77,11,)="Low RoB","+",IF(HLOOKUP($A28,PROBAST!$A$6:$AE$77,11,)="High RoB","-",IF(HLOOKUP($A28,PROBAST!$A$6:$AE$77,11,)="Unclear","?",""))),"")</f>
        <v>-</v>
      </c>
      <c r="P28" s="137" t="str">
        <f>_xlfn.IFNA(IF(HLOOKUP($A28,PROBAST!$A$6:$AE$77,25,)="Low RoB","+",IF(HLOOKUP($A28,PROBAST!$A$6:$AE$77,25,)="High RoB","-",IF(HLOOKUP($A28,PROBAST!$A$6:$AE$77,25,)="Unclear","?",""))),"")</f>
        <v>+</v>
      </c>
      <c r="Q28" s="137" t="str">
        <f>_xlfn.IFNA(IF(HLOOKUP($A28,PROBAST!$A$6:$AE$77,39,)="Low RoB","+",IF(HLOOKUP($A28,PROBAST!$A$6:$AE$77,39,)="High RoB","-",IF(HLOOKUP($A28,PROBAST!$A$6:$AE$77,39,)="Unclear","?",""))),"")</f>
        <v>+</v>
      </c>
      <c r="R28" s="138" t="str">
        <f>_xlfn.IFNA(IF(HLOOKUP($A28,PROBAST!$A$6:$AE$77,58,)="Low RoB","+",IF(HLOOKUP($A28,PROBAST!$A$6:$AE$77,58,)="High RoB","-",IF(HLOOKUP($A28,PROBAST!$A$6:$AE$77,58,)="Unclear","?",""))),"")</f>
        <v>?</v>
      </c>
      <c r="S28" s="139"/>
      <c r="T28" s="139"/>
      <c r="U28" s="139"/>
      <c r="V28" s="139"/>
      <c r="W28" s="139"/>
    </row>
    <row r="29" spans="1:23" ht="22.5" customHeight="1" thickBot="1" x14ac:dyDescent="0.25">
      <c r="A29" s="375"/>
      <c r="B29" s="377"/>
      <c r="C29" s="370"/>
      <c r="D29" s="374"/>
      <c r="E29" s="370"/>
      <c r="F29" s="370"/>
      <c r="G29" s="370"/>
      <c r="H29" s="372"/>
      <c r="I29" s="370"/>
      <c r="J29" s="370"/>
      <c r="K29" s="379"/>
      <c r="L29" s="372"/>
      <c r="M29" s="372"/>
      <c r="N29" s="141" t="s">
        <v>26</v>
      </c>
      <c r="O29" s="142" t="str">
        <f>_xlfn.IFNA(IF(HLOOKUP($A28,PROBAST!$A$6:$AE$77,12,)="Low concern","+",IF(HLOOKUP($A28,PROBAST!$A$6:$AE$77,12,)="High concern","-",IF(HLOOKUP($A28,PROBAST!$A$6:$AE$77,12,)="Unclear","?",""))),"")</f>
        <v>+</v>
      </c>
      <c r="P29" s="142" t="str">
        <f>_xlfn.IFNA(IF(HLOOKUP($A28,PROBAST!$A$6:$AE$77,26,)="Low concern","+",IF(HLOOKUP($A28,PROBAST!$A$6:$AE$77,26,)="High concern","-",IF(HLOOKUP($A28,PROBAST!$A$6:$AE$77,26,)="Unclear","?",""))),"")</f>
        <v>+</v>
      </c>
      <c r="Q29" s="142" t="str">
        <f>_xlfn.IFNA(IF(HLOOKUP($A28,PROBAST!$A$6:$AE$77,40,)="Low concern","+",IF(HLOOKUP($A28,PROBAST!$A$6:$AE$77,40,)="High concern","-",IF(HLOOKUP($A28,PROBAST!$A$6:$AE$77,40,)="Unclear","?",""))),"")</f>
        <v>+</v>
      </c>
      <c r="R29" s="143"/>
    </row>
    <row r="30" spans="1:23" s="140" customFormat="1" ht="22.5" customHeight="1" x14ac:dyDescent="0.2">
      <c r="A30" s="375" t="str">
        <f>CHARMS!AP$6</f>
        <v/>
      </c>
      <c r="B30" s="376" t="str">
        <f>HLOOKUP($A30,CHARMS!$A$6:$CQ$89,1,)</f>
        <v/>
      </c>
      <c r="C30" s="369" t="str">
        <f>IF($A30="","",HLOOKUP($A30,CHARMS!$A$6:$CQ$89,48,))</f>
        <v/>
      </c>
      <c r="D30" s="373" t="str">
        <f>IF($A30="","",IF(HLOOKUP($A30,CHARMS!$A$6:$CQ$89,40,)=0,"Unkown",HLOOKUP($A30,CHARMS!$A$6:$CQ$89,40,)))</f>
        <v/>
      </c>
      <c r="E30" s="369" t="str">
        <f>IF($A30="","",IF(HLOOKUP($A30,CHARMS!$A$6:$CQ$89,40,)=0,"Unkown",CONCATENATE(HLOOKUP($A30,CHARMS!$A$6:$CQ$89,41,)," (",FIXED((HLOOKUP($A30,CHARMS!$A$6:$CQ$89,41,)/HLOOKUP($A30,CHARMS!$A$6:$CQ$89,40,))*100,1),")")))</f>
        <v/>
      </c>
      <c r="F30" s="369" t="str">
        <f>IF($A30="","",IF(HLOOKUP($A30,CHARMS!$A$6:$CQ$89,33,)=0,"Unkown",HLOOKUP($A30,CHARMS!$A$6:$CQ$89,33,)))</f>
        <v/>
      </c>
      <c r="G30" s="369" t="str">
        <f>IF($A30="","",HLOOKUP($A30,CHARMS!$A$6:$CQ$89,79,))</f>
        <v/>
      </c>
      <c r="H30" s="371" t="str">
        <f>IF($A30="","",HLOOKUP($A30,CHARMS!$A$6:$CQ$89,43,))</f>
        <v/>
      </c>
      <c r="I30" s="369" t="str">
        <f>IF($A30="","",HLOOKUP($A30,CHARMS!$A$6:$CQ$89,49,))</f>
        <v/>
      </c>
      <c r="J30" s="369" t="str">
        <f>IF($A30="","",HLOOKUP($A30,CHARMS!$A$6:$CQ$89,50,))</f>
        <v/>
      </c>
      <c r="K30" s="369" t="str">
        <f>CONCATENATE(IF($A30="","",IF(OR(HLOOKUP($A30,CHARMS!$A$6:$CQ$89,40,)=0,ISTEXT(HLOOKUP($A30,CHARMS!$A$6:$CQ$89,45,))),"n (%): Unkown",CONCATENATE("n (%): ",HLOOKUP($A30,CHARMS!$A$6:$CQ$89,45,)," (",FIXED((HLOOKUP($A30,CHARMS!$A$6:$CQ$89,45,)/HLOOKUP($A30,CHARMS!$A$6:$CQ$89,40,))*100,1),")"))),CHAR(10),IF($A30="","",CONCATENATE("Method: ",HLOOKUP($A30,CHARMS!$A$6:$CQ$89,46,))))</f>
        <v xml:space="preserve">
</v>
      </c>
      <c r="L30" s="371" t="str">
        <f>IF($A30="","",CONCATENATE("Int: ",HLOOKUP($A30,CHARMS!$A$6:$CQ$89,75,),CHAR(10),"Ext : ",HLOOKUP($A30,CHARMS!$A$6:$CQ$89,76,)))</f>
        <v/>
      </c>
      <c r="M30" s="371" t="str">
        <f>IF($A30="","",CONCATENATE("Cal: ",HLOOKUP($A30,CHARMS!$A$6:$CQ$89,53,),CHAR(10),"Disc : ",HLOOKUP($A30,CHARMS!$A$6:$CQ$89,59,),CHAR(10),"Ov: ",HLOOKUP($A30,CHARMS!$A$6:$CQ$89,66,)))</f>
        <v/>
      </c>
      <c r="N30" s="136" t="s">
        <v>27</v>
      </c>
      <c r="O30" s="137" t="str">
        <f>_xlfn.IFNA(IF(HLOOKUP($A30,PROBAST!$A$6:$AE$77,11,)="Low RoB","+",IF(HLOOKUP($A30,PROBAST!$A$6:$AE$77,11,)="High RoB","-",IF(HLOOKUP($A30,PROBAST!$A$6:$AE$77,11,)="Unclear","?",""))),"")</f>
        <v/>
      </c>
      <c r="P30" s="137" t="str">
        <f>_xlfn.IFNA(IF(HLOOKUP($A30,PROBAST!$A$6:$AE$77,25,)="Low RoB","+",IF(HLOOKUP($A30,PROBAST!$A$6:$AE$77,25,)="High RoB","-",IF(HLOOKUP($A30,PROBAST!$A$6:$AE$77,25,)="Unclear","?",""))),"")</f>
        <v/>
      </c>
      <c r="Q30" s="137" t="str">
        <f>_xlfn.IFNA(IF(HLOOKUP($A30,PROBAST!$A$6:$AE$77,39,)="Low RoB","+",IF(HLOOKUP($A30,PROBAST!$A$6:$AE$77,39,)="High RoB","-",IF(HLOOKUP($A30,PROBAST!$A$6:$AE$77,39,)="Unclear","?",""))),"")</f>
        <v/>
      </c>
      <c r="R30" s="138" t="str">
        <f>_xlfn.IFNA(IF(HLOOKUP($A30,PROBAST!$A$6:$AE$77,58,)="Low RoB","+",IF(HLOOKUP($A30,PROBAST!$A$6:$AE$77,58,)="High RoB","-",IF(HLOOKUP($A30,PROBAST!$A$6:$AE$77,58,)="Unclear","?",""))),"")</f>
        <v/>
      </c>
      <c r="S30" s="139"/>
      <c r="T30" s="139"/>
      <c r="U30" s="139"/>
      <c r="V30" s="139"/>
      <c r="W30" s="139"/>
    </row>
    <row r="31" spans="1:23" ht="22.5" customHeight="1" thickBot="1" x14ac:dyDescent="0.25">
      <c r="A31" s="375"/>
      <c r="B31" s="377"/>
      <c r="C31" s="370"/>
      <c r="D31" s="374"/>
      <c r="E31" s="370"/>
      <c r="F31" s="370"/>
      <c r="G31" s="370"/>
      <c r="H31" s="372"/>
      <c r="I31" s="370"/>
      <c r="J31" s="370"/>
      <c r="K31" s="379"/>
      <c r="L31" s="372"/>
      <c r="M31" s="372"/>
      <c r="N31" s="141" t="s">
        <v>26</v>
      </c>
      <c r="O31" s="142" t="str">
        <f>_xlfn.IFNA(IF(HLOOKUP($A30,PROBAST!$A$6:$AE$77,12,)="Low concern","+",IF(HLOOKUP($A30,PROBAST!$A$6:$AE$77,12,)="High concern","-",IF(HLOOKUP($A30,PROBAST!$A$6:$AE$77,12,)="Unclear","?",""))),"")</f>
        <v/>
      </c>
      <c r="P31" s="142" t="str">
        <f>_xlfn.IFNA(IF(HLOOKUP($A30,PROBAST!$A$6:$AE$77,26,)="Low concern","+",IF(HLOOKUP($A30,PROBAST!$A$6:$AE$77,26,)="High concern","-",IF(HLOOKUP($A30,PROBAST!$A$6:$AE$77,26,)="Unclear","?",""))),"")</f>
        <v/>
      </c>
      <c r="Q31" s="142" t="str">
        <f>_xlfn.IFNA(IF(HLOOKUP($A30,PROBAST!$A$6:$AE$77,40,)="Low concern","+",IF(HLOOKUP($A30,PROBAST!$A$6:$AE$77,40,)="High concern","-",IF(HLOOKUP($A30,PROBAST!$A$6:$AE$77,40,)="Unclear","?",""))),"")</f>
        <v/>
      </c>
      <c r="R31" s="143"/>
    </row>
    <row r="32" spans="1:23" s="140" customFormat="1" ht="22.5" customHeight="1" x14ac:dyDescent="0.2">
      <c r="A32" s="375" t="str">
        <f>CHARMS!AS$6</f>
        <v/>
      </c>
      <c r="B32" s="376" t="str">
        <f>HLOOKUP($A32,CHARMS!$A$6:$CQ$89,1,)</f>
        <v/>
      </c>
      <c r="C32" s="369" t="str">
        <f>IF($A32="","",HLOOKUP($A32,CHARMS!$A$6:$CQ$89,48,))</f>
        <v/>
      </c>
      <c r="D32" s="373" t="str">
        <f>IF($A32="","",IF(HLOOKUP($A32,CHARMS!$A$6:$CQ$89,40,)=0,"Unkown",HLOOKUP($A32,CHARMS!$A$6:$CQ$89,40,)))</f>
        <v/>
      </c>
      <c r="E32" s="369" t="str">
        <f>IF($A32="","",IF(HLOOKUP($A32,CHARMS!$A$6:$CQ$89,40,)=0,"Unkown",CONCATENATE(HLOOKUP($A32,CHARMS!$A$6:$CQ$89,41,)," (",FIXED((HLOOKUP($A32,CHARMS!$A$6:$CQ$89,41,)/HLOOKUP($A32,CHARMS!$A$6:$CQ$89,40,))*100,1),")")))</f>
        <v/>
      </c>
      <c r="F32" s="369" t="str">
        <f>IF($A32="","",IF(HLOOKUP($A32,CHARMS!$A$6:$CQ$89,33,)=0,"Unkown",HLOOKUP($A32,CHARMS!$A$6:$CQ$89,33,)))</f>
        <v/>
      </c>
      <c r="G32" s="369" t="str">
        <f>IF($A32="","",HLOOKUP($A32,CHARMS!$A$6:$CQ$89,79,))</f>
        <v/>
      </c>
      <c r="H32" s="371" t="str">
        <f>IF($A32="","",HLOOKUP($A32,CHARMS!$A$6:$CQ$89,43,))</f>
        <v/>
      </c>
      <c r="I32" s="369" t="str">
        <f>IF($A32="","",HLOOKUP($A32,CHARMS!$A$6:$CQ$89,49,))</f>
        <v/>
      </c>
      <c r="J32" s="369" t="str">
        <f>IF($A32="","",HLOOKUP($A32,CHARMS!$A$6:$CQ$89,50,))</f>
        <v/>
      </c>
      <c r="K32" s="369" t="str">
        <f>CONCATENATE(IF($A32="","",IF(OR(HLOOKUP($A32,CHARMS!$A$6:$CQ$89,40,)=0,ISTEXT(HLOOKUP($A32,CHARMS!$A$6:$CQ$89,45,))),"n (%): Unkown",CONCATENATE("n (%): ",HLOOKUP($A32,CHARMS!$A$6:$CQ$89,45,)," (",FIXED((HLOOKUP($A32,CHARMS!$A$6:$CQ$89,45,)/HLOOKUP($A32,CHARMS!$A$6:$CQ$89,40,))*100,1),")"))),CHAR(10),IF($A32="","",CONCATENATE("Method: ",HLOOKUP($A32,CHARMS!$A$6:$CQ$89,46,))))</f>
        <v xml:space="preserve">
</v>
      </c>
      <c r="L32" s="371" t="str">
        <f>IF($A32="","",CONCATENATE("Int: ",HLOOKUP($A32,CHARMS!$A$6:$CQ$89,75,),CHAR(10),"Ext : ",HLOOKUP($A32,CHARMS!$A$6:$CQ$89,76,)))</f>
        <v/>
      </c>
      <c r="M32" s="371" t="str">
        <f>IF($A32="","",CONCATENATE("Cal: ",HLOOKUP($A32,CHARMS!$A$6:$CQ$89,53,),CHAR(10),"Disc : ",HLOOKUP($A32,CHARMS!$A$6:$CQ$89,59,),CHAR(10),"Ov: ",HLOOKUP($A32,CHARMS!$A$6:$CQ$89,66,)))</f>
        <v/>
      </c>
      <c r="N32" s="136" t="s">
        <v>27</v>
      </c>
      <c r="O32" s="137" t="str">
        <f>_xlfn.IFNA(IF(HLOOKUP($A32,PROBAST!$A$6:$AE$77,11,)="Low RoB","+",IF(HLOOKUP($A32,PROBAST!$A$6:$AE$77,11,)="High RoB","-",IF(HLOOKUP($A32,PROBAST!$A$6:$AE$77,11,)="Unclear","?",""))),"")</f>
        <v/>
      </c>
      <c r="P32" s="137" t="str">
        <f>_xlfn.IFNA(IF(HLOOKUP($A32,PROBAST!$A$6:$AE$77,25,)="Low RoB","+",IF(HLOOKUP($A32,PROBAST!$A$6:$AE$77,25,)="High RoB","-",IF(HLOOKUP($A32,PROBAST!$A$6:$AE$77,25,)="Unclear","?",""))),"")</f>
        <v/>
      </c>
      <c r="Q32" s="137" t="str">
        <f>_xlfn.IFNA(IF(HLOOKUP($A32,PROBAST!$A$6:$AE$77,39,)="Low RoB","+",IF(HLOOKUP($A32,PROBAST!$A$6:$AE$77,39,)="High RoB","-",IF(HLOOKUP($A32,PROBAST!$A$6:$AE$77,39,)="Unclear","?",""))),"")</f>
        <v/>
      </c>
      <c r="R32" s="138" t="str">
        <f>_xlfn.IFNA(IF(HLOOKUP($A32,PROBAST!$A$6:$AE$77,58,)="Low RoB","+",IF(HLOOKUP($A32,PROBAST!$A$6:$AE$77,58,)="High RoB","-",IF(HLOOKUP($A32,PROBAST!$A$6:$AE$77,58,)="Unclear","?",""))),"")</f>
        <v/>
      </c>
      <c r="S32" s="139"/>
      <c r="T32" s="139"/>
      <c r="U32" s="139"/>
      <c r="V32" s="139"/>
      <c r="W32" s="139"/>
    </row>
    <row r="33" spans="1:23" ht="22.5" customHeight="1" thickBot="1" x14ac:dyDescent="0.25">
      <c r="A33" s="375"/>
      <c r="B33" s="377"/>
      <c r="C33" s="370"/>
      <c r="D33" s="374"/>
      <c r="E33" s="370"/>
      <c r="F33" s="370"/>
      <c r="G33" s="370"/>
      <c r="H33" s="372"/>
      <c r="I33" s="370"/>
      <c r="J33" s="370"/>
      <c r="K33" s="379"/>
      <c r="L33" s="372"/>
      <c r="M33" s="372"/>
      <c r="N33" s="141" t="s">
        <v>26</v>
      </c>
      <c r="O33" s="142" t="str">
        <f>_xlfn.IFNA(IF(HLOOKUP($A32,PROBAST!$A$6:$AE$77,12,)="Low concern","+",IF(HLOOKUP($A32,PROBAST!$A$6:$AE$77,12,)="High concern","-",IF(HLOOKUP($A32,PROBAST!$A$6:$AE$77,12,)="Unclear","?",""))),"")</f>
        <v/>
      </c>
      <c r="P33" s="142" t="str">
        <f>_xlfn.IFNA(IF(HLOOKUP($A32,PROBAST!$A$6:$AE$77,26,)="Low concern","+",IF(HLOOKUP($A32,PROBAST!$A$6:$AE$77,26,)="High concern","-",IF(HLOOKUP($A32,PROBAST!$A$6:$AE$77,26,)="Unclear","?",""))),"")</f>
        <v/>
      </c>
      <c r="Q33" s="142" t="str">
        <f>_xlfn.IFNA(IF(HLOOKUP($A32,PROBAST!$A$6:$AE$77,40,)="Low concern","+",IF(HLOOKUP($A32,PROBAST!$A$6:$AE$77,40,)="High concern","-",IF(HLOOKUP($A32,PROBAST!$A$6:$AE$77,40,)="Unclear","?",""))),"")</f>
        <v/>
      </c>
      <c r="R33" s="143"/>
    </row>
    <row r="34" spans="1:23" s="140" customFormat="1" ht="22.5" customHeight="1" x14ac:dyDescent="0.2">
      <c r="A34" s="375" t="str">
        <f>CHARMS!AV$6</f>
        <v/>
      </c>
      <c r="B34" s="376" t="str">
        <f>HLOOKUP($A34,CHARMS!$A$6:$CQ$89,1,)</f>
        <v/>
      </c>
      <c r="C34" s="369" t="str">
        <f>IF($A34="","",HLOOKUP($A34,CHARMS!$A$6:$CQ$89,48,))</f>
        <v/>
      </c>
      <c r="D34" s="373" t="str">
        <f>IF($A34="","",IF(HLOOKUP($A34,CHARMS!$A$6:$CQ$89,40,)=0,"Unkown",HLOOKUP($A34,CHARMS!$A$6:$CQ$89,40,)))</f>
        <v/>
      </c>
      <c r="E34" s="369" t="str">
        <f>IF($A34="","",IF(HLOOKUP($A34,CHARMS!$A$6:$CQ$89,40,)=0,"Unkown",CONCATENATE(HLOOKUP($A34,CHARMS!$A$6:$CQ$89,41,)," (",FIXED((HLOOKUP($A34,CHARMS!$A$6:$CQ$89,41,)/HLOOKUP($A34,CHARMS!$A$6:$CQ$89,40,))*100,1),")")))</f>
        <v/>
      </c>
      <c r="F34" s="369" t="str">
        <f>IF($A34="","",IF(HLOOKUP($A34,CHARMS!$A$6:$CQ$89,33,)=0,"Unkown",HLOOKUP($A34,CHARMS!$A$6:$CQ$89,33,)))</f>
        <v/>
      </c>
      <c r="G34" s="369" t="str">
        <f>IF($A34="","",HLOOKUP($A34,CHARMS!$A$6:$CQ$89,79,))</f>
        <v/>
      </c>
      <c r="H34" s="371" t="str">
        <f>IF($A34="","",HLOOKUP($A34,CHARMS!$A$6:$CQ$89,43,))</f>
        <v/>
      </c>
      <c r="I34" s="369" t="str">
        <f>IF($A34="","",HLOOKUP($A34,CHARMS!$A$6:$CQ$89,49,))</f>
        <v/>
      </c>
      <c r="J34" s="369" t="str">
        <f>IF($A34="","",HLOOKUP($A34,CHARMS!$A$6:$CQ$89,50,))</f>
        <v/>
      </c>
      <c r="K34" s="369" t="str">
        <f>CONCATENATE(IF($A34="","",IF(OR(HLOOKUP($A34,CHARMS!$A$6:$CQ$89,40,)=0,ISTEXT(HLOOKUP($A34,CHARMS!$A$6:$CQ$89,45,))),"n (%): Unkown",CONCATENATE("n (%): ",HLOOKUP($A34,CHARMS!$A$6:$CQ$89,45,)," (",FIXED((HLOOKUP($A34,CHARMS!$A$6:$CQ$89,45,)/HLOOKUP($A34,CHARMS!$A$6:$CQ$89,40,))*100,1),")"))),CHAR(10),IF($A34="","",CONCATENATE("Method: ",HLOOKUP($A34,CHARMS!$A$6:$CQ$89,46,))))</f>
        <v xml:space="preserve">
</v>
      </c>
      <c r="L34" s="371" t="str">
        <f>IF($A34="","",CONCATENATE("Int: ",HLOOKUP($A34,CHARMS!$A$6:$CQ$89,75,),CHAR(10),"Ext : ",HLOOKUP($A34,CHARMS!$A$6:$CQ$89,76,)))</f>
        <v/>
      </c>
      <c r="M34" s="371" t="str">
        <f>IF($A34="","",CONCATENATE("Cal: ",HLOOKUP($A34,CHARMS!$A$6:$CQ$89,53,),CHAR(10),"Disc : ",HLOOKUP($A34,CHARMS!$A$6:$CQ$89,59,),CHAR(10),"Ov: ",HLOOKUP($A34,CHARMS!$A$6:$CQ$89,66,)))</f>
        <v/>
      </c>
      <c r="N34" s="136" t="s">
        <v>27</v>
      </c>
      <c r="O34" s="137" t="str">
        <f>_xlfn.IFNA(IF(HLOOKUP($A34,PROBAST!$A$6:$AE$77,11,)="Low RoB","+",IF(HLOOKUP($A34,PROBAST!$A$6:$AE$77,11,)="High RoB","-",IF(HLOOKUP($A34,PROBAST!$A$6:$AE$77,11,)="Unclear","?",""))),"")</f>
        <v/>
      </c>
      <c r="P34" s="137" t="str">
        <f>_xlfn.IFNA(IF(HLOOKUP($A34,PROBAST!$A$6:$AE$77,25,)="Low RoB","+",IF(HLOOKUP($A34,PROBAST!$A$6:$AE$77,25,)="High RoB","-",IF(HLOOKUP($A34,PROBAST!$A$6:$AE$77,25,)="Unclear","?",""))),"")</f>
        <v/>
      </c>
      <c r="Q34" s="137" t="str">
        <f>_xlfn.IFNA(IF(HLOOKUP($A34,PROBAST!$A$6:$AE$77,39,)="Low RoB","+",IF(HLOOKUP($A34,PROBAST!$A$6:$AE$77,39,)="High RoB","-",IF(HLOOKUP($A34,PROBAST!$A$6:$AE$77,39,)="Unclear","?",""))),"")</f>
        <v/>
      </c>
      <c r="R34" s="138" t="str">
        <f>_xlfn.IFNA(IF(HLOOKUP($A34,PROBAST!$A$6:$AE$77,58,)="Low RoB","+",IF(HLOOKUP($A34,PROBAST!$A$6:$AE$77,58,)="High RoB","-",IF(HLOOKUP($A34,PROBAST!$A$6:$AE$77,58,)="Unclear","?",""))),"")</f>
        <v/>
      </c>
      <c r="S34" s="139"/>
      <c r="T34" s="139"/>
      <c r="U34" s="139"/>
      <c r="V34" s="139"/>
      <c r="W34" s="139"/>
    </row>
    <row r="35" spans="1:23" ht="22.5" customHeight="1" thickBot="1" x14ac:dyDescent="0.25">
      <c r="A35" s="375"/>
      <c r="B35" s="377"/>
      <c r="C35" s="370"/>
      <c r="D35" s="374"/>
      <c r="E35" s="370"/>
      <c r="F35" s="370"/>
      <c r="G35" s="370"/>
      <c r="H35" s="372"/>
      <c r="I35" s="370"/>
      <c r="J35" s="370"/>
      <c r="K35" s="379"/>
      <c r="L35" s="372"/>
      <c r="M35" s="372"/>
      <c r="N35" s="141" t="s">
        <v>26</v>
      </c>
      <c r="O35" s="142" t="str">
        <f>_xlfn.IFNA(IF(HLOOKUP($A34,PROBAST!$A$6:$AE$77,12,)="Low concern","+",IF(HLOOKUP($A34,PROBAST!$A$6:$AE$77,12,)="High concern","-",IF(HLOOKUP($A34,PROBAST!$A$6:$AE$77,12,)="Unclear","?",""))),"")</f>
        <v/>
      </c>
      <c r="P35" s="142" t="str">
        <f>_xlfn.IFNA(IF(HLOOKUP($A34,PROBAST!$A$6:$AE$77,26,)="Low concern","+",IF(HLOOKUP($A34,PROBAST!$A$6:$AE$77,26,)="High concern","-",IF(HLOOKUP($A34,PROBAST!$A$6:$AE$77,26,)="Unclear","?",""))),"")</f>
        <v/>
      </c>
      <c r="Q35" s="142" t="str">
        <f>_xlfn.IFNA(IF(HLOOKUP($A34,PROBAST!$A$6:$AE$77,40,)="Low concern","+",IF(HLOOKUP($A34,PROBAST!$A$6:$AE$77,40,)="High concern","-",IF(HLOOKUP($A34,PROBAST!$A$6:$AE$77,40,)="Unclear","?",""))),"")</f>
        <v/>
      </c>
      <c r="R35" s="143"/>
    </row>
    <row r="36" spans="1:23" s="140" customFormat="1" ht="22.5" customHeight="1" x14ac:dyDescent="0.2">
      <c r="A36" s="375" t="str">
        <f>CHARMS!AY$6</f>
        <v/>
      </c>
      <c r="B36" s="376" t="str">
        <f>HLOOKUP($A36,CHARMS!$A$6:$CQ$89,1,)</f>
        <v/>
      </c>
      <c r="C36" s="369" t="str">
        <f>IF($A36="","",HLOOKUP($A36,CHARMS!$A$6:$CQ$89,48,))</f>
        <v/>
      </c>
      <c r="D36" s="373" t="str">
        <f>IF($A36="","",IF(HLOOKUP($A36,CHARMS!$A$6:$CQ$89,40,)=0,"Unkown",HLOOKUP($A36,CHARMS!$A$6:$CQ$89,40,)))</f>
        <v/>
      </c>
      <c r="E36" s="369" t="str">
        <f>IF($A36="","",IF(HLOOKUP($A36,CHARMS!$A$6:$CQ$89,40,)=0,"Unkown",CONCATENATE(HLOOKUP($A36,CHARMS!$A$6:$CQ$89,41,)," (",FIXED((HLOOKUP($A36,CHARMS!$A$6:$CQ$89,41,)/HLOOKUP($A36,CHARMS!$A$6:$CQ$89,40,))*100,1),")")))</f>
        <v/>
      </c>
      <c r="F36" s="369" t="str">
        <f>IF($A36="","",IF(HLOOKUP($A36,CHARMS!$A$6:$CQ$89,33,)=0,"Unkown",HLOOKUP($A36,CHARMS!$A$6:$CQ$89,33,)))</f>
        <v/>
      </c>
      <c r="G36" s="369" t="str">
        <f>IF($A36="","",HLOOKUP($A36,CHARMS!$A$6:$CQ$89,79,))</f>
        <v/>
      </c>
      <c r="H36" s="371" t="str">
        <f>IF($A36="","",HLOOKUP($A36,CHARMS!$A$6:$CQ$89,43,))</f>
        <v/>
      </c>
      <c r="I36" s="369" t="str">
        <f>IF($A36="","",HLOOKUP($A36,CHARMS!$A$6:$CQ$89,49,))</f>
        <v/>
      </c>
      <c r="J36" s="369" t="str">
        <f>IF($A36="","",HLOOKUP($A36,CHARMS!$A$6:$CQ$89,50,))</f>
        <v/>
      </c>
      <c r="K36" s="369" t="str">
        <f>CONCATENATE(IF($A36="","",IF(OR(HLOOKUP($A36,CHARMS!$A$6:$CQ$89,40,)=0,ISTEXT(HLOOKUP($A36,CHARMS!$A$6:$CQ$89,45,))),"n (%): Unkown",CONCATENATE("n (%): ",HLOOKUP($A36,CHARMS!$A$6:$CQ$89,45,)," (",FIXED((HLOOKUP($A36,CHARMS!$A$6:$CQ$89,45,)/HLOOKUP($A36,CHARMS!$A$6:$CQ$89,40,))*100,1),")"))),CHAR(10),IF($A36="","",CONCATENATE("Method: ",HLOOKUP($A36,CHARMS!$A$6:$CQ$89,46,))))</f>
        <v xml:space="preserve">
</v>
      </c>
      <c r="L36" s="371" t="str">
        <f>IF($A36="","",CONCATENATE("Int: ",HLOOKUP($A36,CHARMS!$A$6:$CQ$89,75,),CHAR(10),"Ext : ",HLOOKUP($A36,CHARMS!$A$6:$CQ$89,76,)))</f>
        <v/>
      </c>
      <c r="M36" s="371" t="str">
        <f>IF($A36="","",CONCATENATE("Cal: ",HLOOKUP($A36,CHARMS!$A$6:$CQ$89,53,),CHAR(10),"Disc : ",HLOOKUP($A36,CHARMS!$A$6:$CQ$89,59,),CHAR(10),"Ov: ",HLOOKUP($A36,CHARMS!$A$6:$CQ$89,66,)))</f>
        <v/>
      </c>
      <c r="N36" s="136" t="s">
        <v>27</v>
      </c>
      <c r="O36" s="137" t="str">
        <f>_xlfn.IFNA(IF(HLOOKUP($A36,PROBAST!$A$6:$AE$77,11,)="Low RoB","+",IF(HLOOKUP($A36,PROBAST!$A$6:$AE$77,11,)="High RoB","-",IF(HLOOKUP($A36,PROBAST!$A$6:$AE$77,11,)="Unclear","?",""))),"")</f>
        <v/>
      </c>
      <c r="P36" s="137" t="str">
        <f>_xlfn.IFNA(IF(HLOOKUP($A36,PROBAST!$A$6:$AE$77,25,)="Low RoB","+",IF(HLOOKUP($A36,PROBAST!$A$6:$AE$77,25,)="High RoB","-",IF(HLOOKUP($A36,PROBAST!$A$6:$AE$77,25,)="Unclear","?",""))),"")</f>
        <v/>
      </c>
      <c r="Q36" s="137" t="str">
        <f>_xlfn.IFNA(IF(HLOOKUP($A36,PROBAST!$A$6:$AE$77,39,)="Low RoB","+",IF(HLOOKUP($A36,PROBAST!$A$6:$AE$77,39,)="High RoB","-",IF(HLOOKUP($A36,PROBAST!$A$6:$AE$77,39,)="Unclear","?",""))),"")</f>
        <v/>
      </c>
      <c r="R36" s="138" t="str">
        <f>_xlfn.IFNA(IF(HLOOKUP($A36,PROBAST!$A$6:$AE$77,58,)="Low RoB","+",IF(HLOOKUP($A36,PROBAST!$A$6:$AE$77,58,)="High RoB","-",IF(HLOOKUP($A36,PROBAST!$A$6:$AE$77,58,)="Unclear","?",""))),"")</f>
        <v/>
      </c>
      <c r="S36" s="139"/>
      <c r="T36" s="139"/>
      <c r="U36" s="139"/>
      <c r="V36" s="139"/>
      <c r="W36" s="139"/>
    </row>
    <row r="37" spans="1:23" ht="22.5" customHeight="1" thickBot="1" x14ac:dyDescent="0.25">
      <c r="A37" s="375"/>
      <c r="B37" s="377"/>
      <c r="C37" s="370"/>
      <c r="D37" s="374"/>
      <c r="E37" s="370"/>
      <c r="F37" s="370"/>
      <c r="G37" s="370"/>
      <c r="H37" s="372"/>
      <c r="I37" s="370"/>
      <c r="J37" s="370"/>
      <c r="K37" s="379"/>
      <c r="L37" s="372"/>
      <c r="M37" s="372"/>
      <c r="N37" s="141" t="s">
        <v>26</v>
      </c>
      <c r="O37" s="142" t="str">
        <f>_xlfn.IFNA(IF(HLOOKUP($A36,PROBAST!$A$6:$AE$77,12,)="Low concern","+",IF(HLOOKUP($A36,PROBAST!$A$6:$AE$77,12,)="High concern","-",IF(HLOOKUP($A36,PROBAST!$A$6:$AE$77,12,)="Unclear","?",""))),"")</f>
        <v/>
      </c>
      <c r="P37" s="142" t="str">
        <f>_xlfn.IFNA(IF(HLOOKUP($A36,PROBAST!$A$6:$AE$77,26,)="Low concern","+",IF(HLOOKUP($A36,PROBAST!$A$6:$AE$77,26,)="High concern","-",IF(HLOOKUP($A36,PROBAST!$A$6:$AE$77,26,)="Unclear","?",""))),"")</f>
        <v/>
      </c>
      <c r="Q37" s="142" t="str">
        <f>_xlfn.IFNA(IF(HLOOKUP($A36,PROBAST!$A$6:$AE$77,40,)="Low concern","+",IF(HLOOKUP($A36,PROBAST!$A$6:$AE$77,40,)="High concern","-",IF(HLOOKUP($A36,PROBAST!$A$6:$AE$77,40,)="Unclear","?",""))),"")</f>
        <v/>
      </c>
      <c r="R37" s="143"/>
    </row>
    <row r="38" spans="1:23" s="140" customFormat="1" ht="22.5" customHeight="1" x14ac:dyDescent="0.2">
      <c r="A38" s="375" t="str">
        <f>CHARMS!BB$6</f>
        <v/>
      </c>
      <c r="B38" s="376" t="str">
        <f>HLOOKUP($A38,CHARMS!$A$6:$CQ$89,1,)</f>
        <v/>
      </c>
      <c r="C38" s="369" t="str">
        <f>IF($A38="","",HLOOKUP($A38,CHARMS!$A$6:$CQ$89,48,))</f>
        <v/>
      </c>
      <c r="D38" s="373" t="str">
        <f>IF($A38="","",IF(HLOOKUP($A38,CHARMS!$A$6:$CQ$89,40,)=0,"Unkown",HLOOKUP($A38,CHARMS!$A$6:$CQ$89,40,)))</f>
        <v/>
      </c>
      <c r="E38" s="369" t="str">
        <f>IF($A38="","",IF(HLOOKUP($A38,CHARMS!$A$6:$CQ$89,40,)=0,"Unkown",CONCATENATE(HLOOKUP($A38,CHARMS!$A$6:$CQ$89,41,)," (",FIXED((HLOOKUP($A38,CHARMS!$A$6:$CQ$89,41,)/HLOOKUP($A38,CHARMS!$A$6:$CQ$89,40,))*100,1),")")))</f>
        <v/>
      </c>
      <c r="F38" s="369" t="str">
        <f>IF($A38="","",IF(HLOOKUP($A38,CHARMS!$A$6:$CQ$89,33,)=0,"Unkown",HLOOKUP($A38,CHARMS!$A$6:$CQ$89,33,)))</f>
        <v/>
      </c>
      <c r="G38" s="369" t="str">
        <f>IF($A38="","",HLOOKUP($A38,CHARMS!$A$6:$CQ$89,79,))</f>
        <v/>
      </c>
      <c r="H38" s="371" t="str">
        <f>IF($A38="","",HLOOKUP($A38,CHARMS!$A$6:$CQ$89,43,))</f>
        <v/>
      </c>
      <c r="I38" s="369" t="str">
        <f>IF($A38="","",HLOOKUP($A38,CHARMS!$A$6:$CQ$89,49,))</f>
        <v/>
      </c>
      <c r="J38" s="369" t="str">
        <f>IF($A38="","",HLOOKUP($A38,CHARMS!$A$6:$CQ$89,50,))</f>
        <v/>
      </c>
      <c r="K38" s="369" t="str">
        <f>CONCATENATE(IF($A38="","",IF(OR(HLOOKUP($A38,CHARMS!$A$6:$CQ$89,40,)=0,ISTEXT(HLOOKUP($A38,CHARMS!$A$6:$CQ$89,45,))),"n (%): Unkown",CONCATENATE("n (%): ",HLOOKUP($A38,CHARMS!$A$6:$CQ$89,45,)," (",FIXED((HLOOKUP($A38,CHARMS!$A$6:$CQ$89,45,)/HLOOKUP($A38,CHARMS!$A$6:$CQ$89,40,))*100,1),")"))),CHAR(10),IF($A38="","",CONCATENATE("Method: ",HLOOKUP($A38,CHARMS!$A$6:$CQ$89,46,))))</f>
        <v xml:space="preserve">
</v>
      </c>
      <c r="L38" s="371" t="str">
        <f>IF($A38="","",CONCATENATE("Int: ",HLOOKUP($A38,CHARMS!$A$6:$CQ$89,75,),CHAR(10),"Ext : ",HLOOKUP($A38,CHARMS!$A$6:$CQ$89,76,)))</f>
        <v/>
      </c>
      <c r="M38" s="371" t="str">
        <f>IF($A38="","",CONCATENATE("Cal: ",HLOOKUP($A38,CHARMS!$A$6:$CQ$89,53,),CHAR(10),"Disc : ",HLOOKUP($A38,CHARMS!$A$6:$CQ$89,59,),CHAR(10),"Ov: ",HLOOKUP($A38,CHARMS!$A$6:$CQ$89,66,)))</f>
        <v/>
      </c>
      <c r="N38" s="136" t="s">
        <v>27</v>
      </c>
      <c r="O38" s="137" t="str">
        <f>_xlfn.IFNA(IF(HLOOKUP($A38,PROBAST!$A$6:$AE$77,11,)="Low RoB","+",IF(HLOOKUP($A38,PROBAST!$A$6:$AE$77,11,)="High RoB","-",IF(HLOOKUP($A38,PROBAST!$A$6:$AE$77,11,)="Unclear","?",""))),"")</f>
        <v/>
      </c>
      <c r="P38" s="137" t="str">
        <f>_xlfn.IFNA(IF(HLOOKUP($A38,PROBAST!$A$6:$AE$77,25,)="Low RoB","+",IF(HLOOKUP($A38,PROBAST!$A$6:$AE$77,25,)="High RoB","-",IF(HLOOKUP($A38,PROBAST!$A$6:$AE$77,25,)="Unclear","?",""))),"")</f>
        <v/>
      </c>
      <c r="Q38" s="137" t="str">
        <f>_xlfn.IFNA(IF(HLOOKUP($A38,PROBAST!$A$6:$AE$77,39,)="Low RoB","+",IF(HLOOKUP($A38,PROBAST!$A$6:$AE$77,39,)="High RoB","-",IF(HLOOKUP($A38,PROBAST!$A$6:$AE$77,39,)="Unclear","?",""))),"")</f>
        <v/>
      </c>
      <c r="R38" s="138" t="str">
        <f>_xlfn.IFNA(IF(HLOOKUP($A38,PROBAST!$A$6:$AE$77,58,)="Low RoB","+",IF(HLOOKUP($A38,PROBAST!$A$6:$AE$77,58,)="High RoB","-",IF(HLOOKUP($A38,PROBAST!$A$6:$AE$77,58,)="Unclear","?",""))),"")</f>
        <v/>
      </c>
      <c r="S38" s="139"/>
      <c r="T38" s="139"/>
      <c r="U38" s="139"/>
      <c r="V38" s="139"/>
      <c r="W38" s="139"/>
    </row>
    <row r="39" spans="1:23" ht="22.5" customHeight="1" thickBot="1" x14ac:dyDescent="0.25">
      <c r="A39" s="375"/>
      <c r="B39" s="377"/>
      <c r="C39" s="370"/>
      <c r="D39" s="374"/>
      <c r="E39" s="370"/>
      <c r="F39" s="370"/>
      <c r="G39" s="370"/>
      <c r="H39" s="372"/>
      <c r="I39" s="370"/>
      <c r="J39" s="370"/>
      <c r="K39" s="379"/>
      <c r="L39" s="372"/>
      <c r="M39" s="372"/>
      <c r="N39" s="141" t="s">
        <v>26</v>
      </c>
      <c r="O39" s="142" t="str">
        <f>_xlfn.IFNA(IF(HLOOKUP($A38,PROBAST!$A$6:$AE$77,12,)="Low concern","+",IF(HLOOKUP($A38,PROBAST!$A$6:$AE$77,12,)="High concern","-",IF(HLOOKUP($A38,PROBAST!$A$6:$AE$77,12,)="Unclear","?",""))),"")</f>
        <v/>
      </c>
      <c r="P39" s="142" t="str">
        <f>_xlfn.IFNA(IF(HLOOKUP($A38,PROBAST!$A$6:$AE$77,26,)="Low concern","+",IF(HLOOKUP($A38,PROBAST!$A$6:$AE$77,26,)="High concern","-",IF(HLOOKUP($A38,PROBAST!$A$6:$AE$77,26,)="Unclear","?",""))),"")</f>
        <v/>
      </c>
      <c r="Q39" s="142" t="str">
        <f>_xlfn.IFNA(IF(HLOOKUP($A38,PROBAST!$A$6:$AE$77,40,)="Low concern","+",IF(HLOOKUP($A38,PROBAST!$A$6:$AE$77,40,)="High concern","-",IF(HLOOKUP($A38,PROBAST!$A$6:$AE$77,40,)="Unclear","?",""))),"")</f>
        <v/>
      </c>
      <c r="R39" s="143"/>
    </row>
    <row r="40" spans="1:23" s="140" customFormat="1" ht="22.5" customHeight="1" x14ac:dyDescent="0.2">
      <c r="A40" s="375" t="str">
        <f>CHARMS!BE$6</f>
        <v/>
      </c>
      <c r="B40" s="376" t="str">
        <f>HLOOKUP($A40,CHARMS!$A$6:$CQ$89,1,)</f>
        <v/>
      </c>
      <c r="C40" s="369" t="str">
        <f>IF($A40="","",HLOOKUP($A40,CHARMS!$A$6:$CQ$89,48,))</f>
        <v/>
      </c>
      <c r="D40" s="373" t="str">
        <f>IF($A40="","",IF(HLOOKUP($A40,CHARMS!$A$6:$CQ$89,40,)=0,"Unkown",HLOOKUP($A40,CHARMS!$A$6:$CQ$89,40,)))</f>
        <v/>
      </c>
      <c r="E40" s="369" t="str">
        <f>IF($A40="","",IF(HLOOKUP($A40,CHARMS!$A$6:$CQ$89,40,)=0,"Unkown",CONCATENATE(HLOOKUP($A40,CHARMS!$A$6:$CQ$89,41,)," (",FIXED((HLOOKUP($A40,CHARMS!$A$6:$CQ$89,41,)/HLOOKUP($A40,CHARMS!$A$6:$CQ$89,40,))*100,1),")")))</f>
        <v/>
      </c>
      <c r="F40" s="369" t="str">
        <f>IF($A40="","",IF(HLOOKUP($A40,CHARMS!$A$6:$CQ$89,33,)=0,"Unkown",HLOOKUP($A40,CHARMS!$A$6:$CQ$89,33,)))</f>
        <v/>
      </c>
      <c r="G40" s="369" t="str">
        <f>IF($A40="","",HLOOKUP($A40,CHARMS!$A$6:$CQ$89,79,))</f>
        <v/>
      </c>
      <c r="H40" s="371" t="str">
        <f>IF($A40="","",HLOOKUP($A40,CHARMS!$A$6:$CQ$89,43,))</f>
        <v/>
      </c>
      <c r="I40" s="369" t="str">
        <f>IF($A40="","",HLOOKUP($A40,CHARMS!$A$6:$CQ$89,49,))</f>
        <v/>
      </c>
      <c r="J40" s="369" t="str">
        <f>IF($A40="","",HLOOKUP($A40,CHARMS!$A$6:$CQ$89,50,))</f>
        <v/>
      </c>
      <c r="K40" s="369" t="str">
        <f>CONCATENATE(IF($A40="","",IF(OR(HLOOKUP($A40,CHARMS!$A$6:$CQ$89,40,)=0,ISTEXT(HLOOKUP($A40,CHARMS!$A$6:$CQ$89,45,))),"n (%): Unkown",CONCATENATE("n (%): ",HLOOKUP($A40,CHARMS!$A$6:$CQ$89,45,)," (",FIXED((HLOOKUP($A40,CHARMS!$A$6:$CQ$89,45,)/HLOOKUP($A40,CHARMS!$A$6:$CQ$89,40,))*100,1),")"))),CHAR(10),IF($A40="","",CONCATENATE("Method: ",HLOOKUP($A40,CHARMS!$A$6:$CQ$89,46,))))</f>
        <v xml:space="preserve">
</v>
      </c>
      <c r="L40" s="371" t="str">
        <f>IF($A40="","",CONCATENATE("Int: ",HLOOKUP($A40,CHARMS!$A$6:$CQ$89,75,),CHAR(10),"Ext : ",HLOOKUP($A40,CHARMS!$A$6:$CQ$89,76,)))</f>
        <v/>
      </c>
      <c r="M40" s="371" t="str">
        <f>IF($A40="","",CONCATENATE("Cal: ",HLOOKUP($A40,CHARMS!$A$6:$CQ$89,53,),CHAR(10),"Disc : ",HLOOKUP($A40,CHARMS!$A$6:$CQ$89,59,),CHAR(10),"Ov: ",HLOOKUP($A40,CHARMS!$A$6:$CQ$89,66,)))</f>
        <v/>
      </c>
      <c r="N40" s="136" t="s">
        <v>27</v>
      </c>
      <c r="O40" s="137" t="str">
        <f>_xlfn.IFNA(IF(HLOOKUP($A40,PROBAST!$A$6:$AE$77,11,)="Low RoB","+",IF(HLOOKUP($A40,PROBAST!$A$6:$AE$77,11,)="High RoB","-",IF(HLOOKUP($A40,PROBAST!$A$6:$AE$77,11,)="Unclear","?",""))),"")</f>
        <v/>
      </c>
      <c r="P40" s="137" t="str">
        <f>_xlfn.IFNA(IF(HLOOKUP($A40,PROBAST!$A$6:$AE$77,25,)="Low RoB","+",IF(HLOOKUP($A40,PROBAST!$A$6:$AE$77,25,)="High RoB","-",IF(HLOOKUP($A40,PROBAST!$A$6:$AE$77,25,)="Unclear","?",""))),"")</f>
        <v/>
      </c>
      <c r="Q40" s="137" t="str">
        <f>_xlfn.IFNA(IF(HLOOKUP($A40,PROBAST!$A$6:$AE$77,39,)="Low RoB","+",IF(HLOOKUP($A40,PROBAST!$A$6:$AE$77,39,)="High RoB","-",IF(HLOOKUP($A40,PROBAST!$A$6:$AE$77,39,)="Unclear","?",""))),"")</f>
        <v/>
      </c>
      <c r="R40" s="138" t="str">
        <f>_xlfn.IFNA(IF(HLOOKUP($A40,PROBAST!$A$6:$AE$77,58,)="Low RoB","+",IF(HLOOKUP($A40,PROBAST!$A$6:$AE$77,58,)="High RoB","-",IF(HLOOKUP($A40,PROBAST!$A$6:$AE$77,58,)="Unclear","?",""))),"")</f>
        <v/>
      </c>
      <c r="S40" s="139"/>
      <c r="T40" s="139"/>
      <c r="U40" s="139"/>
      <c r="V40" s="139"/>
      <c r="W40" s="139"/>
    </row>
    <row r="41" spans="1:23" ht="22.5" customHeight="1" thickBot="1" x14ac:dyDescent="0.25">
      <c r="A41" s="375"/>
      <c r="B41" s="377"/>
      <c r="C41" s="370"/>
      <c r="D41" s="374"/>
      <c r="E41" s="370"/>
      <c r="F41" s="370"/>
      <c r="G41" s="370"/>
      <c r="H41" s="372"/>
      <c r="I41" s="370"/>
      <c r="J41" s="370"/>
      <c r="K41" s="379"/>
      <c r="L41" s="372"/>
      <c r="M41" s="372"/>
      <c r="N41" s="141" t="s">
        <v>26</v>
      </c>
      <c r="O41" s="142" t="str">
        <f>_xlfn.IFNA(IF(HLOOKUP($A40,PROBAST!$A$6:$AE$77,12,)="Low concern","+",IF(HLOOKUP($A40,PROBAST!$A$6:$AE$77,12,)="High concern","-",IF(HLOOKUP($A40,PROBAST!$A$6:$AE$77,12,)="Unclear","?",""))),"")</f>
        <v/>
      </c>
      <c r="P41" s="142" t="str">
        <f>_xlfn.IFNA(IF(HLOOKUP($A40,PROBAST!$A$6:$AE$77,26,)="Low concern","+",IF(HLOOKUP($A40,PROBAST!$A$6:$AE$77,26,)="High concern","-",IF(HLOOKUP($A40,PROBAST!$A$6:$AE$77,26,)="Unclear","?",""))),"")</f>
        <v/>
      </c>
      <c r="Q41" s="142" t="str">
        <f>_xlfn.IFNA(IF(HLOOKUP($A40,PROBAST!$A$6:$AE$77,40,)="Low concern","+",IF(HLOOKUP($A40,PROBAST!$A$6:$AE$77,40,)="High concern","-",IF(HLOOKUP($A40,PROBAST!$A$6:$AE$77,40,)="Unclear","?",""))),"")</f>
        <v/>
      </c>
      <c r="R41" s="143"/>
    </row>
    <row r="42" spans="1:23" s="140" customFormat="1" ht="22.5" customHeight="1" x14ac:dyDescent="0.2">
      <c r="A42" s="375" t="str">
        <f>CHARMS!BH$6</f>
        <v/>
      </c>
      <c r="B42" s="376" t="str">
        <f>HLOOKUP($A42,CHARMS!$A$6:$CQ$89,1,)</f>
        <v/>
      </c>
      <c r="C42" s="369" t="str">
        <f>IF($A42="","",HLOOKUP($A42,CHARMS!$A$6:$CQ$89,48,))</f>
        <v/>
      </c>
      <c r="D42" s="373" t="str">
        <f>IF($A42="","",IF(HLOOKUP($A42,CHARMS!$A$6:$CQ$89,40,)=0,"Unkown",HLOOKUP($A42,CHARMS!$A$6:$CQ$89,40,)))</f>
        <v/>
      </c>
      <c r="E42" s="369" t="str">
        <f>IF($A42="","",IF(HLOOKUP($A42,CHARMS!$A$6:$CQ$89,40,)=0,"Unkown",CONCATENATE(HLOOKUP($A42,CHARMS!$A$6:$CQ$89,41,)," (",FIXED((HLOOKUP($A42,CHARMS!$A$6:$CQ$89,41,)/HLOOKUP($A42,CHARMS!$A$6:$CQ$89,40,))*100,1),")")))</f>
        <v/>
      </c>
      <c r="F42" s="369" t="str">
        <f>IF($A42="","",IF(HLOOKUP($A42,CHARMS!$A$6:$CQ$89,33,)=0,"Unkown",HLOOKUP($A42,CHARMS!$A$6:$CQ$89,33,)))</f>
        <v/>
      </c>
      <c r="G42" s="369" t="str">
        <f>IF($A42="","",HLOOKUP($A42,CHARMS!$A$6:$CQ$89,79,))</f>
        <v/>
      </c>
      <c r="H42" s="371" t="str">
        <f>IF($A42="","",HLOOKUP($A42,CHARMS!$A$6:$CQ$89,43,))</f>
        <v/>
      </c>
      <c r="I42" s="369" t="str">
        <f>IF($A42="","",HLOOKUP($A42,CHARMS!$A$6:$CQ$89,49,))</f>
        <v/>
      </c>
      <c r="J42" s="369" t="str">
        <f>IF($A42="","",HLOOKUP($A42,CHARMS!$A$6:$CQ$89,50,))</f>
        <v/>
      </c>
      <c r="K42" s="369" t="str">
        <f>CONCATENATE(IF($A42="","",IF(OR(HLOOKUP($A42,CHARMS!$A$6:$CQ$89,40,)=0,ISTEXT(HLOOKUP($A42,CHARMS!$A$6:$CQ$89,45,))),"n (%): Unkown",CONCATENATE("n (%): ",HLOOKUP($A42,CHARMS!$A$6:$CQ$89,45,)," (",FIXED((HLOOKUP($A42,CHARMS!$A$6:$CQ$89,45,)/HLOOKUP($A42,CHARMS!$A$6:$CQ$89,40,))*100,1),")"))),CHAR(10),IF($A42="","",CONCATENATE("Method: ",HLOOKUP($A42,CHARMS!$A$6:$CQ$89,46,))))</f>
        <v xml:space="preserve">
</v>
      </c>
      <c r="L42" s="371" t="str">
        <f>IF($A42="","",CONCATENATE("Int: ",HLOOKUP($A42,CHARMS!$A$6:$CQ$89,75,),CHAR(10),"Ext : ",HLOOKUP($A42,CHARMS!$A$6:$CQ$89,76,)))</f>
        <v/>
      </c>
      <c r="M42" s="371" t="str">
        <f>IF($A42="","",CONCATENATE("Cal: ",HLOOKUP($A42,CHARMS!$A$6:$CQ$89,53,),CHAR(10),"Disc : ",HLOOKUP($A42,CHARMS!$A$6:$CQ$89,59,),CHAR(10),"Ov: ",HLOOKUP($A42,CHARMS!$A$6:$CQ$89,66,)))</f>
        <v/>
      </c>
      <c r="N42" s="136" t="s">
        <v>27</v>
      </c>
      <c r="O42" s="137" t="str">
        <f>_xlfn.IFNA(IF(HLOOKUP($A42,PROBAST!$A$6:$AE$77,11,)="Low RoB","+",IF(HLOOKUP($A42,PROBAST!$A$6:$AE$77,11,)="High RoB","-",IF(HLOOKUP($A42,PROBAST!$A$6:$AE$77,11,)="Unclear","?",""))),"")</f>
        <v/>
      </c>
      <c r="P42" s="137" t="str">
        <f>_xlfn.IFNA(IF(HLOOKUP($A42,PROBAST!$A$6:$AE$77,25,)="Low RoB","+",IF(HLOOKUP($A42,PROBAST!$A$6:$AE$77,25,)="High RoB","-",IF(HLOOKUP($A42,PROBAST!$A$6:$AE$77,25,)="Unclear","?",""))),"")</f>
        <v/>
      </c>
      <c r="Q42" s="137" t="str">
        <f>_xlfn.IFNA(IF(HLOOKUP($A42,PROBAST!$A$6:$AE$77,39,)="Low RoB","+",IF(HLOOKUP($A42,PROBAST!$A$6:$AE$77,39,)="High RoB","-",IF(HLOOKUP($A42,PROBAST!$A$6:$AE$77,39,)="Unclear","?",""))),"")</f>
        <v/>
      </c>
      <c r="R42" s="138" t="str">
        <f>_xlfn.IFNA(IF(HLOOKUP($A42,PROBAST!$A$6:$AE$77,58,)="Low RoB","+",IF(HLOOKUP($A42,PROBAST!$A$6:$AE$77,58,)="High RoB","-",IF(HLOOKUP($A42,PROBAST!$A$6:$AE$77,58,)="Unclear","?",""))),"")</f>
        <v/>
      </c>
      <c r="S42" s="139"/>
      <c r="T42" s="139"/>
      <c r="U42" s="139"/>
      <c r="V42" s="139"/>
      <c r="W42" s="139"/>
    </row>
    <row r="43" spans="1:23" ht="22.5" customHeight="1" thickBot="1" x14ac:dyDescent="0.25">
      <c r="A43" s="375"/>
      <c r="B43" s="377"/>
      <c r="C43" s="370"/>
      <c r="D43" s="374"/>
      <c r="E43" s="370"/>
      <c r="F43" s="370"/>
      <c r="G43" s="370"/>
      <c r="H43" s="372"/>
      <c r="I43" s="370"/>
      <c r="J43" s="370"/>
      <c r="K43" s="379"/>
      <c r="L43" s="372"/>
      <c r="M43" s="372"/>
      <c r="N43" s="141" t="s">
        <v>26</v>
      </c>
      <c r="O43" s="142" t="str">
        <f>_xlfn.IFNA(IF(HLOOKUP($A42,PROBAST!$A$6:$AE$77,12,)="Low concern","+",IF(HLOOKUP($A42,PROBAST!$A$6:$AE$77,12,)="High concern","-",IF(HLOOKUP($A42,PROBAST!$A$6:$AE$77,12,)="Unclear","?",""))),"")</f>
        <v/>
      </c>
      <c r="P43" s="142" t="str">
        <f>_xlfn.IFNA(IF(HLOOKUP($A42,PROBAST!$A$6:$AE$77,26,)="Low concern","+",IF(HLOOKUP($A42,PROBAST!$A$6:$AE$77,26,)="High concern","-",IF(HLOOKUP($A42,PROBAST!$A$6:$AE$77,26,)="Unclear","?",""))),"")</f>
        <v/>
      </c>
      <c r="Q43" s="142" t="str">
        <f>_xlfn.IFNA(IF(HLOOKUP($A42,PROBAST!$A$6:$AE$77,40,)="Low concern","+",IF(HLOOKUP($A42,PROBAST!$A$6:$AE$77,40,)="High concern","-",IF(HLOOKUP($A42,PROBAST!$A$6:$AE$77,40,)="Unclear","?",""))),"")</f>
        <v/>
      </c>
      <c r="R43" s="143"/>
    </row>
    <row r="44" spans="1:23" s="140" customFormat="1" ht="22.5" customHeight="1" x14ac:dyDescent="0.2">
      <c r="A44" s="375" t="str">
        <f>CHARMS!BK$6</f>
        <v/>
      </c>
      <c r="B44" s="376" t="str">
        <f>HLOOKUP($A44,CHARMS!$A$6:$CQ$89,1,)</f>
        <v/>
      </c>
      <c r="C44" s="369" t="str">
        <f>IF($A44="","",HLOOKUP($A44,CHARMS!$A$6:$CQ$89,48,))</f>
        <v/>
      </c>
      <c r="D44" s="373" t="str">
        <f>IF($A44="","",IF(HLOOKUP($A44,CHARMS!$A$6:$CQ$89,40,)=0,"Unkown",HLOOKUP($A44,CHARMS!$A$6:$CQ$89,40,)))</f>
        <v/>
      </c>
      <c r="E44" s="369" t="str">
        <f>IF($A44="","",IF(HLOOKUP($A44,CHARMS!$A$6:$CQ$89,40,)=0,"Unkown",CONCATENATE(HLOOKUP($A44,CHARMS!$A$6:$CQ$89,41,)," (",FIXED((HLOOKUP($A44,CHARMS!$A$6:$CQ$89,41,)/HLOOKUP($A44,CHARMS!$A$6:$CQ$89,40,))*100,1),")")))</f>
        <v/>
      </c>
      <c r="F44" s="369" t="str">
        <f>IF($A44="","",IF(HLOOKUP($A44,CHARMS!$A$6:$CQ$89,33,)=0,"Unkown",HLOOKUP($A44,CHARMS!$A$6:$CQ$89,33,)))</f>
        <v/>
      </c>
      <c r="G44" s="369" t="str">
        <f>IF($A44="","",HLOOKUP($A44,CHARMS!$A$6:$CQ$89,79,))</f>
        <v/>
      </c>
      <c r="H44" s="371" t="str">
        <f>IF($A44="","",HLOOKUP($A44,CHARMS!$A$6:$CQ$89,43,))</f>
        <v/>
      </c>
      <c r="I44" s="369" t="str">
        <f>IF($A44="","",HLOOKUP($A44,CHARMS!$A$6:$CQ$89,49,))</f>
        <v/>
      </c>
      <c r="J44" s="369" t="str">
        <f>IF($A44="","",HLOOKUP($A44,CHARMS!$A$6:$CQ$89,50,))</f>
        <v/>
      </c>
      <c r="K44" s="369" t="str">
        <f>CONCATENATE(IF($A44="","",IF(OR(HLOOKUP($A44,CHARMS!$A$6:$CQ$89,40,)=0,ISTEXT(HLOOKUP($A44,CHARMS!$A$6:$CQ$89,45,))),"n (%): Unkown",CONCATENATE("n (%): ",HLOOKUP($A44,CHARMS!$A$6:$CQ$89,45,)," (",FIXED((HLOOKUP($A44,CHARMS!$A$6:$CQ$89,45,)/HLOOKUP($A44,CHARMS!$A$6:$CQ$89,40,))*100,1),")"))),CHAR(10),IF($A44="","",CONCATENATE("Method: ",HLOOKUP($A44,CHARMS!$A$6:$CQ$89,46,))))</f>
        <v xml:space="preserve">
</v>
      </c>
      <c r="L44" s="371" t="str">
        <f>IF($A44="","",CONCATENATE("Int: ",HLOOKUP($A44,CHARMS!$A$6:$CQ$89,75,),CHAR(10),"Ext : ",HLOOKUP($A44,CHARMS!$A$6:$CQ$89,76,)))</f>
        <v/>
      </c>
      <c r="M44" s="371" t="str">
        <f>IF($A44="","",CONCATENATE("Cal: ",HLOOKUP($A44,CHARMS!$A$6:$CQ$89,53,),CHAR(10),"Disc : ",HLOOKUP($A44,CHARMS!$A$6:$CQ$89,59,),CHAR(10),"Ov: ",HLOOKUP($A44,CHARMS!$A$6:$CQ$89,66,)))</f>
        <v/>
      </c>
      <c r="N44" s="136" t="s">
        <v>27</v>
      </c>
      <c r="O44" s="137" t="str">
        <f>_xlfn.IFNA(IF(HLOOKUP($A44,PROBAST!$A$6:$AE$77,11,)="Low RoB","+",IF(HLOOKUP($A44,PROBAST!$A$6:$AE$77,11,)="High RoB","-",IF(HLOOKUP($A44,PROBAST!$A$6:$AE$77,11,)="Unclear","?",""))),"")</f>
        <v/>
      </c>
      <c r="P44" s="137" t="str">
        <f>_xlfn.IFNA(IF(HLOOKUP($A44,PROBAST!$A$6:$AE$77,25,)="Low RoB","+",IF(HLOOKUP($A44,PROBAST!$A$6:$AE$77,25,)="High RoB","-",IF(HLOOKUP($A44,PROBAST!$A$6:$AE$77,25,)="Unclear","?",""))),"")</f>
        <v/>
      </c>
      <c r="Q44" s="137" t="str">
        <f>_xlfn.IFNA(IF(HLOOKUP($A44,PROBAST!$A$6:$AE$77,39,)="Low RoB","+",IF(HLOOKUP($A44,PROBAST!$A$6:$AE$77,39,)="High RoB","-",IF(HLOOKUP($A44,PROBAST!$A$6:$AE$77,39,)="Unclear","?",""))),"")</f>
        <v/>
      </c>
      <c r="R44" s="138" t="str">
        <f>_xlfn.IFNA(IF(HLOOKUP($A44,PROBAST!$A$6:$AE$77,58,)="Low RoB","+",IF(HLOOKUP($A44,PROBAST!$A$6:$AE$77,58,)="High RoB","-",IF(HLOOKUP($A44,PROBAST!$A$6:$AE$77,58,)="Unclear","?",""))),"")</f>
        <v/>
      </c>
      <c r="S44" s="139"/>
      <c r="T44" s="139"/>
      <c r="U44" s="139"/>
      <c r="V44" s="139"/>
      <c r="W44" s="139"/>
    </row>
    <row r="45" spans="1:23" ht="22.5" customHeight="1" thickBot="1" x14ac:dyDescent="0.25">
      <c r="A45" s="375"/>
      <c r="B45" s="377"/>
      <c r="C45" s="370"/>
      <c r="D45" s="374"/>
      <c r="E45" s="370"/>
      <c r="F45" s="370"/>
      <c r="G45" s="370"/>
      <c r="H45" s="372"/>
      <c r="I45" s="370"/>
      <c r="J45" s="370"/>
      <c r="K45" s="379"/>
      <c r="L45" s="372"/>
      <c r="M45" s="372"/>
      <c r="N45" s="141" t="s">
        <v>26</v>
      </c>
      <c r="O45" s="142" t="str">
        <f>_xlfn.IFNA(IF(HLOOKUP($A44,PROBAST!$A$6:$AE$77,12,)="Low concern","+",IF(HLOOKUP($A44,PROBAST!$A$6:$AE$77,12,)="High concern","-",IF(HLOOKUP($A44,PROBAST!$A$6:$AE$77,12,)="Unclear","?",""))),"")</f>
        <v/>
      </c>
      <c r="P45" s="142" t="str">
        <f>_xlfn.IFNA(IF(HLOOKUP($A44,PROBAST!$A$6:$AE$77,26,)="Low concern","+",IF(HLOOKUP($A44,PROBAST!$A$6:$AE$77,26,)="High concern","-",IF(HLOOKUP($A44,PROBAST!$A$6:$AE$77,26,)="Unclear","?",""))),"")</f>
        <v/>
      </c>
      <c r="Q45" s="142" t="str">
        <f>_xlfn.IFNA(IF(HLOOKUP($A44,PROBAST!$A$6:$AE$77,40,)="Low concern","+",IF(HLOOKUP($A44,PROBAST!$A$6:$AE$77,40,)="High concern","-",IF(HLOOKUP($A44,PROBAST!$A$6:$AE$77,40,)="Unclear","?",""))),"")</f>
        <v/>
      </c>
      <c r="R45" s="143"/>
    </row>
    <row r="46" spans="1:23" s="140" customFormat="1" ht="22.5" customHeight="1" x14ac:dyDescent="0.2">
      <c r="A46" s="375" t="str">
        <f>CHARMS!BN$6</f>
        <v/>
      </c>
      <c r="B46" s="376" t="str">
        <f>HLOOKUP($A46,CHARMS!$A$6:$CQ$89,1,)</f>
        <v/>
      </c>
      <c r="C46" s="369" t="str">
        <f>IF($A46="","",HLOOKUP($A46,CHARMS!$A$6:$CQ$89,48,))</f>
        <v/>
      </c>
      <c r="D46" s="373" t="str">
        <f>IF($A46="","",IF(HLOOKUP($A46,CHARMS!$A$6:$CQ$89,40,)=0,"Unkown",HLOOKUP($A46,CHARMS!$A$6:$CQ$89,40,)))</f>
        <v/>
      </c>
      <c r="E46" s="369" t="str">
        <f>IF($A46="","",IF(HLOOKUP($A46,CHARMS!$A$6:$CQ$89,40,)=0,"Unkown",CONCATENATE(HLOOKUP($A46,CHARMS!$A$6:$CQ$89,41,)," (",FIXED((HLOOKUP($A46,CHARMS!$A$6:$CQ$89,41,)/HLOOKUP($A46,CHARMS!$A$6:$CQ$89,40,))*100,1),")")))</f>
        <v/>
      </c>
      <c r="F46" s="369" t="str">
        <f>IF($A46="","",IF(HLOOKUP($A46,CHARMS!$A$6:$CQ$89,33,)=0,"Unkown",HLOOKUP($A46,CHARMS!$A$6:$CQ$89,33,)))</f>
        <v/>
      </c>
      <c r="G46" s="369" t="str">
        <f>IF($A46="","",HLOOKUP($A46,CHARMS!$A$6:$CQ$89,79,))</f>
        <v/>
      </c>
      <c r="H46" s="371" t="str">
        <f>IF($A46="","",HLOOKUP($A46,CHARMS!$A$6:$CQ$89,43,))</f>
        <v/>
      </c>
      <c r="I46" s="369" t="str">
        <f>IF($A46="","",HLOOKUP($A46,CHARMS!$A$6:$CQ$89,49,))</f>
        <v/>
      </c>
      <c r="J46" s="369" t="str">
        <f>IF($A46="","",HLOOKUP($A46,CHARMS!$A$6:$CQ$89,50,))</f>
        <v/>
      </c>
      <c r="K46" s="369" t="str">
        <f>CONCATENATE(IF($A46="","",IF(OR(HLOOKUP($A46,CHARMS!$A$6:$CQ$89,40,)=0,ISTEXT(HLOOKUP($A46,CHARMS!$A$6:$CQ$89,45,))),"n (%): Unkown",CONCATENATE("n (%): ",HLOOKUP($A46,CHARMS!$A$6:$CQ$89,45,)," (",FIXED((HLOOKUP($A46,CHARMS!$A$6:$CQ$89,45,)/HLOOKUP($A46,CHARMS!$A$6:$CQ$89,40,))*100,1),")"))),CHAR(10),IF($A46="","",CONCATENATE("Method: ",HLOOKUP($A46,CHARMS!$A$6:$CQ$89,46,))))</f>
        <v xml:space="preserve">
</v>
      </c>
      <c r="L46" s="371" t="str">
        <f>IF($A46="","",CONCATENATE("Int: ",HLOOKUP($A46,CHARMS!$A$6:$CQ$89,75,),CHAR(10),"Ext : ",HLOOKUP($A46,CHARMS!$A$6:$CQ$89,76,)))</f>
        <v/>
      </c>
      <c r="M46" s="371" t="str">
        <f>IF($A46="","",CONCATENATE("Cal: ",HLOOKUP($A46,CHARMS!$A$6:$CQ$89,53,),CHAR(10),"Disc : ",HLOOKUP($A46,CHARMS!$A$6:$CQ$89,59,),CHAR(10),"Ov: ",HLOOKUP($A46,CHARMS!$A$6:$CQ$89,66,)))</f>
        <v/>
      </c>
      <c r="N46" s="136" t="s">
        <v>27</v>
      </c>
      <c r="O46" s="137" t="str">
        <f>_xlfn.IFNA(IF(HLOOKUP($A46,PROBAST!$A$6:$AE$77,11,)="Low RoB","+",IF(HLOOKUP($A46,PROBAST!$A$6:$AE$77,11,)="High RoB","-",IF(HLOOKUP($A46,PROBAST!$A$6:$AE$77,11,)="Unclear","?",""))),"")</f>
        <v/>
      </c>
      <c r="P46" s="137" t="str">
        <f>_xlfn.IFNA(IF(HLOOKUP($A46,PROBAST!$A$6:$AE$77,25,)="Low RoB","+",IF(HLOOKUP($A46,PROBAST!$A$6:$AE$77,25,)="High RoB","-",IF(HLOOKUP($A46,PROBAST!$A$6:$AE$77,25,)="Unclear","?",""))),"")</f>
        <v/>
      </c>
      <c r="Q46" s="137" t="str">
        <f>_xlfn.IFNA(IF(HLOOKUP($A46,PROBAST!$A$6:$AE$77,39,)="Low RoB","+",IF(HLOOKUP($A46,PROBAST!$A$6:$AE$77,39,)="High RoB","-",IF(HLOOKUP($A46,PROBAST!$A$6:$AE$77,39,)="Unclear","?",""))),"")</f>
        <v/>
      </c>
      <c r="R46" s="138" t="str">
        <f>_xlfn.IFNA(IF(HLOOKUP($A46,PROBAST!$A$6:$AE$77,58,)="Low RoB","+",IF(HLOOKUP($A46,PROBAST!$A$6:$AE$77,58,)="High RoB","-",IF(HLOOKUP($A46,PROBAST!$A$6:$AE$77,58,)="Unclear","?",""))),"")</f>
        <v/>
      </c>
      <c r="S46" s="139"/>
      <c r="T46" s="139"/>
      <c r="U46" s="139"/>
      <c r="V46" s="139"/>
      <c r="W46" s="139"/>
    </row>
    <row r="47" spans="1:23" ht="22.5" customHeight="1" thickBot="1" x14ac:dyDescent="0.25">
      <c r="A47" s="375"/>
      <c r="B47" s="377"/>
      <c r="C47" s="370"/>
      <c r="D47" s="374"/>
      <c r="E47" s="370"/>
      <c r="F47" s="370"/>
      <c r="G47" s="370"/>
      <c r="H47" s="372"/>
      <c r="I47" s="370"/>
      <c r="J47" s="370"/>
      <c r="K47" s="379"/>
      <c r="L47" s="372"/>
      <c r="M47" s="372"/>
      <c r="N47" s="141" t="s">
        <v>26</v>
      </c>
      <c r="O47" s="142" t="str">
        <f>_xlfn.IFNA(IF(HLOOKUP($A46,PROBAST!$A$6:$AE$77,12,)="Low concern","+",IF(HLOOKUP($A46,PROBAST!$A$6:$AE$77,12,)="High concern","-",IF(HLOOKUP($A46,PROBAST!$A$6:$AE$77,12,)="Unclear","?",""))),"")</f>
        <v/>
      </c>
      <c r="P47" s="142" t="str">
        <f>_xlfn.IFNA(IF(HLOOKUP($A46,PROBAST!$A$6:$AE$77,26,)="Low concern","+",IF(HLOOKUP($A46,PROBAST!$A$6:$AE$77,26,)="High concern","-",IF(HLOOKUP($A46,PROBAST!$A$6:$AE$77,26,)="Unclear","?",""))),"")</f>
        <v/>
      </c>
      <c r="Q47" s="142" t="str">
        <f>_xlfn.IFNA(IF(HLOOKUP($A46,PROBAST!$A$6:$AE$77,40,)="Low concern","+",IF(HLOOKUP($A46,PROBAST!$A$6:$AE$77,40,)="High concern","-",IF(HLOOKUP($A46,PROBAST!$A$6:$AE$77,40,)="Unclear","?",""))),"")</f>
        <v/>
      </c>
      <c r="R47" s="143"/>
    </row>
    <row r="48" spans="1:23" s="140" customFormat="1" ht="22.5" customHeight="1" x14ac:dyDescent="0.2">
      <c r="A48" s="375" t="str">
        <f>CHARMS!BQ$6</f>
        <v/>
      </c>
      <c r="B48" s="376" t="str">
        <f>HLOOKUP($A48,CHARMS!$A$6:$CQ$89,1,)</f>
        <v/>
      </c>
      <c r="C48" s="369" t="str">
        <f>IF($A48="","",HLOOKUP($A48,CHARMS!$A$6:$CQ$89,48,))</f>
        <v/>
      </c>
      <c r="D48" s="373" t="str">
        <f>IF($A48="","",IF(HLOOKUP($A48,CHARMS!$A$6:$CQ$89,40,)=0,"Unkown",HLOOKUP($A48,CHARMS!$A$6:$CQ$89,40,)))</f>
        <v/>
      </c>
      <c r="E48" s="369" t="str">
        <f>IF($A48="","",IF(HLOOKUP($A48,CHARMS!$A$6:$CQ$89,40,)=0,"Unkown",CONCATENATE(HLOOKUP($A48,CHARMS!$A$6:$CQ$89,41,)," (",FIXED((HLOOKUP($A48,CHARMS!$A$6:$CQ$89,41,)/HLOOKUP($A48,CHARMS!$A$6:$CQ$89,40,))*100,1),")")))</f>
        <v/>
      </c>
      <c r="F48" s="369" t="str">
        <f>IF($A48="","",IF(HLOOKUP($A48,CHARMS!$A$6:$CQ$89,33,)=0,"Unkown",HLOOKUP($A48,CHARMS!$A$6:$CQ$89,33,)))</f>
        <v/>
      </c>
      <c r="G48" s="369" t="str">
        <f>IF($A48="","",HLOOKUP($A48,CHARMS!$A$6:$CQ$89,79,))</f>
        <v/>
      </c>
      <c r="H48" s="371" t="str">
        <f>IF($A48="","",HLOOKUP($A48,CHARMS!$A$6:$CQ$89,43,))</f>
        <v/>
      </c>
      <c r="I48" s="369" t="str">
        <f>IF($A48="","",HLOOKUP($A48,CHARMS!$A$6:$CQ$89,49,))</f>
        <v/>
      </c>
      <c r="J48" s="369" t="str">
        <f>IF($A48="","",HLOOKUP($A48,CHARMS!$A$6:$CQ$89,50,))</f>
        <v/>
      </c>
      <c r="K48" s="369" t="str">
        <f>CONCATENATE(IF($A48="","",IF(OR(HLOOKUP($A48,CHARMS!$A$6:$CQ$89,40,)=0,ISTEXT(HLOOKUP($A48,CHARMS!$A$6:$CQ$89,45,))),"n (%): Unkown",CONCATENATE("n (%): ",HLOOKUP($A48,CHARMS!$A$6:$CQ$89,45,)," (",FIXED((HLOOKUP($A48,CHARMS!$A$6:$CQ$89,45,)/HLOOKUP($A48,CHARMS!$A$6:$CQ$89,40,))*100,1),")"))),CHAR(10),IF($A48="","",CONCATENATE("Method: ",HLOOKUP($A48,CHARMS!$A$6:$CQ$89,46,))))</f>
        <v xml:space="preserve">
</v>
      </c>
      <c r="L48" s="371" t="str">
        <f>IF($A48="","",CONCATENATE("Int: ",HLOOKUP($A48,CHARMS!$A$6:$CQ$89,75,),CHAR(10),"Ext : ",HLOOKUP($A48,CHARMS!$A$6:$CQ$89,76,)))</f>
        <v/>
      </c>
      <c r="M48" s="371" t="str">
        <f>IF($A48="","",CONCATENATE("Cal: ",HLOOKUP($A48,CHARMS!$A$6:$CQ$89,53,),CHAR(10),"Disc : ",HLOOKUP($A48,CHARMS!$A$6:$CQ$89,59,),CHAR(10),"Ov: ",HLOOKUP($A48,CHARMS!$A$6:$CQ$89,66,)))</f>
        <v/>
      </c>
      <c r="N48" s="136" t="s">
        <v>27</v>
      </c>
      <c r="O48" s="137" t="str">
        <f>_xlfn.IFNA(IF(HLOOKUP($A48,PROBAST!$A$6:$AE$77,11,)="Low RoB","+",IF(HLOOKUP($A48,PROBAST!$A$6:$AE$77,11,)="High RoB","-",IF(HLOOKUP($A48,PROBAST!$A$6:$AE$77,11,)="Unclear","?",""))),"")</f>
        <v/>
      </c>
      <c r="P48" s="137" t="str">
        <f>_xlfn.IFNA(IF(HLOOKUP($A48,PROBAST!$A$6:$AE$77,25,)="Low RoB","+",IF(HLOOKUP($A48,PROBAST!$A$6:$AE$77,25,)="High RoB","-",IF(HLOOKUP($A48,PROBAST!$A$6:$AE$77,25,)="Unclear","?",""))),"")</f>
        <v/>
      </c>
      <c r="Q48" s="137" t="str">
        <f>_xlfn.IFNA(IF(HLOOKUP($A48,PROBAST!$A$6:$AE$77,39,)="Low RoB","+",IF(HLOOKUP($A48,PROBAST!$A$6:$AE$77,39,)="High RoB","-",IF(HLOOKUP($A48,PROBAST!$A$6:$AE$77,39,)="Unclear","?",""))),"")</f>
        <v/>
      </c>
      <c r="R48" s="138" t="str">
        <f>_xlfn.IFNA(IF(HLOOKUP($A48,PROBAST!$A$6:$AE$77,58,)="Low RoB","+",IF(HLOOKUP($A48,PROBAST!$A$6:$AE$77,58,)="High RoB","-",IF(HLOOKUP($A48,PROBAST!$A$6:$AE$77,58,)="Unclear","?",""))),"")</f>
        <v/>
      </c>
      <c r="S48" s="139"/>
      <c r="T48" s="139"/>
      <c r="U48" s="139"/>
      <c r="V48" s="139"/>
      <c r="W48" s="139"/>
    </row>
    <row r="49" spans="1:23" ht="22.5" customHeight="1" thickBot="1" x14ac:dyDescent="0.25">
      <c r="A49" s="375"/>
      <c r="B49" s="377"/>
      <c r="C49" s="370"/>
      <c r="D49" s="374"/>
      <c r="E49" s="370"/>
      <c r="F49" s="370"/>
      <c r="G49" s="370"/>
      <c r="H49" s="372"/>
      <c r="I49" s="370"/>
      <c r="J49" s="370"/>
      <c r="K49" s="379"/>
      <c r="L49" s="372"/>
      <c r="M49" s="372"/>
      <c r="N49" s="141" t="s">
        <v>26</v>
      </c>
      <c r="O49" s="142" t="str">
        <f>_xlfn.IFNA(IF(HLOOKUP($A48,PROBAST!$A$6:$AE$77,12,)="Low concern","+",IF(HLOOKUP($A48,PROBAST!$A$6:$AE$77,12,)="High concern","-",IF(HLOOKUP($A48,PROBAST!$A$6:$AE$77,12,)="Unclear","?",""))),"")</f>
        <v/>
      </c>
      <c r="P49" s="142" t="str">
        <f>_xlfn.IFNA(IF(HLOOKUP($A48,PROBAST!$A$6:$AE$77,26,)="Low concern","+",IF(HLOOKUP($A48,PROBAST!$A$6:$AE$77,26,)="High concern","-",IF(HLOOKUP($A48,PROBAST!$A$6:$AE$77,26,)="Unclear","?",""))),"")</f>
        <v/>
      </c>
      <c r="Q49" s="142" t="str">
        <f>_xlfn.IFNA(IF(HLOOKUP($A48,PROBAST!$A$6:$AE$77,40,)="Low concern","+",IF(HLOOKUP($A48,PROBAST!$A$6:$AE$77,40,)="High concern","-",IF(HLOOKUP($A48,PROBAST!$A$6:$AE$77,40,)="Unclear","?",""))),"")</f>
        <v/>
      </c>
      <c r="R49" s="143"/>
    </row>
    <row r="50" spans="1:23" s="140" customFormat="1" ht="22.5" customHeight="1" x14ac:dyDescent="0.2">
      <c r="A50" s="375" t="str">
        <f>CHARMS!BT$6</f>
        <v/>
      </c>
      <c r="B50" s="376" t="str">
        <f>HLOOKUP($A50,CHARMS!$A$6:$CQ$89,1,)</f>
        <v/>
      </c>
      <c r="C50" s="369" t="str">
        <f>IF($A50="","",HLOOKUP($A50,CHARMS!$A$6:$CQ$89,48,))</f>
        <v/>
      </c>
      <c r="D50" s="373" t="str">
        <f>IF($A50="","",IF(HLOOKUP($A50,CHARMS!$A$6:$CQ$89,40,)=0,"Unkown",HLOOKUP($A50,CHARMS!$A$6:$CQ$89,40,)))</f>
        <v/>
      </c>
      <c r="E50" s="369" t="str">
        <f>IF($A50="","",IF(HLOOKUP($A50,CHARMS!$A$6:$CQ$89,40,)=0,"Unkown",CONCATENATE(HLOOKUP($A50,CHARMS!$A$6:$CQ$89,41,)," (",FIXED((HLOOKUP($A50,CHARMS!$A$6:$CQ$89,41,)/HLOOKUP($A50,CHARMS!$A$6:$CQ$89,40,))*100,1),")")))</f>
        <v/>
      </c>
      <c r="F50" s="369" t="str">
        <f>IF($A50="","",IF(HLOOKUP($A50,CHARMS!$A$6:$CQ$89,33,)=0,"Unkown",HLOOKUP($A50,CHARMS!$A$6:$CQ$89,33,)))</f>
        <v/>
      </c>
      <c r="G50" s="369" t="str">
        <f>IF($A50="","",HLOOKUP($A50,CHARMS!$A$6:$CQ$89,79,))</f>
        <v/>
      </c>
      <c r="H50" s="371" t="str">
        <f>IF($A50="","",HLOOKUP($A50,CHARMS!$A$6:$CQ$89,43,))</f>
        <v/>
      </c>
      <c r="I50" s="369" t="str">
        <f>IF($A50="","",HLOOKUP($A50,CHARMS!$A$6:$CQ$89,49,))</f>
        <v/>
      </c>
      <c r="J50" s="369" t="str">
        <f>IF($A50="","",HLOOKUP($A50,CHARMS!$A$6:$CQ$89,50,))</f>
        <v/>
      </c>
      <c r="K50" s="369" t="str">
        <f>CONCATENATE(IF($A50="","",IF(OR(HLOOKUP($A50,CHARMS!$A$6:$CQ$89,40,)=0,ISTEXT(HLOOKUP($A50,CHARMS!$A$6:$CQ$89,45,))),"n (%): Unkown",CONCATENATE("n (%): ",HLOOKUP($A50,CHARMS!$A$6:$CQ$89,45,)," (",FIXED((HLOOKUP($A50,CHARMS!$A$6:$CQ$89,45,)/HLOOKUP($A50,CHARMS!$A$6:$CQ$89,40,))*100,1),")"))),CHAR(10),IF($A50="","",CONCATENATE("Method: ",HLOOKUP($A50,CHARMS!$A$6:$CQ$89,46,))))</f>
        <v xml:space="preserve">
</v>
      </c>
      <c r="L50" s="371" t="str">
        <f>IF($A50="","",CONCATENATE("Int: ",HLOOKUP($A50,CHARMS!$A$6:$CQ$89,75,),CHAR(10),"Ext : ",HLOOKUP($A50,CHARMS!$A$6:$CQ$89,76,)))</f>
        <v/>
      </c>
      <c r="M50" s="371" t="str">
        <f>IF($A50="","",CONCATENATE("Cal: ",HLOOKUP($A50,CHARMS!$A$6:$CQ$89,53,),CHAR(10),"Disc : ",HLOOKUP($A50,CHARMS!$A$6:$CQ$89,59,),CHAR(10),"Ov: ",HLOOKUP($A50,CHARMS!$A$6:$CQ$89,66,)))</f>
        <v/>
      </c>
      <c r="N50" s="136" t="s">
        <v>27</v>
      </c>
      <c r="O50" s="137" t="str">
        <f>_xlfn.IFNA(IF(HLOOKUP($A50,PROBAST!$A$6:$AE$77,11,)="Low RoB","+",IF(HLOOKUP($A50,PROBAST!$A$6:$AE$77,11,)="High RoB","-",IF(HLOOKUP($A50,PROBAST!$A$6:$AE$77,11,)="Unclear","?",""))),"")</f>
        <v/>
      </c>
      <c r="P50" s="137" t="str">
        <f>_xlfn.IFNA(IF(HLOOKUP($A50,PROBAST!$A$6:$AE$77,25,)="Low RoB","+",IF(HLOOKUP($A50,PROBAST!$A$6:$AE$77,25,)="High RoB","-",IF(HLOOKUP($A50,PROBAST!$A$6:$AE$77,25,)="Unclear","?",""))),"")</f>
        <v/>
      </c>
      <c r="Q50" s="137" t="str">
        <f>_xlfn.IFNA(IF(HLOOKUP($A50,PROBAST!$A$6:$AE$77,39,)="Low RoB","+",IF(HLOOKUP($A50,PROBAST!$A$6:$AE$77,39,)="High RoB","-",IF(HLOOKUP($A50,PROBAST!$A$6:$AE$77,39,)="Unclear","?",""))),"")</f>
        <v/>
      </c>
      <c r="R50" s="138" t="str">
        <f>_xlfn.IFNA(IF(HLOOKUP($A50,PROBAST!$A$6:$AE$77,58,)="Low RoB","+",IF(HLOOKUP($A50,PROBAST!$A$6:$AE$77,58,)="High RoB","-",IF(HLOOKUP($A50,PROBAST!$A$6:$AE$77,58,)="Unclear","?",""))),"")</f>
        <v/>
      </c>
      <c r="S50" s="139"/>
      <c r="T50" s="139"/>
      <c r="U50" s="139"/>
      <c r="V50" s="139"/>
      <c r="W50" s="139"/>
    </row>
    <row r="51" spans="1:23" ht="22.5" customHeight="1" thickBot="1" x14ac:dyDescent="0.25">
      <c r="A51" s="375"/>
      <c r="B51" s="377"/>
      <c r="C51" s="370"/>
      <c r="D51" s="374"/>
      <c r="E51" s="370"/>
      <c r="F51" s="370"/>
      <c r="G51" s="370"/>
      <c r="H51" s="372"/>
      <c r="I51" s="370"/>
      <c r="J51" s="370"/>
      <c r="K51" s="379"/>
      <c r="L51" s="372"/>
      <c r="M51" s="372"/>
      <c r="N51" s="141" t="s">
        <v>26</v>
      </c>
      <c r="O51" s="142" t="str">
        <f>_xlfn.IFNA(IF(HLOOKUP($A50,PROBAST!$A$6:$AE$77,12,)="Low concern","+",IF(HLOOKUP($A50,PROBAST!$A$6:$AE$77,12,)="High concern","-",IF(HLOOKUP($A50,PROBAST!$A$6:$AE$77,12,)="Unclear","?",""))),"")</f>
        <v/>
      </c>
      <c r="P51" s="142" t="str">
        <f>_xlfn.IFNA(IF(HLOOKUP($A50,PROBAST!$A$6:$AE$77,26,)="Low concern","+",IF(HLOOKUP($A50,PROBAST!$A$6:$AE$77,26,)="High concern","-",IF(HLOOKUP($A50,PROBAST!$A$6:$AE$77,26,)="Unclear","?",""))),"")</f>
        <v/>
      </c>
      <c r="Q51" s="142" t="str">
        <f>_xlfn.IFNA(IF(HLOOKUP($A50,PROBAST!$A$6:$AE$77,40,)="Low concern","+",IF(HLOOKUP($A50,PROBAST!$A$6:$AE$77,40,)="High concern","-",IF(HLOOKUP($A50,PROBAST!$A$6:$AE$77,40,)="Unclear","?",""))),"")</f>
        <v/>
      </c>
      <c r="R51" s="143"/>
    </row>
    <row r="52" spans="1:23" s="140" customFormat="1" ht="22.5" customHeight="1" x14ac:dyDescent="0.2">
      <c r="A52" s="375" t="str">
        <f>CHARMS!BW$6</f>
        <v/>
      </c>
      <c r="B52" s="376" t="str">
        <f>HLOOKUP($A52,CHARMS!$A$6:$CQ$89,1,)</f>
        <v/>
      </c>
      <c r="C52" s="369" t="str">
        <f>IF($A52="","",HLOOKUP($A52,CHARMS!$A$6:$CQ$89,48,))</f>
        <v/>
      </c>
      <c r="D52" s="373" t="str">
        <f>IF($A52="","",IF(HLOOKUP($A52,CHARMS!$A$6:$CQ$89,40,)=0,"Unkown",HLOOKUP($A52,CHARMS!$A$6:$CQ$89,40,)))</f>
        <v/>
      </c>
      <c r="E52" s="369" t="str">
        <f>IF($A52="","",IF(HLOOKUP($A52,CHARMS!$A$6:$CQ$89,40,)=0,"Unkown",CONCATENATE(HLOOKUP($A52,CHARMS!$A$6:$CQ$89,41,)," (",FIXED((HLOOKUP($A52,CHARMS!$A$6:$CQ$89,41,)/HLOOKUP($A52,CHARMS!$A$6:$CQ$89,40,))*100,1),")")))</f>
        <v/>
      </c>
      <c r="F52" s="369" t="str">
        <f>IF($A52="","",IF(HLOOKUP($A52,CHARMS!$A$6:$CQ$89,33,)=0,"Unkown",HLOOKUP($A52,CHARMS!$A$6:$CQ$89,33,)))</f>
        <v/>
      </c>
      <c r="G52" s="369" t="str">
        <f>IF($A52="","",HLOOKUP($A52,CHARMS!$A$6:$CQ$89,79,))</f>
        <v/>
      </c>
      <c r="H52" s="371" t="str">
        <f>IF($A52="","",HLOOKUP($A52,CHARMS!$A$6:$CQ$89,43,))</f>
        <v/>
      </c>
      <c r="I52" s="369" t="str">
        <f>IF($A52="","",HLOOKUP($A52,CHARMS!$A$6:$CQ$89,49,))</f>
        <v/>
      </c>
      <c r="J52" s="369" t="str">
        <f>IF($A52="","",HLOOKUP($A52,CHARMS!$A$6:$CQ$89,50,))</f>
        <v/>
      </c>
      <c r="K52" s="369" t="str">
        <f>CONCATENATE(IF($A52="","",IF(OR(HLOOKUP($A52,CHARMS!$A$6:$CQ$89,40,)=0,ISTEXT(HLOOKUP($A52,CHARMS!$A$6:$CQ$89,45,))),"n (%): Unkown",CONCATENATE("n (%): ",HLOOKUP($A52,CHARMS!$A$6:$CQ$89,45,)," (",FIXED((HLOOKUP($A52,CHARMS!$A$6:$CQ$89,45,)/HLOOKUP($A52,CHARMS!$A$6:$CQ$89,40,))*100,1),")"))),CHAR(10),IF($A52="","",CONCATENATE("Method: ",HLOOKUP($A52,CHARMS!$A$6:$CQ$89,46,))))</f>
        <v xml:space="preserve">
</v>
      </c>
      <c r="L52" s="371" t="str">
        <f>IF($A52="","",CONCATENATE("Int: ",HLOOKUP($A52,CHARMS!$A$6:$CQ$89,75,),CHAR(10),"Ext : ",HLOOKUP($A52,CHARMS!$A$6:$CQ$89,76,)))</f>
        <v/>
      </c>
      <c r="M52" s="371" t="str">
        <f>IF($A52="","",CONCATENATE("Cal: ",HLOOKUP($A52,CHARMS!$A$6:$CQ$89,53,),CHAR(10),"Disc : ",HLOOKUP($A52,CHARMS!$A$6:$CQ$89,59,),CHAR(10),"Ov: ",HLOOKUP($A52,CHARMS!$A$6:$CQ$89,66,)))</f>
        <v/>
      </c>
      <c r="N52" s="136" t="s">
        <v>27</v>
      </c>
      <c r="O52" s="137" t="str">
        <f>_xlfn.IFNA(IF(HLOOKUP($A52,PROBAST!$A$6:$AE$77,11,)="Low RoB","+",IF(HLOOKUP($A52,PROBAST!$A$6:$AE$77,11,)="High RoB","-",IF(HLOOKUP($A52,PROBAST!$A$6:$AE$77,11,)="Unclear","?",""))),"")</f>
        <v/>
      </c>
      <c r="P52" s="137" t="str">
        <f>_xlfn.IFNA(IF(HLOOKUP($A52,PROBAST!$A$6:$AE$77,25,)="Low RoB","+",IF(HLOOKUP($A52,PROBAST!$A$6:$AE$77,25,)="High RoB","-",IF(HLOOKUP($A52,PROBAST!$A$6:$AE$77,25,)="Unclear","?",""))),"")</f>
        <v/>
      </c>
      <c r="Q52" s="137" t="str">
        <f>_xlfn.IFNA(IF(HLOOKUP($A52,PROBAST!$A$6:$AE$77,39,)="Low RoB","+",IF(HLOOKUP($A52,PROBAST!$A$6:$AE$77,39,)="High RoB","-",IF(HLOOKUP($A52,PROBAST!$A$6:$AE$77,39,)="Unclear","?",""))),"")</f>
        <v/>
      </c>
      <c r="R52" s="138" t="str">
        <f>_xlfn.IFNA(IF(HLOOKUP($A52,PROBAST!$A$6:$AE$77,58,)="Low RoB","+",IF(HLOOKUP($A52,PROBAST!$A$6:$AE$77,58,)="High RoB","-",IF(HLOOKUP($A52,PROBAST!$A$6:$AE$77,58,)="Unclear","?",""))),"")</f>
        <v/>
      </c>
      <c r="S52" s="139"/>
      <c r="T52" s="139"/>
      <c r="U52" s="139"/>
      <c r="V52" s="139"/>
      <c r="W52" s="139"/>
    </row>
    <row r="53" spans="1:23" ht="22.5" customHeight="1" thickBot="1" x14ac:dyDescent="0.25">
      <c r="A53" s="375"/>
      <c r="B53" s="377"/>
      <c r="C53" s="370"/>
      <c r="D53" s="374"/>
      <c r="E53" s="370"/>
      <c r="F53" s="370"/>
      <c r="G53" s="370"/>
      <c r="H53" s="372"/>
      <c r="I53" s="370"/>
      <c r="J53" s="370"/>
      <c r="K53" s="379"/>
      <c r="L53" s="372"/>
      <c r="M53" s="372"/>
      <c r="N53" s="141" t="s">
        <v>26</v>
      </c>
      <c r="O53" s="142" t="str">
        <f>_xlfn.IFNA(IF(HLOOKUP($A52,PROBAST!$A$6:$AE$77,12,)="Low concern","+",IF(HLOOKUP($A52,PROBAST!$A$6:$AE$77,12,)="High concern","-",IF(HLOOKUP($A52,PROBAST!$A$6:$AE$77,12,)="Unclear","?",""))),"")</f>
        <v/>
      </c>
      <c r="P53" s="142" t="str">
        <f>_xlfn.IFNA(IF(HLOOKUP($A52,PROBAST!$A$6:$AE$77,26,)="Low concern","+",IF(HLOOKUP($A52,PROBAST!$A$6:$AE$77,26,)="High concern","-",IF(HLOOKUP($A52,PROBAST!$A$6:$AE$77,26,)="Unclear","?",""))),"")</f>
        <v/>
      </c>
      <c r="Q53" s="142" t="str">
        <f>_xlfn.IFNA(IF(HLOOKUP($A52,PROBAST!$A$6:$AE$77,40,)="Low concern","+",IF(HLOOKUP($A52,PROBAST!$A$6:$AE$77,40,)="High concern","-",IF(HLOOKUP($A52,PROBAST!$A$6:$AE$77,40,)="Unclear","?",""))),"")</f>
        <v/>
      </c>
      <c r="R53" s="143"/>
    </row>
    <row r="54" spans="1:23" s="140" customFormat="1" ht="22.5" customHeight="1" x14ac:dyDescent="0.2">
      <c r="A54" s="375" t="str">
        <f>CHARMS!BZ$6</f>
        <v/>
      </c>
      <c r="B54" s="376" t="str">
        <f>HLOOKUP($A54,CHARMS!$A$6:$CQ$89,1,)</f>
        <v/>
      </c>
      <c r="C54" s="369" t="str">
        <f>IF($A54="","",HLOOKUP($A54,CHARMS!$A$6:$CQ$89,48,))</f>
        <v/>
      </c>
      <c r="D54" s="373" t="str">
        <f>IF($A54="","",IF(HLOOKUP($A54,CHARMS!$A$6:$CQ$89,40,)=0,"Unkown",HLOOKUP($A54,CHARMS!$A$6:$CQ$89,40,)))</f>
        <v/>
      </c>
      <c r="E54" s="369" t="str">
        <f>IF($A54="","",IF(HLOOKUP($A54,CHARMS!$A$6:$CQ$89,40,)=0,"Unkown",CONCATENATE(HLOOKUP($A54,CHARMS!$A$6:$CQ$89,41,)," (",FIXED((HLOOKUP($A54,CHARMS!$A$6:$CQ$89,41,)/HLOOKUP($A54,CHARMS!$A$6:$CQ$89,40,))*100,1),")")))</f>
        <v/>
      </c>
      <c r="F54" s="369" t="str">
        <f>IF($A54="","",IF(HLOOKUP($A54,CHARMS!$A$6:$CQ$89,33,)=0,"Unkown",HLOOKUP($A54,CHARMS!$A$6:$CQ$89,33,)))</f>
        <v/>
      </c>
      <c r="G54" s="369" t="str">
        <f>IF($A54="","",HLOOKUP($A54,CHARMS!$A$6:$CQ$89,79,))</f>
        <v/>
      </c>
      <c r="H54" s="371" t="str">
        <f>IF($A54="","",HLOOKUP($A54,CHARMS!$A$6:$CQ$89,43,))</f>
        <v/>
      </c>
      <c r="I54" s="369" t="str">
        <f>IF($A54="","",HLOOKUP($A54,CHARMS!$A$6:$CQ$89,49,))</f>
        <v/>
      </c>
      <c r="J54" s="369" t="str">
        <f>IF($A54="","",HLOOKUP($A54,CHARMS!$A$6:$CQ$89,50,))</f>
        <v/>
      </c>
      <c r="K54" s="369" t="str">
        <f>CONCATENATE(IF($A54="","",IF(OR(HLOOKUP($A54,CHARMS!$A$6:$CQ$89,40,)=0,ISTEXT(HLOOKUP($A54,CHARMS!$A$6:$CQ$89,45,))),"n (%): Unkown",CONCATENATE("n (%): ",HLOOKUP($A54,CHARMS!$A$6:$CQ$89,45,)," (",FIXED((HLOOKUP($A54,CHARMS!$A$6:$CQ$89,45,)/HLOOKUP($A54,CHARMS!$A$6:$CQ$89,40,))*100,1),")"))),CHAR(10),IF($A54="","",CONCATENATE("Method: ",HLOOKUP($A54,CHARMS!$A$6:$CQ$89,46,))))</f>
        <v xml:space="preserve">
</v>
      </c>
      <c r="L54" s="371" t="str">
        <f>IF($A54="","",CONCATENATE("Int: ",HLOOKUP($A54,CHARMS!$A$6:$CQ$89,75,),CHAR(10),"Ext : ",HLOOKUP($A54,CHARMS!$A$6:$CQ$89,76,)))</f>
        <v/>
      </c>
      <c r="M54" s="371" t="str">
        <f>IF($A54="","",CONCATENATE("Cal: ",HLOOKUP($A54,CHARMS!$A$6:$CQ$89,53,),CHAR(10),"Disc : ",HLOOKUP($A54,CHARMS!$A$6:$CQ$89,59,),CHAR(10),"Ov: ",HLOOKUP($A54,CHARMS!$A$6:$CQ$89,66,)))</f>
        <v/>
      </c>
      <c r="N54" s="136" t="s">
        <v>27</v>
      </c>
      <c r="O54" s="137" t="str">
        <f>_xlfn.IFNA(IF(HLOOKUP($A54,PROBAST!$A$6:$AE$77,11,)="Low RoB","+",IF(HLOOKUP($A54,PROBAST!$A$6:$AE$77,11,)="High RoB","-",IF(HLOOKUP($A54,PROBAST!$A$6:$AE$77,11,)="Unclear","?",""))),"")</f>
        <v/>
      </c>
      <c r="P54" s="137" t="str">
        <f>_xlfn.IFNA(IF(HLOOKUP($A54,PROBAST!$A$6:$AE$77,25,)="Low RoB","+",IF(HLOOKUP($A54,PROBAST!$A$6:$AE$77,25,)="High RoB","-",IF(HLOOKUP($A54,PROBAST!$A$6:$AE$77,25,)="Unclear","?",""))),"")</f>
        <v/>
      </c>
      <c r="Q54" s="137" t="str">
        <f>_xlfn.IFNA(IF(HLOOKUP($A54,PROBAST!$A$6:$AE$77,39,)="Low RoB","+",IF(HLOOKUP($A54,PROBAST!$A$6:$AE$77,39,)="High RoB","-",IF(HLOOKUP($A54,PROBAST!$A$6:$AE$77,39,)="Unclear","?",""))),"")</f>
        <v/>
      </c>
      <c r="R54" s="138" t="str">
        <f>_xlfn.IFNA(IF(HLOOKUP($A54,PROBAST!$A$6:$AE$77,58,)="Low RoB","+",IF(HLOOKUP($A54,PROBAST!$A$6:$AE$77,58,)="High RoB","-",IF(HLOOKUP($A54,PROBAST!$A$6:$AE$77,58,)="Unclear","?",""))),"")</f>
        <v/>
      </c>
      <c r="S54" s="139"/>
      <c r="T54" s="139"/>
      <c r="U54" s="139"/>
      <c r="V54" s="139"/>
      <c r="W54" s="139"/>
    </row>
    <row r="55" spans="1:23" ht="22.5" customHeight="1" thickBot="1" x14ac:dyDescent="0.25">
      <c r="A55" s="375"/>
      <c r="B55" s="377"/>
      <c r="C55" s="370"/>
      <c r="D55" s="374"/>
      <c r="E55" s="370"/>
      <c r="F55" s="370"/>
      <c r="G55" s="370"/>
      <c r="H55" s="372"/>
      <c r="I55" s="370"/>
      <c r="J55" s="370"/>
      <c r="K55" s="379"/>
      <c r="L55" s="372"/>
      <c r="M55" s="372"/>
      <c r="N55" s="141" t="s">
        <v>26</v>
      </c>
      <c r="O55" s="142" t="str">
        <f>_xlfn.IFNA(IF(HLOOKUP($A54,PROBAST!$A$6:$AE$77,12,)="Low concern","+",IF(HLOOKUP($A54,PROBAST!$A$6:$AE$77,12,)="High concern","-",IF(HLOOKUP($A54,PROBAST!$A$6:$AE$77,12,)="Unclear","?",""))),"")</f>
        <v/>
      </c>
      <c r="P55" s="142" t="str">
        <f>_xlfn.IFNA(IF(HLOOKUP($A54,PROBAST!$A$6:$AE$77,26,)="Low concern","+",IF(HLOOKUP($A54,PROBAST!$A$6:$AE$77,26,)="High concern","-",IF(HLOOKUP($A54,PROBAST!$A$6:$AE$77,26,)="Unclear","?",""))),"")</f>
        <v/>
      </c>
      <c r="Q55" s="142" t="str">
        <f>_xlfn.IFNA(IF(HLOOKUP($A54,PROBAST!$A$6:$AE$77,40,)="Low concern","+",IF(HLOOKUP($A54,PROBAST!$A$6:$AE$77,40,)="High concern","-",IF(HLOOKUP($A54,PROBAST!$A$6:$AE$77,40,)="Unclear","?",""))),"")</f>
        <v/>
      </c>
      <c r="R55" s="143"/>
    </row>
    <row r="56" spans="1:23" s="140" customFormat="1" ht="22.5" customHeight="1" x14ac:dyDescent="0.2">
      <c r="A56" s="375" t="str">
        <f>CHARMS!CC$6</f>
        <v/>
      </c>
      <c r="B56" s="376" t="str">
        <f>HLOOKUP($A56,CHARMS!$A$6:$CQ$89,1,)</f>
        <v/>
      </c>
      <c r="C56" s="369" t="str">
        <f>IF($A56="","",HLOOKUP($A56,CHARMS!$A$6:$CQ$89,48,))</f>
        <v/>
      </c>
      <c r="D56" s="373" t="str">
        <f>IF($A56="","",IF(HLOOKUP($A56,CHARMS!$A$6:$CQ$89,40,)=0,"Unkown",HLOOKUP($A56,CHARMS!$A$6:$CQ$89,40,)))</f>
        <v/>
      </c>
      <c r="E56" s="369" t="str">
        <f>IF($A56="","",IF(HLOOKUP($A56,CHARMS!$A$6:$CQ$89,40,)=0,"Unkown",CONCATENATE(HLOOKUP($A56,CHARMS!$A$6:$CQ$89,41,)," (",FIXED((HLOOKUP($A56,CHARMS!$A$6:$CQ$89,41,)/HLOOKUP($A56,CHARMS!$A$6:$CQ$89,40,))*100,1),")")))</f>
        <v/>
      </c>
      <c r="F56" s="369" t="str">
        <f>IF($A56="","",IF(HLOOKUP($A56,CHARMS!$A$6:$CQ$89,33,)=0,"Unkown",HLOOKUP($A56,CHARMS!$A$6:$CQ$89,33,)))</f>
        <v/>
      </c>
      <c r="G56" s="369" t="str">
        <f>IF($A56="","",HLOOKUP($A56,CHARMS!$A$6:$CQ$89,79,))</f>
        <v/>
      </c>
      <c r="H56" s="371" t="str">
        <f>IF($A56="","",HLOOKUP($A56,CHARMS!$A$6:$CQ$89,43,))</f>
        <v/>
      </c>
      <c r="I56" s="369" t="str">
        <f>IF($A56="","",HLOOKUP($A56,CHARMS!$A$6:$CQ$89,49,))</f>
        <v/>
      </c>
      <c r="J56" s="369" t="str">
        <f>IF($A56="","",HLOOKUP($A56,CHARMS!$A$6:$CQ$89,50,))</f>
        <v/>
      </c>
      <c r="K56" s="369" t="str">
        <f>CONCATENATE(IF($A56="","",IF(OR(HLOOKUP($A56,CHARMS!$A$6:$CQ$89,40,)=0,ISTEXT(HLOOKUP($A56,CHARMS!$A$6:$CQ$89,45,))),"n (%): Unkown",CONCATENATE("n (%): ",HLOOKUP($A56,CHARMS!$A$6:$CQ$89,45,)," (",FIXED((HLOOKUP($A56,CHARMS!$A$6:$CQ$89,45,)/HLOOKUP($A56,CHARMS!$A$6:$CQ$89,40,))*100,1),")"))),CHAR(10),IF($A56="","",CONCATENATE("Method: ",HLOOKUP($A56,CHARMS!$A$6:$CQ$89,46,))))</f>
        <v xml:space="preserve">
</v>
      </c>
      <c r="L56" s="371" t="str">
        <f>IF($A56="","",CONCATENATE("Int: ",HLOOKUP($A56,CHARMS!$A$6:$CQ$89,75,),CHAR(10),"Ext : ",HLOOKUP($A56,CHARMS!$A$6:$CQ$89,76,)))</f>
        <v/>
      </c>
      <c r="M56" s="371" t="str">
        <f>IF($A56="","",CONCATENATE("Cal: ",HLOOKUP($A56,CHARMS!$A$6:$CQ$89,53,),CHAR(10),"Disc : ",HLOOKUP($A56,CHARMS!$A$6:$CQ$89,59,),CHAR(10),"Ov: ",HLOOKUP($A56,CHARMS!$A$6:$CQ$89,66,)))</f>
        <v/>
      </c>
      <c r="N56" s="136" t="s">
        <v>27</v>
      </c>
      <c r="O56" s="137" t="str">
        <f>_xlfn.IFNA(IF(HLOOKUP($A56,PROBAST!$A$6:$AE$77,11,)="Low RoB","+",IF(HLOOKUP($A56,PROBAST!$A$6:$AE$77,11,)="High RoB","-",IF(HLOOKUP($A56,PROBAST!$A$6:$AE$77,11,)="Unclear","?",""))),"")</f>
        <v/>
      </c>
      <c r="P56" s="137" t="str">
        <f>_xlfn.IFNA(IF(HLOOKUP($A56,PROBAST!$A$6:$AE$77,25,)="Low RoB","+",IF(HLOOKUP($A56,PROBAST!$A$6:$AE$77,25,)="High RoB","-",IF(HLOOKUP($A56,PROBAST!$A$6:$AE$77,25,)="Unclear","?",""))),"")</f>
        <v/>
      </c>
      <c r="Q56" s="137" t="str">
        <f>_xlfn.IFNA(IF(HLOOKUP($A56,PROBAST!$A$6:$AE$77,39,)="Low RoB","+",IF(HLOOKUP($A56,PROBAST!$A$6:$AE$77,39,)="High RoB","-",IF(HLOOKUP($A56,PROBAST!$A$6:$AE$77,39,)="Unclear","?",""))),"")</f>
        <v/>
      </c>
      <c r="R56" s="138" t="str">
        <f>_xlfn.IFNA(IF(HLOOKUP($A56,PROBAST!$A$6:$AE$77,58,)="Low RoB","+",IF(HLOOKUP($A56,PROBAST!$A$6:$AE$77,58,)="High RoB","-",IF(HLOOKUP($A56,PROBAST!$A$6:$AE$77,58,)="Unclear","?",""))),"")</f>
        <v/>
      </c>
      <c r="S56" s="139"/>
      <c r="T56" s="139"/>
      <c r="U56" s="139"/>
      <c r="V56" s="139"/>
      <c r="W56" s="139"/>
    </row>
    <row r="57" spans="1:23" ht="22.5" customHeight="1" thickBot="1" x14ac:dyDescent="0.25">
      <c r="A57" s="375"/>
      <c r="B57" s="377"/>
      <c r="C57" s="370"/>
      <c r="D57" s="374"/>
      <c r="E57" s="370"/>
      <c r="F57" s="370"/>
      <c r="G57" s="370"/>
      <c r="H57" s="372"/>
      <c r="I57" s="370"/>
      <c r="J57" s="370"/>
      <c r="K57" s="379"/>
      <c r="L57" s="372"/>
      <c r="M57" s="372"/>
      <c r="N57" s="141" t="s">
        <v>26</v>
      </c>
      <c r="O57" s="142" t="str">
        <f>_xlfn.IFNA(IF(HLOOKUP($A56,PROBAST!$A$6:$AE$77,12,)="Low concern","+",IF(HLOOKUP($A56,PROBAST!$A$6:$AE$77,12,)="High concern","-",IF(HLOOKUP($A56,PROBAST!$A$6:$AE$77,12,)="Unclear","?",""))),"")</f>
        <v/>
      </c>
      <c r="P57" s="142" t="str">
        <f>_xlfn.IFNA(IF(HLOOKUP($A56,PROBAST!$A$6:$AE$77,26,)="Low concern","+",IF(HLOOKUP($A56,PROBAST!$A$6:$AE$77,26,)="High concern","-",IF(HLOOKUP($A56,PROBAST!$A$6:$AE$77,26,)="Unclear","?",""))),"")</f>
        <v/>
      </c>
      <c r="Q57" s="142" t="str">
        <f>_xlfn.IFNA(IF(HLOOKUP($A56,PROBAST!$A$6:$AE$77,40,)="Low concern","+",IF(HLOOKUP($A56,PROBAST!$A$6:$AE$77,40,)="High concern","-",IF(HLOOKUP($A56,PROBAST!$A$6:$AE$77,40,)="Unclear","?",""))),"")</f>
        <v/>
      </c>
      <c r="R57" s="143"/>
    </row>
    <row r="58" spans="1:23" s="140" customFormat="1" ht="22.5" customHeight="1" x14ac:dyDescent="0.2">
      <c r="A58" s="375" t="str">
        <f>CHARMS!CF$6</f>
        <v/>
      </c>
      <c r="B58" s="376" t="str">
        <f>HLOOKUP($A58,CHARMS!$A$6:$CQ$89,1,)</f>
        <v/>
      </c>
      <c r="C58" s="369" t="str">
        <f>IF($A58="","",HLOOKUP($A58,CHARMS!$A$6:$CQ$89,48,))</f>
        <v/>
      </c>
      <c r="D58" s="373" t="str">
        <f>IF($A58="","",IF(HLOOKUP($A58,CHARMS!$A$6:$CQ$89,40,)=0,"Unkown",HLOOKUP($A58,CHARMS!$A$6:$CQ$89,40,)))</f>
        <v/>
      </c>
      <c r="E58" s="369" t="str">
        <f>IF($A58="","",IF(HLOOKUP($A58,CHARMS!$A$6:$CQ$89,40,)=0,"Unkown",CONCATENATE(HLOOKUP($A58,CHARMS!$A$6:$CQ$89,41,)," (",FIXED((HLOOKUP($A58,CHARMS!$A$6:$CQ$89,41,)/HLOOKUP($A58,CHARMS!$A$6:$CQ$89,40,))*100,1),")")))</f>
        <v/>
      </c>
      <c r="F58" s="369" t="str">
        <f>IF($A58="","",IF(HLOOKUP($A58,CHARMS!$A$6:$CQ$89,33,)=0,"Unkown",HLOOKUP($A58,CHARMS!$A$6:$CQ$89,33,)))</f>
        <v/>
      </c>
      <c r="G58" s="369" t="str">
        <f>IF($A58="","",HLOOKUP($A58,CHARMS!$A$6:$CQ$89,79,))</f>
        <v/>
      </c>
      <c r="H58" s="371" t="str">
        <f>IF($A58="","",HLOOKUP($A58,CHARMS!$A$6:$CQ$89,43,))</f>
        <v/>
      </c>
      <c r="I58" s="369" t="str">
        <f>IF($A58="","",HLOOKUP($A58,CHARMS!$A$6:$CQ$89,49,))</f>
        <v/>
      </c>
      <c r="J58" s="369" t="str">
        <f>IF($A58="","",HLOOKUP($A58,CHARMS!$A$6:$CQ$89,50,))</f>
        <v/>
      </c>
      <c r="K58" s="369" t="str">
        <f>CONCATENATE(IF($A58="","",IF(OR(HLOOKUP($A58,CHARMS!$A$6:$CQ$89,40,)=0,ISTEXT(HLOOKUP($A58,CHARMS!$A$6:$CQ$89,45,))),"n (%): Unkown",CONCATENATE("n (%): ",HLOOKUP($A58,CHARMS!$A$6:$CQ$89,45,)," (",FIXED((HLOOKUP($A58,CHARMS!$A$6:$CQ$89,45,)/HLOOKUP($A58,CHARMS!$A$6:$CQ$89,40,))*100,1),")"))),CHAR(10),IF($A58="","",CONCATENATE("Method: ",HLOOKUP($A58,CHARMS!$A$6:$CQ$89,46,))))</f>
        <v xml:space="preserve">
</v>
      </c>
      <c r="L58" s="371" t="str">
        <f>IF($A58="","",CONCATENATE("Int: ",HLOOKUP($A58,CHARMS!$A$6:$CQ$89,75,),CHAR(10),"Ext : ",HLOOKUP($A58,CHARMS!$A$6:$CQ$89,76,)))</f>
        <v/>
      </c>
      <c r="M58" s="371" t="str">
        <f>IF($A58="","",CONCATENATE("Cal: ",HLOOKUP($A58,CHARMS!$A$6:$CQ$89,53,),CHAR(10),"Disc : ",HLOOKUP($A58,CHARMS!$A$6:$CQ$89,59,),CHAR(10),"Ov: ",HLOOKUP($A58,CHARMS!$A$6:$CQ$89,66,)))</f>
        <v/>
      </c>
      <c r="N58" s="136" t="s">
        <v>27</v>
      </c>
      <c r="O58" s="137" t="str">
        <f>_xlfn.IFNA(IF(HLOOKUP($A58,PROBAST!$A$6:$AE$77,11,)="Low RoB","+",IF(HLOOKUP($A58,PROBAST!$A$6:$AE$77,11,)="High RoB","-",IF(HLOOKUP($A58,PROBAST!$A$6:$AE$77,11,)="Unclear","?",""))),"")</f>
        <v/>
      </c>
      <c r="P58" s="137" t="str">
        <f>_xlfn.IFNA(IF(HLOOKUP($A58,PROBAST!$A$6:$AE$77,25,)="Low RoB","+",IF(HLOOKUP($A58,PROBAST!$A$6:$AE$77,25,)="High RoB","-",IF(HLOOKUP($A58,PROBAST!$A$6:$AE$77,25,)="Unclear","?",""))),"")</f>
        <v/>
      </c>
      <c r="Q58" s="137" t="str">
        <f>_xlfn.IFNA(IF(HLOOKUP($A58,PROBAST!$A$6:$AE$77,39,)="Low RoB","+",IF(HLOOKUP($A58,PROBAST!$A$6:$AE$77,39,)="High RoB","-",IF(HLOOKUP($A58,PROBAST!$A$6:$AE$77,39,)="Unclear","?",""))),"")</f>
        <v/>
      </c>
      <c r="R58" s="138" t="str">
        <f>_xlfn.IFNA(IF(HLOOKUP($A58,PROBAST!$A$6:$AE$77,58,)="Low RoB","+",IF(HLOOKUP($A58,PROBAST!$A$6:$AE$77,58,)="High RoB","-",IF(HLOOKUP($A58,PROBAST!$A$6:$AE$77,58,)="Unclear","?",""))),"")</f>
        <v/>
      </c>
      <c r="S58" s="139"/>
      <c r="T58" s="139"/>
      <c r="U58" s="139"/>
      <c r="V58" s="139"/>
      <c r="W58" s="139"/>
    </row>
    <row r="59" spans="1:23" ht="22.5" customHeight="1" thickBot="1" x14ac:dyDescent="0.25">
      <c r="A59" s="375"/>
      <c r="B59" s="377"/>
      <c r="C59" s="370"/>
      <c r="D59" s="374"/>
      <c r="E59" s="370"/>
      <c r="F59" s="370"/>
      <c r="G59" s="370"/>
      <c r="H59" s="372"/>
      <c r="I59" s="370"/>
      <c r="J59" s="370"/>
      <c r="K59" s="379"/>
      <c r="L59" s="372"/>
      <c r="M59" s="372"/>
      <c r="N59" s="141" t="s">
        <v>26</v>
      </c>
      <c r="O59" s="142" t="str">
        <f>_xlfn.IFNA(IF(HLOOKUP($A58,PROBAST!$A$6:$AE$77,12,)="Low concern","+",IF(HLOOKUP($A58,PROBAST!$A$6:$AE$77,12,)="High concern","-",IF(HLOOKUP($A58,PROBAST!$A$6:$AE$77,12,)="Unclear","?",""))),"")</f>
        <v/>
      </c>
      <c r="P59" s="142" t="str">
        <f>_xlfn.IFNA(IF(HLOOKUP($A58,PROBAST!$A$6:$AE$77,26,)="Low concern","+",IF(HLOOKUP($A58,PROBAST!$A$6:$AE$77,26,)="High concern","-",IF(HLOOKUP($A58,PROBAST!$A$6:$AE$77,26,)="Unclear","?",""))),"")</f>
        <v/>
      </c>
      <c r="Q59" s="142" t="str">
        <f>_xlfn.IFNA(IF(HLOOKUP($A58,PROBAST!$A$6:$AE$77,40,)="Low concern","+",IF(HLOOKUP($A58,PROBAST!$A$6:$AE$77,40,)="High concern","-",IF(HLOOKUP($A58,PROBAST!$A$6:$AE$77,40,)="Unclear","?",""))),"")</f>
        <v/>
      </c>
      <c r="R59" s="143"/>
    </row>
    <row r="60" spans="1:23" s="140" customFormat="1" ht="22.5" customHeight="1" x14ac:dyDescent="0.2">
      <c r="A60" s="375" t="str">
        <f>CHARMS!CI$6</f>
        <v/>
      </c>
      <c r="B60" s="376" t="str">
        <f>HLOOKUP($A60,CHARMS!$A$6:$CQ$89,1,)</f>
        <v/>
      </c>
      <c r="C60" s="369" t="str">
        <f>IF($A60="","",HLOOKUP($A60,CHARMS!$A$6:$CQ$89,48,))</f>
        <v/>
      </c>
      <c r="D60" s="373" t="str">
        <f>IF($A60="","",IF(HLOOKUP($A60,CHARMS!$A$6:$CQ$89,40,)=0,"Unkown",HLOOKUP($A60,CHARMS!$A$6:$CQ$89,40,)))</f>
        <v/>
      </c>
      <c r="E60" s="369" t="str">
        <f>IF($A60="","",IF(HLOOKUP($A60,CHARMS!$A$6:$CQ$89,40,)=0,"Unkown",CONCATENATE(HLOOKUP($A60,CHARMS!$A$6:$CQ$89,41,)," (",FIXED((HLOOKUP($A60,CHARMS!$A$6:$CQ$89,41,)/HLOOKUP($A60,CHARMS!$A$6:$CQ$89,40,))*100,1),")")))</f>
        <v/>
      </c>
      <c r="F60" s="369" t="str">
        <f>IF($A60="","",IF(HLOOKUP($A60,CHARMS!$A$6:$CQ$89,33,)=0,"Unkown",HLOOKUP($A60,CHARMS!$A$6:$CQ$89,33,)))</f>
        <v/>
      </c>
      <c r="G60" s="369" t="str">
        <f>IF($A60="","",HLOOKUP($A60,CHARMS!$A$6:$CQ$89,79,))</f>
        <v/>
      </c>
      <c r="H60" s="371" t="str">
        <f>IF($A60="","",HLOOKUP($A60,CHARMS!$A$6:$CQ$89,43,))</f>
        <v/>
      </c>
      <c r="I60" s="369" t="str">
        <f>IF($A60="","",HLOOKUP($A60,CHARMS!$A$6:$CQ$89,49,))</f>
        <v/>
      </c>
      <c r="J60" s="369" t="str">
        <f>IF($A60="","",HLOOKUP($A60,CHARMS!$A$6:$CQ$89,50,))</f>
        <v/>
      </c>
      <c r="K60" s="369" t="str">
        <f>CONCATENATE(IF($A60="","",IF(OR(HLOOKUP($A60,CHARMS!$A$6:$CQ$89,40,)=0,ISTEXT(HLOOKUP($A60,CHARMS!$A$6:$CQ$89,45,))),"n (%): Unkown",CONCATENATE("n (%): ",HLOOKUP($A60,CHARMS!$A$6:$CQ$89,45,)," (",FIXED((HLOOKUP($A60,CHARMS!$A$6:$CQ$89,45,)/HLOOKUP($A60,CHARMS!$A$6:$CQ$89,40,))*100,1),")"))),CHAR(10),IF($A60="","",CONCATENATE("Method: ",HLOOKUP($A60,CHARMS!$A$6:$CQ$89,46,))))</f>
        <v xml:space="preserve">
</v>
      </c>
      <c r="L60" s="371" t="str">
        <f>IF($A60="","",CONCATENATE("Int: ",HLOOKUP($A60,CHARMS!$A$6:$CQ$89,75,),CHAR(10),"Ext : ",HLOOKUP($A60,CHARMS!$A$6:$CQ$89,76,)))</f>
        <v/>
      </c>
      <c r="M60" s="371" t="str">
        <f>IF($A60="","",CONCATENATE("Cal: ",HLOOKUP($A60,CHARMS!$A$6:$CQ$89,53,),CHAR(10),"Disc : ",HLOOKUP($A60,CHARMS!$A$6:$CQ$89,59,),CHAR(10),"Ov: ",HLOOKUP($A60,CHARMS!$A$6:$CQ$89,66,)))</f>
        <v/>
      </c>
      <c r="N60" s="136" t="s">
        <v>27</v>
      </c>
      <c r="O60" s="137" t="str">
        <f>_xlfn.IFNA(IF(HLOOKUP($A60,PROBAST!$A$6:$AE$77,11,)="Low RoB","+",IF(HLOOKUP($A60,PROBAST!$A$6:$AE$77,11,)="High RoB","-",IF(HLOOKUP($A60,PROBAST!$A$6:$AE$77,11,)="Unclear","?",""))),"")</f>
        <v/>
      </c>
      <c r="P60" s="137" t="str">
        <f>_xlfn.IFNA(IF(HLOOKUP($A60,PROBAST!$A$6:$AE$77,25,)="Low RoB","+",IF(HLOOKUP($A60,PROBAST!$A$6:$AE$77,25,)="High RoB","-",IF(HLOOKUP($A60,PROBAST!$A$6:$AE$77,25,)="Unclear","?",""))),"")</f>
        <v/>
      </c>
      <c r="Q60" s="137" t="str">
        <f>_xlfn.IFNA(IF(HLOOKUP($A60,PROBAST!$A$6:$AE$77,39,)="Low RoB","+",IF(HLOOKUP($A60,PROBAST!$A$6:$AE$77,39,)="High RoB","-",IF(HLOOKUP($A60,PROBAST!$A$6:$AE$77,39,)="Unclear","?",""))),"")</f>
        <v/>
      </c>
      <c r="R60" s="138" t="str">
        <f>_xlfn.IFNA(IF(HLOOKUP($A60,PROBAST!$A$6:$AE$77,58,)="Low RoB","+",IF(HLOOKUP($A60,PROBAST!$A$6:$AE$77,58,)="High RoB","-",IF(HLOOKUP($A60,PROBAST!$A$6:$AE$77,58,)="Unclear","?",""))),"")</f>
        <v/>
      </c>
      <c r="S60" s="139"/>
      <c r="T60" s="139"/>
      <c r="U60" s="139"/>
      <c r="V60" s="139"/>
      <c r="W60" s="139"/>
    </row>
    <row r="61" spans="1:23" ht="22.5" customHeight="1" thickBot="1" x14ac:dyDescent="0.25">
      <c r="A61" s="375"/>
      <c r="B61" s="377"/>
      <c r="C61" s="370"/>
      <c r="D61" s="374"/>
      <c r="E61" s="370"/>
      <c r="F61" s="370"/>
      <c r="G61" s="370"/>
      <c r="H61" s="372"/>
      <c r="I61" s="370"/>
      <c r="J61" s="370"/>
      <c r="K61" s="379"/>
      <c r="L61" s="372"/>
      <c r="M61" s="372"/>
      <c r="N61" s="141" t="s">
        <v>26</v>
      </c>
      <c r="O61" s="142" t="str">
        <f>_xlfn.IFNA(IF(HLOOKUP($A60,PROBAST!$A$6:$AE$77,12,)="Low concern","+",IF(HLOOKUP($A60,PROBAST!$A$6:$AE$77,12,)="High concern","-",IF(HLOOKUP($A60,PROBAST!$A$6:$AE$77,12,)="Unclear","?",""))),"")</f>
        <v/>
      </c>
      <c r="P61" s="142" t="str">
        <f>_xlfn.IFNA(IF(HLOOKUP($A60,PROBAST!$A$6:$AE$77,26,)="Low concern","+",IF(HLOOKUP($A60,PROBAST!$A$6:$AE$77,26,)="High concern","-",IF(HLOOKUP($A60,PROBAST!$A$6:$AE$77,26,)="Unclear","?",""))),"")</f>
        <v/>
      </c>
      <c r="Q61" s="142" t="str">
        <f>_xlfn.IFNA(IF(HLOOKUP($A60,PROBAST!$A$6:$AE$77,40,)="Low concern","+",IF(HLOOKUP($A60,PROBAST!$A$6:$AE$77,40,)="High concern","-",IF(HLOOKUP($A60,PROBAST!$A$6:$AE$77,40,)="Unclear","?",""))),"")</f>
        <v/>
      </c>
      <c r="R61" s="143"/>
    </row>
    <row r="62" spans="1:23" s="140" customFormat="1" ht="22.5" customHeight="1" x14ac:dyDescent="0.2">
      <c r="A62" s="375" t="str">
        <f>CHARMS!CL$6</f>
        <v/>
      </c>
      <c r="B62" s="376" t="str">
        <f>HLOOKUP($A62,CHARMS!$A$6:$CQ$89,1,)</f>
        <v/>
      </c>
      <c r="C62" s="369" t="str">
        <f>IF($A62="","",HLOOKUP($A62,CHARMS!$A$6:$CQ$89,48,))</f>
        <v/>
      </c>
      <c r="D62" s="373" t="str">
        <f>IF($A62="","",IF(HLOOKUP($A62,CHARMS!$A$6:$CQ$89,40,)=0,"Unkown",HLOOKUP($A62,CHARMS!$A$6:$CQ$89,40,)))</f>
        <v/>
      </c>
      <c r="E62" s="369" t="str">
        <f>IF($A62="","",IF(HLOOKUP($A62,CHARMS!$A$6:$CQ$89,40,)=0,"Unkown",CONCATENATE(HLOOKUP($A62,CHARMS!$A$6:$CQ$89,41,)," (",FIXED((HLOOKUP($A62,CHARMS!$A$6:$CQ$89,41,)/HLOOKUP($A62,CHARMS!$A$6:$CQ$89,40,))*100,1),")")))</f>
        <v/>
      </c>
      <c r="F62" s="369" t="str">
        <f>IF($A62="","",IF(HLOOKUP($A62,CHARMS!$A$6:$CQ$89,33,)=0,"Unkown",HLOOKUP($A62,CHARMS!$A$6:$CQ$89,33,)))</f>
        <v/>
      </c>
      <c r="G62" s="369" t="str">
        <f>IF($A62="","",HLOOKUP($A62,CHARMS!$A$6:$CQ$89,79,))</f>
        <v/>
      </c>
      <c r="H62" s="371" t="str">
        <f>IF($A62="","",HLOOKUP($A62,CHARMS!$A$6:$CQ$89,43,))</f>
        <v/>
      </c>
      <c r="I62" s="369" t="str">
        <f>IF($A62="","",HLOOKUP($A62,CHARMS!$A$6:$CQ$89,49,))</f>
        <v/>
      </c>
      <c r="J62" s="369" t="str">
        <f>IF($A62="","",HLOOKUP($A62,CHARMS!$A$6:$CQ$89,50,))</f>
        <v/>
      </c>
      <c r="K62" s="369" t="str">
        <f>CONCATENATE(IF($A62="","",IF(OR(HLOOKUP($A62,CHARMS!$A$6:$CQ$89,40,)=0,ISTEXT(HLOOKUP($A62,CHARMS!$A$6:$CQ$89,45,))),"n (%): Unkown",CONCATENATE("n (%): ",HLOOKUP($A62,CHARMS!$A$6:$CQ$89,45,)," (",FIXED((HLOOKUP($A62,CHARMS!$A$6:$CQ$89,45,)/HLOOKUP($A62,CHARMS!$A$6:$CQ$89,40,))*100,1),")"))),CHAR(10),IF($A62="","",CONCATENATE("Method: ",HLOOKUP($A62,CHARMS!$A$6:$CQ$89,46,))))</f>
        <v xml:space="preserve">
</v>
      </c>
      <c r="L62" s="371" t="str">
        <f>IF($A62="","",CONCATENATE("Int: ",HLOOKUP($A62,CHARMS!$A$6:$CQ$89,75,),CHAR(10),"Ext : ",HLOOKUP($A62,CHARMS!$A$6:$CQ$89,76,)))</f>
        <v/>
      </c>
      <c r="M62" s="371" t="str">
        <f>IF($A62="","",CONCATENATE("Cal: ",HLOOKUP($A62,CHARMS!$A$6:$CQ$89,53,),CHAR(10),"Disc : ",HLOOKUP($A62,CHARMS!$A$6:$CQ$89,59,),CHAR(10),"Ov: ",HLOOKUP($A62,CHARMS!$A$6:$CQ$89,66,)))</f>
        <v/>
      </c>
      <c r="N62" s="136" t="s">
        <v>27</v>
      </c>
      <c r="O62" s="137" t="str">
        <f>_xlfn.IFNA(IF(HLOOKUP($A62,PROBAST!$A$6:$AE$77,11,)="Low RoB","+",IF(HLOOKUP($A62,PROBAST!$A$6:$AE$77,11,)="High RoB","-",IF(HLOOKUP($A62,PROBAST!$A$6:$AE$77,11,)="Unclear","?",""))),"")</f>
        <v/>
      </c>
      <c r="P62" s="137" t="str">
        <f>_xlfn.IFNA(IF(HLOOKUP($A62,PROBAST!$A$6:$AE$77,25,)="Low RoB","+",IF(HLOOKUP($A62,PROBAST!$A$6:$AE$77,25,)="High RoB","-",IF(HLOOKUP($A62,PROBAST!$A$6:$AE$77,25,)="Unclear","?",""))),"")</f>
        <v/>
      </c>
      <c r="Q62" s="137" t="str">
        <f>_xlfn.IFNA(IF(HLOOKUP($A62,PROBAST!$A$6:$AE$77,39,)="Low RoB","+",IF(HLOOKUP($A62,PROBAST!$A$6:$AE$77,39,)="High RoB","-",IF(HLOOKUP($A62,PROBAST!$A$6:$AE$77,39,)="Unclear","?",""))),"")</f>
        <v/>
      </c>
      <c r="R62" s="138" t="str">
        <f>_xlfn.IFNA(IF(HLOOKUP($A62,PROBAST!$A$6:$AE$77,58,)="Low RoB","+",IF(HLOOKUP($A62,PROBAST!$A$6:$AE$77,58,)="High RoB","-",IF(HLOOKUP($A62,PROBAST!$A$6:$AE$77,58,)="Unclear","?",""))),"")</f>
        <v/>
      </c>
      <c r="S62" s="139"/>
      <c r="T62" s="139"/>
      <c r="U62" s="139"/>
      <c r="V62" s="139"/>
      <c r="W62" s="139"/>
    </row>
    <row r="63" spans="1:23" ht="22.5" customHeight="1" thickBot="1" x14ac:dyDescent="0.25">
      <c r="A63" s="375"/>
      <c r="B63" s="377"/>
      <c r="C63" s="370"/>
      <c r="D63" s="374"/>
      <c r="E63" s="370"/>
      <c r="F63" s="370"/>
      <c r="G63" s="370"/>
      <c r="H63" s="372"/>
      <c r="I63" s="370"/>
      <c r="J63" s="370"/>
      <c r="K63" s="379"/>
      <c r="L63" s="372"/>
      <c r="M63" s="372"/>
      <c r="N63" s="141" t="s">
        <v>26</v>
      </c>
      <c r="O63" s="142" t="str">
        <f>_xlfn.IFNA(IF(HLOOKUP($A62,PROBAST!$A$6:$AE$77,12,)="Low concern","+",IF(HLOOKUP($A62,PROBAST!$A$6:$AE$77,12,)="High concern","-",IF(HLOOKUP($A62,PROBAST!$A$6:$AE$77,12,)="Unclear","?",""))),"")</f>
        <v/>
      </c>
      <c r="P63" s="142" t="str">
        <f>_xlfn.IFNA(IF(HLOOKUP($A62,PROBAST!$A$6:$AE$77,26,)="Low concern","+",IF(HLOOKUP($A62,PROBAST!$A$6:$AE$77,26,)="High concern","-",IF(HLOOKUP($A62,PROBAST!$A$6:$AE$77,26,)="Unclear","?",""))),"")</f>
        <v/>
      </c>
      <c r="Q63" s="142" t="str">
        <f>_xlfn.IFNA(IF(HLOOKUP($A62,PROBAST!$A$6:$AE$77,40,)="Low concern","+",IF(HLOOKUP($A62,PROBAST!$A$6:$AE$77,40,)="High concern","-",IF(HLOOKUP($A62,PROBAST!$A$6:$AE$77,40,)="Unclear","?",""))),"")</f>
        <v/>
      </c>
      <c r="R63" s="143"/>
    </row>
    <row r="64" spans="1:23" s="140" customFormat="1" ht="22.5" customHeight="1" x14ac:dyDescent="0.2">
      <c r="A64" s="375" t="str">
        <f>CHARMS!CO$6</f>
        <v/>
      </c>
      <c r="B64" s="376" t="str">
        <f>HLOOKUP($A64,CHARMS!$A$6:$CQ$89,1,)</f>
        <v/>
      </c>
      <c r="C64" s="369" t="str">
        <f>IF($A64="","",HLOOKUP($A64,CHARMS!$A$6:$CQ$89,48,))</f>
        <v/>
      </c>
      <c r="D64" s="373" t="str">
        <f>IF($A64="","",IF(HLOOKUP($A64,CHARMS!$A$6:$CQ$89,40,)=0,"Unkown",HLOOKUP($A64,CHARMS!$A$6:$CQ$89,40,)))</f>
        <v/>
      </c>
      <c r="E64" s="369" t="str">
        <f>IF($A64="","",IF(HLOOKUP($A64,CHARMS!$A$6:$CQ$89,40,)=0,"Unkown",CONCATENATE(HLOOKUP($A64,CHARMS!$A$6:$CQ$89,41,)," (",FIXED((HLOOKUP($A64,CHARMS!$A$6:$CQ$89,41,)/HLOOKUP($A64,CHARMS!$A$6:$CQ$89,40,))*100,1),")")))</f>
        <v/>
      </c>
      <c r="F64" s="369" t="str">
        <f>IF($A64="","",IF(HLOOKUP($A64,CHARMS!$A$6:$CQ$89,33,)=0,"Unkown",HLOOKUP($A64,CHARMS!$A$6:$CQ$89,33,)))</f>
        <v/>
      </c>
      <c r="G64" s="369" t="str">
        <f>IF($A64="","",HLOOKUP($A64,CHARMS!$A$6:$CQ$89,79,))</f>
        <v/>
      </c>
      <c r="H64" s="371" t="str">
        <f>IF($A64="","",HLOOKUP($A64,CHARMS!$A$6:$CQ$89,43,))</f>
        <v/>
      </c>
      <c r="I64" s="369" t="str">
        <f>IF($A64="","",HLOOKUP($A64,CHARMS!$A$6:$CQ$89,49,))</f>
        <v/>
      </c>
      <c r="J64" s="369" t="str">
        <f>IF($A64="","",HLOOKUP($A64,CHARMS!$A$6:$CQ$89,50,))</f>
        <v/>
      </c>
      <c r="K64" s="369" t="str">
        <f>CONCATENATE(IF($A64="","",IF(OR(HLOOKUP($A64,CHARMS!$A$6:$CQ$89,40,)=0,ISTEXT(HLOOKUP($A64,CHARMS!$A$6:$CQ$89,45,))),"n (%): Unkown",CONCATENATE("n (%): ",HLOOKUP($A64,CHARMS!$A$6:$CQ$89,45,)," (",FIXED((HLOOKUP($A64,CHARMS!$A$6:$CQ$89,45,)/HLOOKUP($A64,CHARMS!$A$6:$CQ$89,40,))*100,1),")"))),CHAR(10),IF($A64="","",CONCATENATE("Method: ",HLOOKUP($A64,CHARMS!$A$6:$CQ$89,46,))))</f>
        <v xml:space="preserve">
</v>
      </c>
      <c r="L64" s="371" t="str">
        <f>IF($A64="","",CONCATENATE("Int: ",HLOOKUP($A64,CHARMS!$A$6:$CQ$89,75,),CHAR(10),"Ext : ",HLOOKUP($A64,CHARMS!$A$6:$CQ$89,76,)))</f>
        <v/>
      </c>
      <c r="M64" s="371" t="str">
        <f>IF($A64="","",CONCATENATE("Cal: ",HLOOKUP($A64,CHARMS!$A$6:$CQ$89,53,),CHAR(10),"Disc : ",HLOOKUP($A64,CHARMS!$A$6:$CQ$89,59,),CHAR(10),"Ov: ",HLOOKUP($A64,CHARMS!$A$6:$CQ$89,66,)))</f>
        <v/>
      </c>
      <c r="N64" s="136" t="s">
        <v>27</v>
      </c>
      <c r="O64" s="137" t="str">
        <f>_xlfn.IFNA(IF(HLOOKUP($A64,PROBAST!$A$6:$AE$77,11,)="Low RoB","+",IF(HLOOKUP($A64,PROBAST!$A$6:$AE$77,11,)="High RoB","-",IF(HLOOKUP($A64,PROBAST!$A$6:$AE$77,11,)="Unclear","?",""))),"")</f>
        <v/>
      </c>
      <c r="P64" s="137" t="str">
        <f>_xlfn.IFNA(IF(HLOOKUP($A64,PROBAST!$A$6:$AE$77,25,)="Low RoB","+",IF(HLOOKUP($A64,PROBAST!$A$6:$AE$77,25,)="High RoB","-",IF(HLOOKUP($A64,PROBAST!$A$6:$AE$77,25,)="Unclear","?",""))),"")</f>
        <v/>
      </c>
      <c r="Q64" s="137" t="str">
        <f>_xlfn.IFNA(IF(HLOOKUP($A64,PROBAST!$A$6:$AE$77,39,)="Low RoB","+",IF(HLOOKUP($A64,PROBAST!$A$6:$AE$77,39,)="High RoB","-",IF(HLOOKUP($A64,PROBAST!$A$6:$AE$77,39,)="Unclear","?",""))),"")</f>
        <v/>
      </c>
      <c r="R64" s="138" t="str">
        <f>_xlfn.IFNA(IF(HLOOKUP($A64,PROBAST!$A$6:$AE$77,58,)="Low RoB","+",IF(HLOOKUP($A64,PROBAST!$A$6:$AE$77,58,)="High RoB","-",IF(HLOOKUP($A64,PROBAST!$A$6:$AE$77,58,)="Unclear","?",""))),"")</f>
        <v/>
      </c>
      <c r="S64" s="139"/>
      <c r="T64" s="139"/>
      <c r="U64" s="139"/>
      <c r="V64" s="139"/>
      <c r="W64" s="139"/>
    </row>
    <row r="65" spans="1:23" ht="22.5" customHeight="1" thickBot="1" x14ac:dyDescent="0.25">
      <c r="A65" s="380"/>
      <c r="B65" s="381"/>
      <c r="C65" s="379"/>
      <c r="D65" s="382"/>
      <c r="E65" s="379"/>
      <c r="F65" s="379"/>
      <c r="G65" s="379"/>
      <c r="H65" s="378"/>
      <c r="I65" s="379"/>
      <c r="J65" s="379"/>
      <c r="K65" s="370"/>
      <c r="L65" s="378"/>
      <c r="M65" s="378"/>
      <c r="N65" s="141" t="s">
        <v>26</v>
      </c>
      <c r="O65" s="142" t="str">
        <f>_xlfn.IFNA(IF(HLOOKUP($A64,PROBAST!$A$6:$AE$77,12,)="Low concern","+",IF(HLOOKUP($A64,PROBAST!$A$6:$AE$77,12,)="High concern","-",IF(HLOOKUP($A64,PROBAST!$A$6:$AE$77,12,)="Unclear","?",""))),"")</f>
        <v/>
      </c>
      <c r="P65" s="142" t="str">
        <f>_xlfn.IFNA(IF(HLOOKUP($A64,PROBAST!$A$6:$AE$77,26,)="Low concern","+",IF(HLOOKUP($A64,PROBAST!$A$6:$AE$77,26,)="High concern","-",IF(HLOOKUP($A64,PROBAST!$A$6:$AE$77,26,)="Unclear","?",""))),"")</f>
        <v/>
      </c>
      <c r="Q65" s="142" t="str">
        <f>_xlfn.IFNA(IF(HLOOKUP($A64,PROBAST!$A$6:$AE$77,40,)="Low concern","+",IF(HLOOKUP($A64,PROBAST!$A$6:$AE$77,40,)="High concern","-",IF(HLOOKUP($A64,PROBAST!$A$6:$AE$77,40,)="Unclear","?",""))),"")</f>
        <v/>
      </c>
      <c r="R65" s="143"/>
    </row>
    <row r="66" spans="1:23" s="145" customFormat="1" x14ac:dyDescent="0.2">
      <c r="A66" s="144"/>
      <c r="S66" s="122"/>
      <c r="T66" s="122"/>
      <c r="U66" s="122"/>
      <c r="V66" s="122"/>
      <c r="W66" s="122"/>
    </row>
    <row r="67" spans="1:23" s="122" customFormat="1" x14ac:dyDescent="0.2"/>
    <row r="68" spans="1:23" s="122" customFormat="1" x14ac:dyDescent="0.2"/>
    <row r="69" spans="1:23" s="122" customFormat="1" x14ac:dyDescent="0.2"/>
    <row r="70" spans="1:23" s="122" customFormat="1" x14ac:dyDescent="0.2"/>
    <row r="71" spans="1:23" s="122" customFormat="1" x14ac:dyDescent="0.2"/>
    <row r="72" spans="1:23" s="122" customFormat="1" x14ac:dyDescent="0.2"/>
    <row r="73" spans="1:23" s="122" customFormat="1" x14ac:dyDescent="0.2"/>
    <row r="74" spans="1:23" s="122" customFormat="1" x14ac:dyDescent="0.2"/>
    <row r="75" spans="1:23" s="122" customFormat="1" x14ac:dyDescent="0.2"/>
    <row r="76" spans="1:23" s="122" customFormat="1" x14ac:dyDescent="0.2"/>
    <row r="77" spans="1:23" s="122" customFormat="1" x14ac:dyDescent="0.2"/>
    <row r="78" spans="1:23" s="122" customFormat="1" x14ac:dyDescent="0.2"/>
    <row r="79" spans="1:23" s="122" customFormat="1" x14ac:dyDescent="0.2"/>
    <row r="80" spans="1:23" s="122" customFormat="1" x14ac:dyDescent="0.2"/>
  </sheetData>
  <sheetProtection password="8015" sheet="1" objects="1" scenarios="1"/>
  <mergeCells count="402">
    <mergeCell ref="K60:K61"/>
    <mergeCell ref="K62:K63"/>
    <mergeCell ref="K64:K65"/>
    <mergeCell ref="K42:K43"/>
    <mergeCell ref="K44:K45"/>
    <mergeCell ref="K46:K47"/>
    <mergeCell ref="K48:K49"/>
    <mergeCell ref="K50:K51"/>
    <mergeCell ref="K52:K53"/>
    <mergeCell ref="K54:K55"/>
    <mergeCell ref="K56:K57"/>
    <mergeCell ref="K58:K59"/>
    <mergeCell ref="K24:K25"/>
    <mergeCell ref="K26:K27"/>
    <mergeCell ref="K28:K29"/>
    <mergeCell ref="K30:K31"/>
    <mergeCell ref="K32:K33"/>
    <mergeCell ref="K34:K35"/>
    <mergeCell ref="K36:K37"/>
    <mergeCell ref="K38:K39"/>
    <mergeCell ref="K40:K41"/>
    <mergeCell ref="K6:K7"/>
    <mergeCell ref="K8:K9"/>
    <mergeCell ref="K10:K11"/>
    <mergeCell ref="K12:K13"/>
    <mergeCell ref="K14:K15"/>
    <mergeCell ref="K16:K17"/>
    <mergeCell ref="K18:K19"/>
    <mergeCell ref="K20:K21"/>
    <mergeCell ref="K22:K23"/>
    <mergeCell ref="L64:L65"/>
    <mergeCell ref="M64:M65"/>
    <mergeCell ref="F64:F65"/>
    <mergeCell ref="G64:G65"/>
    <mergeCell ref="H64:H65"/>
    <mergeCell ref="I64:I65"/>
    <mergeCell ref="J64:J65"/>
    <mergeCell ref="A64:A65"/>
    <mergeCell ref="B64:B65"/>
    <mergeCell ref="C64:C65"/>
    <mergeCell ref="D64:D65"/>
    <mergeCell ref="E64:E65"/>
    <mergeCell ref="L60:L61"/>
    <mergeCell ref="M60:M61"/>
    <mergeCell ref="A62:A63"/>
    <mergeCell ref="B62:B63"/>
    <mergeCell ref="C62:C63"/>
    <mergeCell ref="D62:D63"/>
    <mergeCell ref="E62:E63"/>
    <mergeCell ref="F62:F63"/>
    <mergeCell ref="G62:G63"/>
    <mergeCell ref="H62:H63"/>
    <mergeCell ref="I62:I63"/>
    <mergeCell ref="J62:J63"/>
    <mergeCell ref="L62:L63"/>
    <mergeCell ref="M62:M63"/>
    <mergeCell ref="F60:F61"/>
    <mergeCell ref="G60:G61"/>
    <mergeCell ref="H60:H61"/>
    <mergeCell ref="I60:I61"/>
    <mergeCell ref="J60:J61"/>
    <mergeCell ref="A60:A61"/>
    <mergeCell ref="B60:B61"/>
    <mergeCell ref="C60:C61"/>
    <mergeCell ref="D60:D61"/>
    <mergeCell ref="E60:E61"/>
    <mergeCell ref="L56:L57"/>
    <mergeCell ref="M56:M57"/>
    <mergeCell ref="A58:A59"/>
    <mergeCell ref="B58:B59"/>
    <mergeCell ref="C58:C59"/>
    <mergeCell ref="D58:D59"/>
    <mergeCell ref="E58:E59"/>
    <mergeCell ref="F58:F59"/>
    <mergeCell ref="G58:G59"/>
    <mergeCell ref="H58:H59"/>
    <mergeCell ref="I58:I59"/>
    <mergeCell ref="J58:J59"/>
    <mergeCell ref="L58:L59"/>
    <mergeCell ref="M58:M59"/>
    <mergeCell ref="F56:F57"/>
    <mergeCell ref="G56:G57"/>
    <mergeCell ref="H56:H57"/>
    <mergeCell ref="I56:I57"/>
    <mergeCell ref="J56:J57"/>
    <mergeCell ref="A56:A57"/>
    <mergeCell ref="B56:B57"/>
    <mergeCell ref="C56:C57"/>
    <mergeCell ref="D56:D57"/>
    <mergeCell ref="E56:E57"/>
    <mergeCell ref="L52:L53"/>
    <mergeCell ref="M52:M53"/>
    <mergeCell ref="A54:A55"/>
    <mergeCell ref="B54:B55"/>
    <mergeCell ref="C54:C55"/>
    <mergeCell ref="D54:D55"/>
    <mergeCell ref="E54:E55"/>
    <mergeCell ref="F54:F55"/>
    <mergeCell ref="G54:G55"/>
    <mergeCell ref="H54:H55"/>
    <mergeCell ref="I54:I55"/>
    <mergeCell ref="J54:J55"/>
    <mergeCell ref="L54:L55"/>
    <mergeCell ref="M54:M55"/>
    <mergeCell ref="F52:F53"/>
    <mergeCell ref="G52:G53"/>
    <mergeCell ref="H52:H53"/>
    <mergeCell ref="I52:I53"/>
    <mergeCell ref="J52:J53"/>
    <mergeCell ref="A52:A53"/>
    <mergeCell ref="B52:B53"/>
    <mergeCell ref="C52:C53"/>
    <mergeCell ref="D52:D53"/>
    <mergeCell ref="E52:E53"/>
    <mergeCell ref="L48:L49"/>
    <mergeCell ref="M48:M49"/>
    <mergeCell ref="A50:A51"/>
    <mergeCell ref="B50:B51"/>
    <mergeCell ref="C50:C51"/>
    <mergeCell ref="D50:D51"/>
    <mergeCell ref="E50:E51"/>
    <mergeCell ref="F50:F51"/>
    <mergeCell ref="G50:G51"/>
    <mergeCell ref="H50:H51"/>
    <mergeCell ref="I50:I51"/>
    <mergeCell ref="J50:J51"/>
    <mergeCell ref="L50:L51"/>
    <mergeCell ref="M50:M51"/>
    <mergeCell ref="F48:F49"/>
    <mergeCell ref="G48:G49"/>
    <mergeCell ref="H48:H49"/>
    <mergeCell ref="I48:I49"/>
    <mergeCell ref="J48:J49"/>
    <mergeCell ref="A48:A49"/>
    <mergeCell ref="B48:B49"/>
    <mergeCell ref="C48:C49"/>
    <mergeCell ref="D48:D49"/>
    <mergeCell ref="E48:E49"/>
    <mergeCell ref="L44:L45"/>
    <mergeCell ref="E44:E45"/>
    <mergeCell ref="M44:M45"/>
    <mergeCell ref="A46:A47"/>
    <mergeCell ref="B46:B47"/>
    <mergeCell ref="C46:C47"/>
    <mergeCell ref="D46:D47"/>
    <mergeCell ref="E46:E47"/>
    <mergeCell ref="F46:F47"/>
    <mergeCell ref="G46:G47"/>
    <mergeCell ref="H46:H47"/>
    <mergeCell ref="I46:I47"/>
    <mergeCell ref="J46:J47"/>
    <mergeCell ref="L46:L47"/>
    <mergeCell ref="M46:M47"/>
    <mergeCell ref="F44:F45"/>
    <mergeCell ref="G44:G45"/>
    <mergeCell ref="H44:H45"/>
    <mergeCell ref="I44:I45"/>
    <mergeCell ref="J44:J45"/>
    <mergeCell ref="A44:A45"/>
    <mergeCell ref="B44:B45"/>
    <mergeCell ref="C44:C45"/>
    <mergeCell ref="D44:D45"/>
    <mergeCell ref="L40:L41"/>
    <mergeCell ref="M40:M41"/>
    <mergeCell ref="A42:A43"/>
    <mergeCell ref="B42:B43"/>
    <mergeCell ref="C42:C43"/>
    <mergeCell ref="D42:D43"/>
    <mergeCell ref="E42:E43"/>
    <mergeCell ref="F42:F43"/>
    <mergeCell ref="G42:G43"/>
    <mergeCell ref="H42:H43"/>
    <mergeCell ref="I42:I43"/>
    <mergeCell ref="J42:J43"/>
    <mergeCell ref="L42:L43"/>
    <mergeCell ref="M42:M43"/>
    <mergeCell ref="F40:F41"/>
    <mergeCell ref="G40:G41"/>
    <mergeCell ref="H40:H41"/>
    <mergeCell ref="I40:I41"/>
    <mergeCell ref="J40:J41"/>
    <mergeCell ref="A40:A41"/>
    <mergeCell ref="B40:B41"/>
    <mergeCell ref="C40:C41"/>
    <mergeCell ref="D40:D41"/>
    <mergeCell ref="E40:E41"/>
    <mergeCell ref="L36:L37"/>
    <mergeCell ref="M36:M37"/>
    <mergeCell ref="A38:A39"/>
    <mergeCell ref="B38:B39"/>
    <mergeCell ref="C38:C39"/>
    <mergeCell ref="D38:D39"/>
    <mergeCell ref="E38:E39"/>
    <mergeCell ref="F38:F39"/>
    <mergeCell ref="G38:G39"/>
    <mergeCell ref="H38:H39"/>
    <mergeCell ref="I38:I39"/>
    <mergeCell ref="J38:J39"/>
    <mergeCell ref="L38:L39"/>
    <mergeCell ref="M38:M39"/>
    <mergeCell ref="F36:F37"/>
    <mergeCell ref="G36:G37"/>
    <mergeCell ref="H36:H37"/>
    <mergeCell ref="I36:I37"/>
    <mergeCell ref="J36:J37"/>
    <mergeCell ref="A36:A37"/>
    <mergeCell ref="B36:B37"/>
    <mergeCell ref="C36:C37"/>
    <mergeCell ref="D36:D37"/>
    <mergeCell ref="E36:E37"/>
    <mergeCell ref="L32:L33"/>
    <mergeCell ref="M32:M33"/>
    <mergeCell ref="A34:A35"/>
    <mergeCell ref="B34:B35"/>
    <mergeCell ref="C34:C35"/>
    <mergeCell ref="D34:D35"/>
    <mergeCell ref="E34:E35"/>
    <mergeCell ref="F34:F35"/>
    <mergeCell ref="G34:G35"/>
    <mergeCell ref="H34:H35"/>
    <mergeCell ref="I34:I35"/>
    <mergeCell ref="J34:J35"/>
    <mergeCell ref="L34:L35"/>
    <mergeCell ref="M34:M35"/>
    <mergeCell ref="F32:F33"/>
    <mergeCell ref="G32:G33"/>
    <mergeCell ref="H32:H33"/>
    <mergeCell ref="I32:I33"/>
    <mergeCell ref="J32:J33"/>
    <mergeCell ref="A32:A33"/>
    <mergeCell ref="B32:B33"/>
    <mergeCell ref="C32:C33"/>
    <mergeCell ref="D32:D33"/>
    <mergeCell ref="E32:E33"/>
    <mergeCell ref="L28:L29"/>
    <mergeCell ref="M28:M29"/>
    <mergeCell ref="A30:A31"/>
    <mergeCell ref="B30:B31"/>
    <mergeCell ref="C30:C31"/>
    <mergeCell ref="D30:D31"/>
    <mergeCell ref="E30:E31"/>
    <mergeCell ref="F30:F31"/>
    <mergeCell ref="G30:G31"/>
    <mergeCell ref="H30:H31"/>
    <mergeCell ref="I30:I31"/>
    <mergeCell ref="J30:J31"/>
    <mergeCell ref="L30:L31"/>
    <mergeCell ref="M30:M31"/>
    <mergeCell ref="F28:F29"/>
    <mergeCell ref="G28:G29"/>
    <mergeCell ref="H28:H29"/>
    <mergeCell ref="I28:I29"/>
    <mergeCell ref="J28:J29"/>
    <mergeCell ref="A28:A29"/>
    <mergeCell ref="B28:B29"/>
    <mergeCell ref="C28:C29"/>
    <mergeCell ref="D28:D29"/>
    <mergeCell ref="E28:E29"/>
    <mergeCell ref="L24:L25"/>
    <mergeCell ref="E24:E25"/>
    <mergeCell ref="M24:M25"/>
    <mergeCell ref="A26:A27"/>
    <mergeCell ref="B26:B27"/>
    <mergeCell ref="C26:C27"/>
    <mergeCell ref="D26:D27"/>
    <mergeCell ref="E26:E27"/>
    <mergeCell ref="F26:F27"/>
    <mergeCell ref="G26:G27"/>
    <mergeCell ref="H26:H27"/>
    <mergeCell ref="I26:I27"/>
    <mergeCell ref="J26:J27"/>
    <mergeCell ref="L26:L27"/>
    <mergeCell ref="M26:M27"/>
    <mergeCell ref="F24:F25"/>
    <mergeCell ref="G24:G25"/>
    <mergeCell ref="H24:H25"/>
    <mergeCell ref="I24:I25"/>
    <mergeCell ref="J24:J25"/>
    <mergeCell ref="A24:A25"/>
    <mergeCell ref="B24:B25"/>
    <mergeCell ref="C24:C25"/>
    <mergeCell ref="D24:D25"/>
    <mergeCell ref="L20:L21"/>
    <mergeCell ref="M20:M21"/>
    <mergeCell ref="A22:A23"/>
    <mergeCell ref="B22:B23"/>
    <mergeCell ref="C22:C23"/>
    <mergeCell ref="D22:D23"/>
    <mergeCell ref="E22:E23"/>
    <mergeCell ref="F22:F23"/>
    <mergeCell ref="G22:G23"/>
    <mergeCell ref="H22:H23"/>
    <mergeCell ref="I22:I23"/>
    <mergeCell ref="J22:J23"/>
    <mergeCell ref="L22:L23"/>
    <mergeCell ref="M22:M23"/>
    <mergeCell ref="F20:F21"/>
    <mergeCell ref="G20:G21"/>
    <mergeCell ref="H20:H21"/>
    <mergeCell ref="I20:I21"/>
    <mergeCell ref="J20:J21"/>
    <mergeCell ref="A20:A21"/>
    <mergeCell ref="B20:B21"/>
    <mergeCell ref="C20:C21"/>
    <mergeCell ref="D20:D21"/>
    <mergeCell ref="E20:E21"/>
    <mergeCell ref="M16:M17"/>
    <mergeCell ref="A18:A19"/>
    <mergeCell ref="B18:B19"/>
    <mergeCell ref="C18:C19"/>
    <mergeCell ref="D18:D19"/>
    <mergeCell ref="E18:E19"/>
    <mergeCell ref="F18:F19"/>
    <mergeCell ref="G18:G19"/>
    <mergeCell ref="H18:H19"/>
    <mergeCell ref="I18:I19"/>
    <mergeCell ref="J18:J19"/>
    <mergeCell ref="L18:L19"/>
    <mergeCell ref="M18:M19"/>
    <mergeCell ref="F16:F17"/>
    <mergeCell ref="G16:G17"/>
    <mergeCell ref="H16:H17"/>
    <mergeCell ref="I16:I17"/>
    <mergeCell ref="J16:J17"/>
    <mergeCell ref="A16:A17"/>
    <mergeCell ref="B16:B17"/>
    <mergeCell ref="C16:C17"/>
    <mergeCell ref="D16:D17"/>
    <mergeCell ref="E16:E17"/>
    <mergeCell ref="D14:D15"/>
    <mergeCell ref="E14:E15"/>
    <mergeCell ref="F14:F15"/>
    <mergeCell ref="G14:G15"/>
    <mergeCell ref="H14:H15"/>
    <mergeCell ref="I14:I15"/>
    <mergeCell ref="L16:L17"/>
    <mergeCell ref="J14:J15"/>
    <mergeCell ref="L14:L15"/>
    <mergeCell ref="M14:M15"/>
    <mergeCell ref="J10:J11"/>
    <mergeCell ref="L10:L11"/>
    <mergeCell ref="M10:M11"/>
    <mergeCell ref="A12:A13"/>
    <mergeCell ref="B12:B13"/>
    <mergeCell ref="C12:C13"/>
    <mergeCell ref="D12:D13"/>
    <mergeCell ref="E12:E13"/>
    <mergeCell ref="F12:F13"/>
    <mergeCell ref="G12:G13"/>
    <mergeCell ref="H12:H13"/>
    <mergeCell ref="I12:I13"/>
    <mergeCell ref="J12:J13"/>
    <mergeCell ref="L12:L13"/>
    <mergeCell ref="M12:M13"/>
    <mergeCell ref="E10:E11"/>
    <mergeCell ref="F10:F11"/>
    <mergeCell ref="G10:G11"/>
    <mergeCell ref="H10:H11"/>
    <mergeCell ref="I10:I11"/>
    <mergeCell ref="A14:A15"/>
    <mergeCell ref="B14:B15"/>
    <mergeCell ref="C14:C15"/>
    <mergeCell ref="I4:I5"/>
    <mergeCell ref="H4:H5"/>
    <mergeCell ref="A8:A9"/>
    <mergeCell ref="A10:A11"/>
    <mergeCell ref="B10:B11"/>
    <mergeCell ref="C10:C11"/>
    <mergeCell ref="D10:D11"/>
    <mergeCell ref="B8:B9"/>
    <mergeCell ref="C8:C9"/>
    <mergeCell ref="D8:D9"/>
    <mergeCell ref="E8:E9"/>
    <mergeCell ref="A6:A7"/>
    <mergeCell ref="C6:C7"/>
    <mergeCell ref="B6:B7"/>
    <mergeCell ref="F4:G4"/>
    <mergeCell ref="D4:D5"/>
    <mergeCell ref="K4:K5"/>
    <mergeCell ref="B3:R3"/>
    <mergeCell ref="L4:L5"/>
    <mergeCell ref="M4:M5"/>
    <mergeCell ref="O4:R4"/>
    <mergeCell ref="F8:F9"/>
    <mergeCell ref="G8:G9"/>
    <mergeCell ref="H8:H9"/>
    <mergeCell ref="I8:I9"/>
    <mergeCell ref="J8:J9"/>
    <mergeCell ref="L8:L9"/>
    <mergeCell ref="M8:M9"/>
    <mergeCell ref="J4:J5"/>
    <mergeCell ref="M6:M7"/>
    <mergeCell ref="L6:L7"/>
    <mergeCell ref="J6:J7"/>
    <mergeCell ref="I6:I7"/>
    <mergeCell ref="H6:H7"/>
    <mergeCell ref="G6:G7"/>
    <mergeCell ref="F6:F7"/>
    <mergeCell ref="E6:E7"/>
    <mergeCell ref="D6:D7"/>
    <mergeCell ref="B4:B5"/>
    <mergeCell ref="C4:C5"/>
  </mergeCells>
  <conditionalFormatting sqref="B6:J65 L6:R65">
    <cfRule type="expression" dxfId="65" priority="32">
      <formula>B6=0</formula>
    </cfRule>
  </conditionalFormatting>
  <conditionalFormatting sqref="K6 K8 K10 K12 K14 K16 K18 K20 K22 K24 K26 K28 K30 K32 K34 K36 K38 K40 K42 K44 K46 K48 K50 K52 K54 K56 K58 K60 K62 K64">
    <cfRule type="expression" dxfId="40" priority="1">
      <formula>K6=0</formula>
    </cfRule>
  </conditionalFormatting>
  <conditionalFormatting sqref="O6:R65">
    <cfRule type="cellIs" dxfId="9" priority="63" operator="equal">
      <formula>"?"</formula>
    </cfRule>
    <cfRule type="cellIs" dxfId="8" priority="64" operator="equal">
      <formula>"-"</formula>
    </cfRule>
    <cfRule type="cellIs" dxfId="7" priority="65" operator="equal">
      <formula>"+"</formula>
    </cfRule>
  </conditionalFormatting>
  <pageMargins left="0.7" right="0.7" top="0.75" bottom="0.75" header="0.3" footer="0.3"/>
  <pageSetup paperSize="9" orientation="portrait" horizontalDpi="4294967295" verticalDpi="4294967295" r:id="rId1"/>
  <ignoredErrors>
    <ignoredError sqref="R8 R7 R10 R9 R12 R11 R14 R13 R16 R15 R18 R17 R20 R19 R22 R21 R24 R23 R26 R25 R28 R27 R30 R29 R32 R31 R34 R33 R36 R35 R38 R37 R40 R39 R42 R41 R44 R43 R46 R45 R48 R47 R50 R49 R52 R51 R54 R53 R58 R55 R56 R57 R60 R59 R62 R61 O64:R64 R63 R65 O62:Q62 O60:Q60 P56:Q56 O58:Q58 O54:Q54 O52:Q52 O50:Q50 O48:Q48 O46:Q46 O44:Q44 O42:Q42 O40:Q40 O38:Q38 O36:Q36 O34:Q34 O32:Q32 O30:Q30 O28:Q28 O26:Q26 O24:Q24 O22:Q22 O20:Q20 O18:Q18 O16:Q16 O14:Q14 O12:Q12 O9:Q9 O10:Q10 O8:Q8 O11:Q11 O13:Q13 O15:Q15 O17:Q17 O19:Q19 O21:Q21 O23:Q23 O25:Q25 O27:Q27 O29:Q29 O31:Q31 O33:Q33 O35:Q35 O37:Q37 O39:Q39 O41:Q41 O43:Q43 O45:Q45 O47:Q47 O49:Q49 O51:Q51 O53:Q53 O55:Q55 O59:Q59 O57:Q57 O56 O61:Q61 O63:Q63 O7 P7:Q7" formula="1"/>
  </ignoredErrors>
  <drawing r:id="rId2"/>
  <extLst>
    <ext xmlns:x14="http://schemas.microsoft.com/office/spreadsheetml/2009/9/main" uri="{78C0D931-6437-407d-A8EE-F0AAD7539E65}">
      <x14:conditionalFormattings>
        <x14:conditionalFormatting xmlns:xm="http://schemas.microsoft.com/office/excel/2006/main">
          <x14:cfRule type="expression" priority="49" id="{1E78FADD-D3CB-4B01-8D1D-BE7CE7178BE4}">
            <xm:f>SUMMARY!$B$20=FALSE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A32:J33 L32:R33</xm:sqref>
        </x14:conditionalFormatting>
        <x14:conditionalFormatting xmlns:xm="http://schemas.microsoft.com/office/excel/2006/main">
          <x14:cfRule type="expression" priority="47" id="{00285603-D8CA-4DAE-8CE7-9462AC9E0E3A}">
            <xm:f>SUMMARY!$B$22=FALSE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A36:J37 L36:R37</xm:sqref>
        </x14:conditionalFormatting>
        <x14:conditionalFormatting xmlns:xm="http://schemas.microsoft.com/office/excel/2006/main">
          <x14:cfRule type="expression" priority="43" id="{1B596EC3-A3DC-4E5E-8A63-3225104189D6}">
            <xm:f>SUMMARY!$B$26=FALSE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A44:J45 L44:R45</xm:sqref>
        </x14:conditionalFormatting>
        <x14:conditionalFormatting xmlns:xm="http://schemas.microsoft.com/office/excel/2006/main">
          <x14:cfRule type="expression" priority="40" id="{192D2CF9-FF26-4A6A-B83D-55F5E5706733}">
            <xm:f>SUMMARY!$B$29=FALSE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A50:J51 L50:R51</xm:sqref>
        </x14:conditionalFormatting>
        <x14:conditionalFormatting xmlns:xm="http://schemas.microsoft.com/office/excel/2006/main">
          <x14:cfRule type="expression" priority="36" id="{DF451014-57C8-414E-A905-AB618168DCE9}">
            <xm:f>SUMMARY!$B$33=FALSE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A58:J59 L58:R59</xm:sqref>
        </x14:conditionalFormatting>
        <x14:conditionalFormatting xmlns:xm="http://schemas.microsoft.com/office/excel/2006/main">
          <x14:cfRule type="expression" priority="62" id="{551CD82E-C30C-48E0-B2D6-F9F3BC46908E}">
            <xm:f>SUMMARY!$B$7=FALSE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B6:J7 L6:R7</xm:sqref>
        </x14:conditionalFormatting>
        <x14:conditionalFormatting xmlns:xm="http://schemas.microsoft.com/office/excel/2006/main">
          <x14:cfRule type="expression" priority="61" id="{A6FFF1B6-3A88-45B9-91C3-80131FAED8D2}">
            <xm:f>SUMMARY!$B$8=FALSE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B8:J9 L8:R9</xm:sqref>
        </x14:conditionalFormatting>
        <x14:conditionalFormatting xmlns:xm="http://schemas.microsoft.com/office/excel/2006/main">
          <x14:cfRule type="expression" priority="60" id="{BA2E9257-AFF9-4BF2-8353-9E752026B06C}">
            <xm:f>SUMMARY!$B$9=FALSE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B10:J11 L10:R11</xm:sqref>
        </x14:conditionalFormatting>
        <x14:conditionalFormatting xmlns:xm="http://schemas.microsoft.com/office/excel/2006/main">
          <x14:cfRule type="expression" priority="59" id="{5BE3E54A-EA1F-4AB7-9310-4EFFADEC901C}">
            <xm:f>SUMMARY!$B$10=FALSE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B12:J13 L12:R13</xm:sqref>
        </x14:conditionalFormatting>
        <x14:conditionalFormatting xmlns:xm="http://schemas.microsoft.com/office/excel/2006/main">
          <x14:cfRule type="expression" priority="58" id="{C5837784-C308-4556-9C31-67FDC1BBCD44}">
            <xm:f>SUMMARY!$B$11=FALSE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B14:J15 L14:R15</xm:sqref>
        </x14:conditionalFormatting>
        <x14:conditionalFormatting xmlns:xm="http://schemas.microsoft.com/office/excel/2006/main">
          <x14:cfRule type="expression" priority="57" id="{E4FEB7A0-C1A3-408C-A1BE-30687C79E7ED}">
            <xm:f>SUMMARY!$B$12=FALSE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B16:J17 L16:R17</xm:sqref>
        </x14:conditionalFormatting>
        <x14:conditionalFormatting xmlns:xm="http://schemas.microsoft.com/office/excel/2006/main">
          <x14:cfRule type="expression" priority="56" id="{F116AB39-E584-47A4-B417-6874D521FDE2}">
            <xm:f>SUMMARY!$B$13=FALSE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B18:J19 L18:R19</xm:sqref>
        </x14:conditionalFormatting>
        <x14:conditionalFormatting xmlns:xm="http://schemas.microsoft.com/office/excel/2006/main">
          <x14:cfRule type="expression" priority="55" id="{A7219C54-1101-48E0-859C-278FC5C056DA}">
            <xm:f>SUMMARY!$B$14=FALSE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B20:J21 L20:R21</xm:sqref>
        </x14:conditionalFormatting>
        <x14:conditionalFormatting xmlns:xm="http://schemas.microsoft.com/office/excel/2006/main">
          <x14:cfRule type="expression" priority="54" id="{621F0277-7AE9-410C-A766-24D3A466EFA5}">
            <xm:f>SUMMARY!$B$15=FALSE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B22:J23 L22:R23</xm:sqref>
        </x14:conditionalFormatting>
        <x14:conditionalFormatting xmlns:xm="http://schemas.microsoft.com/office/excel/2006/main">
          <x14:cfRule type="expression" priority="53" id="{DBC494DA-3295-4419-B61A-62C6AAC2C458}">
            <xm:f>SUMMARY!$B$16=FALSE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B24:J25 L24:R25</xm:sqref>
        </x14:conditionalFormatting>
        <x14:conditionalFormatting xmlns:xm="http://schemas.microsoft.com/office/excel/2006/main">
          <x14:cfRule type="expression" priority="52" id="{924105D7-F566-4B71-8054-B20046177586}">
            <xm:f>SUMMARY!$B$17=FALSE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B26:J27 L26:R27</xm:sqref>
        </x14:conditionalFormatting>
        <x14:conditionalFormatting xmlns:xm="http://schemas.microsoft.com/office/excel/2006/main">
          <x14:cfRule type="expression" priority="51" id="{D52BFE82-C086-4872-B4C6-412DC4FADC96}">
            <xm:f>SUMMARY!$B$18=FALSE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B28:J29 L28:R29</xm:sqref>
        </x14:conditionalFormatting>
        <x14:conditionalFormatting xmlns:xm="http://schemas.microsoft.com/office/excel/2006/main">
          <x14:cfRule type="expression" priority="50" id="{0B74C900-488E-458D-83F8-34DF5FFC0125}">
            <xm:f>SUMMARY!$B$19=FALSE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B30:J31 L30:R31</xm:sqref>
        </x14:conditionalFormatting>
        <x14:conditionalFormatting xmlns:xm="http://schemas.microsoft.com/office/excel/2006/main">
          <x14:cfRule type="expression" priority="48" id="{39F864A1-FADE-4998-BF65-8083D3700920}">
            <xm:f>SUMMARY!$B$21=FALSE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B34:J35 L34:R35</xm:sqref>
        </x14:conditionalFormatting>
        <x14:conditionalFormatting xmlns:xm="http://schemas.microsoft.com/office/excel/2006/main">
          <x14:cfRule type="expression" priority="46" id="{EFF2F6D3-5CD5-43CB-B4E2-AD7418A2265C}">
            <xm:f>SUMMARY!$B$23=FALSE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B38:J39 L38:R39</xm:sqref>
        </x14:conditionalFormatting>
        <x14:conditionalFormatting xmlns:xm="http://schemas.microsoft.com/office/excel/2006/main">
          <x14:cfRule type="expression" priority="45" id="{7AAF4861-2524-4466-AD85-C2A437777EC8}">
            <xm:f>SUMMARY!$B$24=FALSE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B40:J41 L40:R41</xm:sqref>
        </x14:conditionalFormatting>
        <x14:conditionalFormatting xmlns:xm="http://schemas.microsoft.com/office/excel/2006/main">
          <x14:cfRule type="expression" priority="44" id="{E19EB272-35E1-47B5-A02A-AF7A05E5B79F}">
            <xm:f>SUMMARY!$B$25=FALSE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B42:J43 L42:R43</xm:sqref>
        </x14:conditionalFormatting>
        <x14:conditionalFormatting xmlns:xm="http://schemas.microsoft.com/office/excel/2006/main">
          <x14:cfRule type="expression" priority="42" id="{A4943B77-AAA9-41D4-9493-3DEA571DA06D}">
            <xm:f>SUMMARY!$B$27=FALSE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B46:J47 L46:R47</xm:sqref>
        </x14:conditionalFormatting>
        <x14:conditionalFormatting xmlns:xm="http://schemas.microsoft.com/office/excel/2006/main">
          <x14:cfRule type="expression" priority="41" id="{E63B3AE9-3B74-4A0F-AF9E-9B719ECB98FF}">
            <xm:f>SUMMARY!$B$28=FALSE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B48:J49 L48:R49</xm:sqref>
        </x14:conditionalFormatting>
        <x14:conditionalFormatting xmlns:xm="http://schemas.microsoft.com/office/excel/2006/main">
          <x14:cfRule type="expression" priority="39" id="{BBC26B5B-7F5C-428A-BE70-3DE6AB0B5C83}">
            <xm:f>SUMMARY!$B$30=FALSE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B52:J53 L52:R53</xm:sqref>
        </x14:conditionalFormatting>
        <x14:conditionalFormatting xmlns:xm="http://schemas.microsoft.com/office/excel/2006/main">
          <x14:cfRule type="expression" priority="38" id="{242AD475-2DB6-443A-89AB-8F3EC2F30BEB}">
            <xm:f>SUMMARY!$B$31=FALSE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B54:J55 L54:R55</xm:sqref>
        </x14:conditionalFormatting>
        <x14:conditionalFormatting xmlns:xm="http://schemas.microsoft.com/office/excel/2006/main">
          <x14:cfRule type="expression" priority="37" id="{EEA90EBD-F375-437B-97B3-49D6BC2ED052}">
            <xm:f>SUMMARY!$B$32=FALSE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B56:J57 L56:R57</xm:sqref>
        </x14:conditionalFormatting>
        <x14:conditionalFormatting xmlns:xm="http://schemas.microsoft.com/office/excel/2006/main">
          <x14:cfRule type="expression" priority="35" id="{398456BD-FD65-40FF-8654-000F6CB80839}">
            <xm:f>SUMMARY!$B$34=FALSE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B60:J61 L60:R61</xm:sqref>
        </x14:conditionalFormatting>
        <x14:conditionalFormatting xmlns:xm="http://schemas.microsoft.com/office/excel/2006/main">
          <x14:cfRule type="expression" priority="34" id="{F8BB44EE-496A-4F2E-9CD9-DDC3A3F306CC}">
            <xm:f>SUMMARY!$B$35=FALSE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B62:J63 L62:R63</xm:sqref>
        </x14:conditionalFormatting>
        <x14:conditionalFormatting xmlns:xm="http://schemas.microsoft.com/office/excel/2006/main">
          <x14:cfRule type="expression" priority="33" id="{23EC04AD-36A6-47D7-AE98-59114BA347B4}">
            <xm:f>SUMMARY!$B$36=FALSE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B64:J65 L64:R65</xm:sqref>
        </x14:conditionalFormatting>
        <x14:conditionalFormatting xmlns:xm="http://schemas.microsoft.com/office/excel/2006/main">
          <x14:cfRule type="expression" priority="31" id="{BDE945FE-0685-43CB-BF13-9986BFF063C8}">
            <xm:f>SUMMARY!$B$7=FALSE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K6</xm:sqref>
        </x14:conditionalFormatting>
        <x14:conditionalFormatting xmlns:xm="http://schemas.microsoft.com/office/excel/2006/main">
          <x14:cfRule type="expression" priority="30" id="{3571309D-9AB7-48FD-945B-9BA3134A8EB9}">
            <xm:f>SUMMARY!$B$8=FALSE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K8</xm:sqref>
        </x14:conditionalFormatting>
        <x14:conditionalFormatting xmlns:xm="http://schemas.microsoft.com/office/excel/2006/main">
          <x14:cfRule type="expression" priority="29" id="{F2AF7A27-2884-4CD4-915B-F4BD459997D4}">
            <xm:f>SUMMARY!$B$9=FALSE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K10</xm:sqref>
        </x14:conditionalFormatting>
        <x14:conditionalFormatting xmlns:xm="http://schemas.microsoft.com/office/excel/2006/main">
          <x14:cfRule type="expression" priority="28" id="{96A0A683-9BF3-4CBA-B267-FAD9268D29DF}">
            <xm:f>SUMMARY!$B$10=FALSE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K12</xm:sqref>
        </x14:conditionalFormatting>
        <x14:conditionalFormatting xmlns:xm="http://schemas.microsoft.com/office/excel/2006/main">
          <x14:cfRule type="expression" priority="27" id="{59EBC3D7-FE45-4F6C-A188-8D78A4982992}">
            <xm:f>SUMMARY!$B$11=FALSE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K14</xm:sqref>
        </x14:conditionalFormatting>
        <x14:conditionalFormatting xmlns:xm="http://schemas.microsoft.com/office/excel/2006/main">
          <x14:cfRule type="expression" priority="26" id="{3D18913E-155E-4880-9231-3DA78501D922}">
            <xm:f>SUMMARY!$B$12=FALSE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K16</xm:sqref>
        </x14:conditionalFormatting>
        <x14:conditionalFormatting xmlns:xm="http://schemas.microsoft.com/office/excel/2006/main">
          <x14:cfRule type="expression" priority="25" id="{112C1AB0-4C7C-4205-88A9-BFC5AA425E71}">
            <xm:f>SUMMARY!$B$13=FALSE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K18</xm:sqref>
        </x14:conditionalFormatting>
        <x14:conditionalFormatting xmlns:xm="http://schemas.microsoft.com/office/excel/2006/main">
          <x14:cfRule type="expression" priority="24" id="{83B7B916-2F96-4F80-9D92-5239534B6166}">
            <xm:f>SUMMARY!$B$14=FALSE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K20</xm:sqref>
        </x14:conditionalFormatting>
        <x14:conditionalFormatting xmlns:xm="http://schemas.microsoft.com/office/excel/2006/main">
          <x14:cfRule type="expression" priority="23" id="{CD54A1E3-A147-483B-856A-C944A35235C8}">
            <xm:f>SUMMARY!$B$15=FALSE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K22</xm:sqref>
        </x14:conditionalFormatting>
        <x14:conditionalFormatting xmlns:xm="http://schemas.microsoft.com/office/excel/2006/main">
          <x14:cfRule type="expression" priority="22" id="{42ADBCD1-5FFA-4DE8-AB76-FEDF52DDB636}">
            <xm:f>SUMMARY!$B$16=FALSE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K24</xm:sqref>
        </x14:conditionalFormatting>
        <x14:conditionalFormatting xmlns:xm="http://schemas.microsoft.com/office/excel/2006/main">
          <x14:cfRule type="expression" priority="21" id="{B96CE78C-F645-463B-A4B0-E8C078F8A6E8}">
            <xm:f>SUMMARY!$B$17=FALSE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K26</xm:sqref>
        </x14:conditionalFormatting>
        <x14:conditionalFormatting xmlns:xm="http://schemas.microsoft.com/office/excel/2006/main">
          <x14:cfRule type="expression" priority="20" id="{A91C6FB9-7D59-4055-BE5E-1C6EBF8127B0}">
            <xm:f>SUMMARY!$B$18=FALSE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K28</xm:sqref>
        </x14:conditionalFormatting>
        <x14:conditionalFormatting xmlns:xm="http://schemas.microsoft.com/office/excel/2006/main">
          <x14:cfRule type="expression" priority="19" id="{71713B8A-CF86-445E-9582-94CFF1BD113E}">
            <xm:f>SUMMARY!$B$19=FALSE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K30</xm:sqref>
        </x14:conditionalFormatting>
        <x14:conditionalFormatting xmlns:xm="http://schemas.microsoft.com/office/excel/2006/main">
          <x14:cfRule type="expression" priority="18" id="{4B268CB1-5EB0-4B11-8715-2A788E5C4A0D}">
            <xm:f>SUMMARY!$B$20=FALSE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K32</xm:sqref>
        </x14:conditionalFormatting>
        <x14:conditionalFormatting xmlns:xm="http://schemas.microsoft.com/office/excel/2006/main">
          <x14:cfRule type="expression" priority="17" id="{45B2534B-791A-4462-8998-D069E9026446}">
            <xm:f>SUMMARY!$B$21=FALSE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K34</xm:sqref>
        </x14:conditionalFormatting>
        <x14:conditionalFormatting xmlns:xm="http://schemas.microsoft.com/office/excel/2006/main">
          <x14:cfRule type="expression" priority="16" id="{B2AA59F7-8EBC-4F4B-9196-B538F577284B}">
            <xm:f>SUMMARY!$B$22=FALSE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K36</xm:sqref>
        </x14:conditionalFormatting>
        <x14:conditionalFormatting xmlns:xm="http://schemas.microsoft.com/office/excel/2006/main">
          <x14:cfRule type="expression" priority="15" id="{B0FC24F9-1357-4913-B8CF-4BE6FABAEEC0}">
            <xm:f>SUMMARY!$B$23=FALSE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K38</xm:sqref>
        </x14:conditionalFormatting>
        <x14:conditionalFormatting xmlns:xm="http://schemas.microsoft.com/office/excel/2006/main">
          <x14:cfRule type="expression" priority="14" id="{3DEB1B1E-2F7C-4197-80DE-D99856DC933D}">
            <xm:f>SUMMARY!$B$24=FALSE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K40</xm:sqref>
        </x14:conditionalFormatting>
        <x14:conditionalFormatting xmlns:xm="http://schemas.microsoft.com/office/excel/2006/main">
          <x14:cfRule type="expression" priority="13" id="{89200968-B00C-4770-A6A5-B0BC6DC26418}">
            <xm:f>SUMMARY!$B$25=FALSE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K42</xm:sqref>
        </x14:conditionalFormatting>
        <x14:conditionalFormatting xmlns:xm="http://schemas.microsoft.com/office/excel/2006/main">
          <x14:cfRule type="expression" priority="12" id="{5792461F-40A2-421D-BA5D-E75ED1415BA5}">
            <xm:f>SUMMARY!$B$26=FALSE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K44</xm:sqref>
        </x14:conditionalFormatting>
        <x14:conditionalFormatting xmlns:xm="http://schemas.microsoft.com/office/excel/2006/main">
          <x14:cfRule type="expression" priority="11" id="{45BAFC42-3806-456B-8039-29FC878F3F1D}">
            <xm:f>SUMMARY!$B$27=FALSE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K46</xm:sqref>
        </x14:conditionalFormatting>
        <x14:conditionalFormatting xmlns:xm="http://schemas.microsoft.com/office/excel/2006/main">
          <x14:cfRule type="expression" priority="10" id="{1D536857-9E3E-49A1-807B-44BE17FAC923}">
            <xm:f>SUMMARY!$B$28=FALSE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K48</xm:sqref>
        </x14:conditionalFormatting>
        <x14:conditionalFormatting xmlns:xm="http://schemas.microsoft.com/office/excel/2006/main">
          <x14:cfRule type="expression" priority="9" id="{134AE406-497A-4DD3-93BF-5369D551ACE8}">
            <xm:f>SUMMARY!$B$29=FALSE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K50</xm:sqref>
        </x14:conditionalFormatting>
        <x14:conditionalFormatting xmlns:xm="http://schemas.microsoft.com/office/excel/2006/main">
          <x14:cfRule type="expression" priority="8" id="{D068DEE8-FB3E-4215-99EA-F5056E3DF96A}">
            <xm:f>SUMMARY!$B$30=FALSE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K52</xm:sqref>
        </x14:conditionalFormatting>
        <x14:conditionalFormatting xmlns:xm="http://schemas.microsoft.com/office/excel/2006/main">
          <x14:cfRule type="expression" priority="7" id="{CE55D5B4-DB9B-49D3-9F33-70A15BF5FD55}">
            <xm:f>SUMMARY!$B$31=FALSE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K54</xm:sqref>
        </x14:conditionalFormatting>
        <x14:conditionalFormatting xmlns:xm="http://schemas.microsoft.com/office/excel/2006/main">
          <x14:cfRule type="expression" priority="6" id="{A3E61BC0-963A-4810-8B5E-1FD21E3800FE}">
            <xm:f>SUMMARY!$B$32=FALSE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K56</xm:sqref>
        </x14:conditionalFormatting>
        <x14:conditionalFormatting xmlns:xm="http://schemas.microsoft.com/office/excel/2006/main">
          <x14:cfRule type="expression" priority="5" id="{D3814297-1EBD-44C3-9DEA-600776ADC0F7}">
            <xm:f>SUMMARY!$B$33=FALSE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K58</xm:sqref>
        </x14:conditionalFormatting>
        <x14:conditionalFormatting xmlns:xm="http://schemas.microsoft.com/office/excel/2006/main">
          <x14:cfRule type="expression" priority="4" id="{46919CB3-72B1-4287-AA7F-75686D539A11}">
            <xm:f>SUMMARY!$B$34=FALSE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K60</xm:sqref>
        </x14:conditionalFormatting>
        <x14:conditionalFormatting xmlns:xm="http://schemas.microsoft.com/office/excel/2006/main">
          <x14:cfRule type="expression" priority="3" id="{2558273C-8BB8-4F9B-96BA-05B574516D28}">
            <xm:f>SUMMARY!$B$35=FALSE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K62</xm:sqref>
        </x14:conditionalFormatting>
        <x14:conditionalFormatting xmlns:xm="http://schemas.microsoft.com/office/excel/2006/main">
          <x14:cfRule type="expression" priority="2" id="{E916D699-987A-493B-A01B-F465B71AAFB6}">
            <xm:f>SUMMARY!$B$36=FALSE</xm:f>
            <x14:dxf>
              <font>
                <color theme="0"/>
              </font>
              <fill>
                <patternFill>
                  <bgColor theme="0"/>
                </patternFill>
              </fill>
              <border>
                <left style="thin">
                  <color theme="0"/>
                </left>
                <right style="thin">
                  <color theme="0"/>
                </right>
                <top style="thin">
                  <color theme="0"/>
                </top>
                <bottom style="thin">
                  <color theme="0"/>
                </bottom>
                <vertical/>
                <horizontal/>
              </border>
            </x14:dxf>
          </x14:cfRule>
          <xm:sqref>K64</xm:sqref>
        </x14:conditionalFormatting>
      </x14:conditionalFormatting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B366E7-ABF0-4C23-9FCF-25AF69297BAC}">
  <sheetPr codeName="Hoja8">
    <tabColor theme="9" tint="-0.499984740745262"/>
  </sheetPr>
  <dimension ref="A1:AH41"/>
  <sheetViews>
    <sheetView tabSelected="1" topLeftCell="B1" zoomScale="140" zoomScaleNormal="140" workbookViewId="0">
      <selection activeCell="B3" sqref="B3:K17"/>
    </sheetView>
  </sheetViews>
  <sheetFormatPr baseColWidth="10" defaultColWidth="11.5" defaultRowHeight="15" x14ac:dyDescent="0.2"/>
  <cols>
    <col min="1" max="1" width="11.5" style="122" hidden="1" customWidth="1"/>
    <col min="2" max="2" width="25" style="122" customWidth="1"/>
    <col min="3" max="12" width="7.1640625" style="122" customWidth="1"/>
    <col min="13" max="16384" width="11.5" style="122"/>
  </cols>
  <sheetData>
    <row r="1" spans="1:34" x14ac:dyDescent="0.2">
      <c r="K1" s="123"/>
    </row>
    <row r="2" spans="1:34" x14ac:dyDescent="0.2">
      <c r="K2" s="123"/>
    </row>
    <row r="3" spans="1:34" s="124" customFormat="1" x14ac:dyDescent="0.2">
      <c r="B3" s="389" t="s">
        <v>240</v>
      </c>
      <c r="C3" s="390"/>
      <c r="D3" s="390"/>
      <c r="E3" s="390"/>
      <c r="F3" s="390"/>
      <c r="G3" s="390"/>
      <c r="H3" s="390"/>
      <c r="I3" s="390"/>
      <c r="J3" s="390"/>
      <c r="K3" s="391"/>
      <c r="L3" s="126"/>
      <c r="M3" s="126"/>
      <c r="N3" s="126"/>
      <c r="O3" s="126"/>
      <c r="P3" s="126"/>
      <c r="Q3" s="126"/>
      <c r="R3" s="126"/>
      <c r="S3" s="126"/>
      <c r="T3" s="126"/>
      <c r="U3" s="126"/>
      <c r="V3" s="126"/>
      <c r="W3" s="126"/>
      <c r="X3" s="126"/>
      <c r="Y3" s="126"/>
      <c r="Z3" s="126"/>
      <c r="AA3" s="126"/>
      <c r="AB3" s="126"/>
      <c r="AC3" s="126"/>
      <c r="AD3" s="126"/>
      <c r="AE3" s="126"/>
      <c r="AF3" s="126"/>
      <c r="AG3" s="126"/>
      <c r="AH3" s="126"/>
    </row>
    <row r="4" spans="1:34" s="127" customFormat="1" ht="16.5" customHeight="1" x14ac:dyDescent="0.15">
      <c r="B4" s="386" t="s">
        <v>218</v>
      </c>
      <c r="C4" s="385" t="s">
        <v>241</v>
      </c>
      <c r="D4" s="385"/>
      <c r="E4" s="385"/>
      <c r="F4" s="386"/>
      <c r="G4" s="387" t="s">
        <v>162</v>
      </c>
      <c r="H4" s="385"/>
      <c r="I4" s="386"/>
      <c r="J4" s="383" t="s">
        <v>242</v>
      </c>
      <c r="K4" s="384"/>
      <c r="L4" s="126"/>
      <c r="M4" s="128"/>
      <c r="N4" s="126"/>
      <c r="O4" s="126"/>
      <c r="P4" s="126"/>
      <c r="Q4" s="126"/>
      <c r="R4" s="126"/>
      <c r="S4" s="126"/>
      <c r="T4" s="126"/>
      <c r="U4" s="126"/>
      <c r="V4" s="126"/>
      <c r="W4" s="126"/>
      <c r="X4" s="126"/>
      <c r="Y4" s="126"/>
      <c r="Z4" s="126"/>
      <c r="AA4" s="126"/>
      <c r="AB4" s="126"/>
      <c r="AC4" s="126"/>
      <c r="AD4" s="126"/>
      <c r="AE4" s="126"/>
      <c r="AF4" s="126"/>
      <c r="AG4" s="126"/>
      <c r="AH4" s="126"/>
    </row>
    <row r="5" spans="1:34" s="127" customFormat="1" ht="75" customHeight="1" x14ac:dyDescent="0.15">
      <c r="B5" s="388"/>
      <c r="C5" s="146" t="s">
        <v>243</v>
      </c>
      <c r="D5" s="146" t="s">
        <v>244</v>
      </c>
      <c r="E5" s="146" t="s">
        <v>245</v>
      </c>
      <c r="F5" s="147" t="s">
        <v>246</v>
      </c>
      <c r="G5" s="148" t="s">
        <v>243</v>
      </c>
      <c r="H5" s="146" t="s">
        <v>244</v>
      </c>
      <c r="I5" s="147" t="s">
        <v>245</v>
      </c>
      <c r="J5" s="149" t="s">
        <v>247</v>
      </c>
      <c r="K5" s="150" t="s">
        <v>248</v>
      </c>
      <c r="L5" s="128"/>
      <c r="M5" s="128"/>
      <c r="N5" s="126"/>
      <c r="O5" s="126"/>
      <c r="P5" s="126"/>
      <c r="Q5" s="126"/>
      <c r="R5" s="126"/>
      <c r="S5" s="126"/>
      <c r="T5" s="126"/>
      <c r="U5" s="126"/>
      <c r="V5" s="126"/>
      <c r="W5" s="126"/>
      <c r="X5" s="126"/>
      <c r="Y5" s="126"/>
      <c r="Z5" s="126"/>
      <c r="AA5" s="126"/>
      <c r="AB5" s="126"/>
      <c r="AC5" s="126"/>
      <c r="AD5" s="126"/>
      <c r="AE5" s="126"/>
      <c r="AF5" s="126"/>
      <c r="AG5" s="126"/>
      <c r="AH5" s="126"/>
    </row>
    <row r="6" spans="1:34" s="129" customFormat="1" ht="15" customHeight="1" x14ac:dyDescent="0.2">
      <c r="A6" s="129" t="str">
        <f>CHARMS!F$6</f>
        <v>1 - Matthew-David Ogbechie, 2023</v>
      </c>
      <c r="B6" s="188" t="str">
        <f>HLOOKUP($A6,CHARMS!$A$6:$CQ$89,1,)</f>
        <v>1 - Matthew-David Ogbechie, 2023</v>
      </c>
      <c r="C6" s="151" t="str">
        <f>_xlfn.IFNA(IF(HLOOKUP($A6,PROBAST!$A$6:$AE$77,11,)="Low RoB","+",IF(HLOOKUP($A6,PROBAST!$A$6:$AE$77,11,)="High RoB","-",IF(HLOOKUP($A6,PROBAST!$A$6:$AE$77,11,)="Unclear","?",""))),"")</f>
        <v>+</v>
      </c>
      <c r="D6" s="152" t="str">
        <f>_xlfn.IFNA(IF(HLOOKUP($A6,PROBAST!$A$6:$AE$77,25,)="Low RoB","+",IF(HLOOKUP($A6,PROBAST!$A$6:$AE$77,25,)="High RoB","-",IF(HLOOKUP($A6,PROBAST!$A$6:$AE$77,25,)="Unclear","?",""))),"")</f>
        <v>+</v>
      </c>
      <c r="E6" s="152" t="str">
        <f>_xlfn.IFNA(IF(HLOOKUP($A6,PROBAST!$A$6:$AE$77,39,)="Low RoB","+",IF(HLOOKUP($A6,PROBAST!$A$6:$AE$77,39,)="High RoB","-",IF(HLOOKUP($A6,PROBAST!$A$6:$AE$77,39,)="Unclear","?",""))),"")</f>
        <v>+</v>
      </c>
      <c r="F6" s="153" t="str">
        <f>_xlfn.IFNA(IF(HLOOKUP($A6,PROBAST!$A$6:$AE$77,58,)="Low RoB","+",IF(HLOOKUP($A6,PROBAST!$A$6:$AE$77,58,)="High RoB","-",IF(HLOOKUP($A6,PROBAST!$A$6:$AE$77,58,)="Unclear","?",""))),"")</f>
        <v>-</v>
      </c>
      <c r="G6" s="154" t="str">
        <f>_xlfn.IFNA(IF(HLOOKUP($A6,PROBAST!$A$6:$AE$77,12,)="Low concern","+",IF(HLOOKUP($A6,PROBAST!$A$6:$AE$77,12,)="High concern","-",IF(HLOOKUP($A6,PROBAST!$A$6:$AE$77,12,)="Unclear","?",""))),"")</f>
        <v>+</v>
      </c>
      <c r="H6" s="152" t="str">
        <f>_xlfn.IFNA(IF(HLOOKUP($A6,PROBAST!$A$6:$AE$77,26,)="Low concern","+",IF(HLOOKUP($A6,PROBAST!$A$6:$AE$77,26,)="High concern","-",IF(HLOOKUP($A6,PROBAST!$A$6:$AE$77,26,)="Unclear","?",""))),"")</f>
        <v>+</v>
      </c>
      <c r="I6" s="153" t="str">
        <f>_xlfn.IFNA(IF(HLOOKUP($A6,PROBAST!$A$6:$AE$77,40,)="Low concern","+",IF(HLOOKUP($A6,PROBAST!$A$6:$AE$77,40,)="High concern","-",IF(HLOOKUP($A6,PROBAST!$A$6:$AE$77,40,)="Unclear","?",""))),"")</f>
        <v>+</v>
      </c>
      <c r="J6" s="155" t="str">
        <f>_xlfn.IFNA(IF(OR($C6="-",$D6="-",$E6="-",$F6="-"),"-",IF(OR($C6="?",$D6="?",$E6="?",$F6="?"),"?",IF(AND($C6="+",$D6="+",$E6="+",$F6="+"),"+",""))),"")</f>
        <v>-</v>
      </c>
      <c r="K6" s="156" t="str">
        <f>_xlfn.IFNA(IF(OR($G6="-",$H6="-",$I6="-"),"-",IF(OR($G6="?",$H6="?",$I6="?"),"?",IF(AND($G6="+",$H6="+",$I6="+"),"+",""))),"")</f>
        <v>+</v>
      </c>
      <c r="L6" s="130"/>
      <c r="M6" s="130"/>
      <c r="N6" s="130"/>
      <c r="O6" s="130"/>
      <c r="P6" s="130"/>
      <c r="Q6" s="130"/>
      <c r="R6" s="130"/>
      <c r="S6" s="130"/>
      <c r="T6" s="130"/>
      <c r="U6" s="130"/>
      <c r="V6" s="130"/>
      <c r="W6" s="130"/>
      <c r="X6" s="130"/>
      <c r="Y6" s="130"/>
      <c r="Z6" s="130"/>
      <c r="AA6" s="130"/>
      <c r="AB6" s="130"/>
      <c r="AC6" s="130"/>
      <c r="AD6" s="130"/>
      <c r="AE6" s="130"/>
      <c r="AF6" s="130"/>
      <c r="AG6" s="130"/>
      <c r="AH6" s="130"/>
    </row>
    <row r="7" spans="1:34" s="129" customFormat="1" ht="15" customHeight="1" x14ac:dyDescent="0.2">
      <c r="A7" s="129" t="str">
        <f>CHARMS!I$6</f>
        <v>2 - Esra, Rachel, 2023</v>
      </c>
      <c r="B7" s="188" t="str">
        <f>HLOOKUP($A7,CHARMS!$A$6:$CQ$89,1,)</f>
        <v>2 - Esra, Rachel, 2023</v>
      </c>
      <c r="C7" s="151" t="str">
        <f>_xlfn.IFNA(IF(HLOOKUP($A7,PROBAST!$A$6:$AE$77,11,)="Low RoB","+",IF(HLOOKUP($A7,PROBAST!$A$6:$AE$77,11,)="High RoB","-",IF(HLOOKUP($A7,PROBAST!$A$6:$AE$77,11,)="Unclear","?",""))),"")</f>
        <v>+</v>
      </c>
      <c r="D7" s="152" t="str">
        <f>_xlfn.IFNA(IF(HLOOKUP($A7,PROBAST!$A$6:$AE$77,25,)="Low RoB","+",IF(HLOOKUP($A7,PROBAST!$A$6:$AE$77,25,)="High RoB","-",IF(HLOOKUP($A7,PROBAST!$A$6:$AE$77,25,)="Unclear","?",""))),"")</f>
        <v>+</v>
      </c>
      <c r="E7" s="152" t="str">
        <f>_xlfn.IFNA(IF(HLOOKUP($A7,PROBAST!$A$6:$AE$77,39,)="Low RoB","+",IF(HLOOKUP($A7,PROBAST!$A$6:$AE$77,39,)="High RoB","-",IF(HLOOKUP($A7,PROBAST!$A$6:$AE$77,39,)="Unclear","?",""))),"")</f>
        <v>+</v>
      </c>
      <c r="F7" s="153" t="str">
        <f>_xlfn.IFNA(IF(HLOOKUP($A7,PROBAST!$A$6:$AE$77,58,)="Low RoB","+",IF(HLOOKUP($A7,PROBAST!$A$6:$AE$77,58,)="High RoB","-",IF(HLOOKUP($A7,PROBAST!$A$6:$AE$77,58,)="Unclear","?",""))),"")</f>
        <v>+</v>
      </c>
      <c r="G7" s="154" t="str">
        <f>_xlfn.IFNA(IF(HLOOKUP($A7,PROBAST!$A$6:$AE$77,12,)="Low concern","+",IF(HLOOKUP($A7,PROBAST!$A$6:$AE$77,12,)="High concern","-",IF(HLOOKUP($A7,PROBAST!$A$6:$AE$77,12,)="Unclear","?",""))),"")</f>
        <v>+</v>
      </c>
      <c r="H7" s="152" t="str">
        <f>_xlfn.IFNA(IF(HLOOKUP($A7,PROBAST!$A$6:$AE$77,26,)="Low concern","+",IF(HLOOKUP($A7,PROBAST!$A$6:$AE$77,26,)="High concern","-",IF(HLOOKUP($A7,PROBAST!$A$6:$AE$77,26,)="Unclear","?",""))),"")</f>
        <v>+</v>
      </c>
      <c r="I7" s="153" t="str">
        <f>_xlfn.IFNA(IF(HLOOKUP($A7,PROBAST!$A$6:$AE$77,40,)="Low concern","+",IF(HLOOKUP($A7,PROBAST!$A$6:$AE$77,40,)="High concern","-",IF(HLOOKUP($A7,PROBAST!$A$6:$AE$77,40,)="Unclear","?",""))),"")</f>
        <v>+</v>
      </c>
      <c r="J7" s="155" t="str">
        <f t="shared" ref="J7:J35" si="0">_xlfn.IFNA(IF(OR($C7="-",$D7="-",$E7="-",$F7="-"),"-",IF(OR($C7="?",$D7="?",$E7="?",$F7="?"),"?",IF(AND($C7="+",$D7="+",$E7="+",$F7="+"),"+",""))),"")</f>
        <v>+</v>
      </c>
      <c r="K7" s="156" t="str">
        <f t="shared" ref="K7:K35" si="1">_xlfn.IFNA(IF(OR($G7="-",$H7="-",$I7="-"),"-",IF(OR($G7="?",$H7="?",$I7="?"),"?",IF(AND($G7="+",$H7="+",$I7="+"),"+",""))),"")</f>
        <v>+</v>
      </c>
      <c r="L7" s="130"/>
      <c r="M7" s="130"/>
      <c r="N7" s="130"/>
      <c r="O7" s="130"/>
      <c r="P7" s="130"/>
      <c r="Q7" s="130"/>
      <c r="R7" s="130"/>
      <c r="S7" s="130"/>
      <c r="T7" s="130"/>
      <c r="U7" s="130"/>
      <c r="V7" s="130"/>
      <c r="W7" s="130"/>
      <c r="X7" s="130"/>
      <c r="Y7" s="130"/>
      <c r="Z7" s="130"/>
      <c r="AA7" s="130"/>
      <c r="AB7" s="130"/>
      <c r="AC7" s="130"/>
      <c r="AD7" s="130"/>
      <c r="AE7" s="130"/>
      <c r="AF7" s="130"/>
      <c r="AG7" s="130"/>
      <c r="AH7" s="130"/>
    </row>
    <row r="8" spans="1:34" s="129" customFormat="1" ht="15" customHeight="1" x14ac:dyDescent="0.2">
      <c r="A8" s="129" t="str">
        <f>CHARMS!L$6</f>
        <v>3 - Esra, Rachel, 2023</v>
      </c>
      <c r="B8" s="188" t="str">
        <f>HLOOKUP($A8,CHARMS!$A$6:$CQ$89,1,)</f>
        <v>3 - Esra, Rachel, 2023</v>
      </c>
      <c r="C8" s="151" t="str">
        <f>_xlfn.IFNA(IF(HLOOKUP($A8,PROBAST!$A$6:$AE$77,11,)="Low RoB","+",IF(HLOOKUP($A8,PROBAST!$A$6:$AE$77,11,)="High RoB","-",IF(HLOOKUP($A8,PROBAST!$A$6:$AE$77,11,)="Unclear","?",""))),"")</f>
        <v>+</v>
      </c>
      <c r="D8" s="152" t="str">
        <f>_xlfn.IFNA(IF(HLOOKUP($A8,PROBAST!$A$6:$AE$77,25,)="Low RoB","+",IF(HLOOKUP($A8,PROBAST!$A$6:$AE$77,25,)="High RoB","-",IF(HLOOKUP($A8,PROBAST!$A$6:$AE$77,25,)="Unclear","?",""))),"")</f>
        <v>+</v>
      </c>
      <c r="E8" s="152" t="str">
        <f>_xlfn.IFNA(IF(HLOOKUP($A8,PROBAST!$A$6:$AE$77,39,)="Low RoB","+",IF(HLOOKUP($A8,PROBAST!$A$6:$AE$77,39,)="High RoB","-",IF(HLOOKUP($A8,PROBAST!$A$6:$AE$77,39,)="Unclear","?",""))),"")</f>
        <v>+</v>
      </c>
      <c r="F8" s="153" t="str">
        <f>_xlfn.IFNA(IF(HLOOKUP($A8,PROBAST!$A$6:$AE$77,58,)="Low RoB","+",IF(HLOOKUP($A8,PROBAST!$A$6:$AE$77,58,)="High RoB","-",IF(HLOOKUP($A8,PROBAST!$A$6:$AE$77,58,)="Unclear","?",""))),"")</f>
        <v>+</v>
      </c>
      <c r="G8" s="154" t="str">
        <f>_xlfn.IFNA(IF(HLOOKUP($A8,PROBAST!$A$6:$AE$77,12,)="Low concern","+",IF(HLOOKUP($A8,PROBAST!$A$6:$AE$77,12,)="High concern","-",IF(HLOOKUP($A8,PROBAST!$A$6:$AE$77,12,)="Unclear","?",""))),"")</f>
        <v>+</v>
      </c>
      <c r="H8" s="152" t="str">
        <f>_xlfn.IFNA(IF(HLOOKUP($A8,PROBAST!$A$6:$AE$77,26,)="Low concern","+",IF(HLOOKUP($A8,PROBAST!$A$6:$AE$77,26,)="High concern","-",IF(HLOOKUP($A8,PROBAST!$A$6:$AE$77,26,)="Unclear","?",""))),"")</f>
        <v>+</v>
      </c>
      <c r="I8" s="153" t="str">
        <f>_xlfn.IFNA(IF(HLOOKUP($A8,PROBAST!$A$6:$AE$77,40,)="Low concern","+",IF(HLOOKUP($A8,PROBAST!$A$6:$AE$77,40,)="High concern","-",IF(HLOOKUP($A8,PROBAST!$A$6:$AE$77,40,)="Unclear","?",""))),"")</f>
        <v>+</v>
      </c>
      <c r="J8" s="155" t="str">
        <f t="shared" si="0"/>
        <v>+</v>
      </c>
      <c r="K8" s="156" t="str">
        <f t="shared" si="1"/>
        <v>+</v>
      </c>
      <c r="L8" s="130"/>
      <c r="M8" s="130"/>
      <c r="N8" s="130"/>
      <c r="O8" s="130"/>
      <c r="P8" s="130"/>
      <c r="Q8" s="130"/>
      <c r="R8" s="130"/>
      <c r="S8" s="130"/>
      <c r="T8" s="130"/>
      <c r="U8" s="130"/>
      <c r="V8" s="130"/>
      <c r="W8" s="130"/>
      <c r="X8" s="130"/>
      <c r="Y8" s="130"/>
      <c r="Z8" s="130"/>
      <c r="AA8" s="130"/>
      <c r="AB8" s="130"/>
      <c r="AC8" s="130"/>
      <c r="AD8" s="130"/>
      <c r="AE8" s="130"/>
      <c r="AF8" s="130"/>
      <c r="AG8" s="130"/>
      <c r="AH8" s="130"/>
    </row>
    <row r="9" spans="1:34" s="129" customFormat="1" ht="15" customHeight="1" x14ac:dyDescent="0.2">
      <c r="A9" s="129" t="str">
        <f>CHARMS!O$6</f>
        <v>4 - Stockman, Jeni , 2022</v>
      </c>
      <c r="B9" s="188" t="str">
        <f>HLOOKUP($A9,CHARMS!$A$6:$CQ$89,1,)</f>
        <v>4 - Stockman, Jeni , 2022</v>
      </c>
      <c r="C9" s="151" t="str">
        <f>_xlfn.IFNA(IF(HLOOKUP($A9,PROBAST!$A$6:$AE$77,11,)="Low RoB","+",IF(HLOOKUP($A9,PROBAST!$A$6:$AE$77,11,)="High RoB","-",IF(HLOOKUP($A9,PROBAST!$A$6:$AE$77,11,)="Unclear","?",""))),"")</f>
        <v>+</v>
      </c>
      <c r="D9" s="152" t="str">
        <f>_xlfn.IFNA(IF(HLOOKUP($A9,PROBAST!$A$6:$AE$77,25,)="Low RoB","+",IF(HLOOKUP($A9,PROBAST!$A$6:$AE$77,25,)="High RoB","-",IF(HLOOKUP($A9,PROBAST!$A$6:$AE$77,25,)="Unclear","?",""))),"")</f>
        <v>+</v>
      </c>
      <c r="E9" s="152" t="str">
        <f>_xlfn.IFNA(IF(HLOOKUP($A9,PROBAST!$A$6:$AE$77,39,)="Low RoB","+",IF(HLOOKUP($A9,PROBAST!$A$6:$AE$77,39,)="High RoB","-",IF(HLOOKUP($A9,PROBAST!$A$6:$AE$77,39,)="Unclear","?",""))),"")</f>
        <v>+</v>
      </c>
      <c r="F9" s="153" t="str">
        <f>_xlfn.IFNA(IF(HLOOKUP($A9,PROBAST!$A$6:$AE$77,58,)="Low RoB","+",IF(HLOOKUP($A9,PROBAST!$A$6:$AE$77,58,)="High RoB","-",IF(HLOOKUP($A9,PROBAST!$A$6:$AE$77,58,)="Unclear","?",""))),"")</f>
        <v>-</v>
      </c>
      <c r="G9" s="154" t="str">
        <f>_xlfn.IFNA(IF(HLOOKUP($A9,PROBAST!$A$6:$AE$77,12,)="Low concern","+",IF(HLOOKUP($A9,PROBAST!$A$6:$AE$77,12,)="High concern","-",IF(HLOOKUP($A9,PROBAST!$A$6:$AE$77,12,)="Unclear","?",""))),"")</f>
        <v>+</v>
      </c>
      <c r="H9" s="152" t="str">
        <f>_xlfn.IFNA(IF(HLOOKUP($A9,PROBAST!$A$6:$AE$77,26,)="Low concern","+",IF(HLOOKUP($A9,PROBAST!$A$6:$AE$77,26,)="High concern","-",IF(HLOOKUP($A9,PROBAST!$A$6:$AE$77,26,)="Unclear","?",""))),"")</f>
        <v>+</v>
      </c>
      <c r="I9" s="153" t="str">
        <f>_xlfn.IFNA(IF(HLOOKUP($A9,PROBAST!$A$6:$AE$77,40,)="Low concern","+",IF(HLOOKUP($A9,PROBAST!$A$6:$AE$77,40,)="High concern","-",IF(HLOOKUP($A9,PROBAST!$A$6:$AE$77,40,)="Unclear","?",""))),"")</f>
        <v>+</v>
      </c>
      <c r="J9" s="155" t="str">
        <f t="shared" si="0"/>
        <v>-</v>
      </c>
      <c r="K9" s="156" t="str">
        <f t="shared" si="1"/>
        <v>+</v>
      </c>
      <c r="L9" s="130"/>
      <c r="M9" s="130"/>
      <c r="N9" s="130"/>
      <c r="O9" s="130"/>
      <c r="P9" s="130"/>
      <c r="Q9" s="130"/>
      <c r="R9" s="130"/>
      <c r="S9" s="130"/>
      <c r="T9" s="130"/>
      <c r="U9" s="130"/>
      <c r="V9" s="130"/>
      <c r="W9" s="130"/>
      <c r="X9" s="130"/>
      <c r="Y9" s="130"/>
      <c r="Z9" s="130"/>
      <c r="AA9" s="130"/>
      <c r="AB9" s="130"/>
      <c r="AC9" s="130"/>
      <c r="AD9" s="130"/>
      <c r="AE9" s="130"/>
      <c r="AF9" s="130"/>
      <c r="AG9" s="130"/>
      <c r="AH9" s="130"/>
    </row>
    <row r="10" spans="1:34" s="129" customFormat="1" ht="15" customHeight="1" x14ac:dyDescent="0.15">
      <c r="A10" s="127" t="str">
        <f>CHARMS!R$6</f>
        <v>5 - Stockman, Jeni , 2022</v>
      </c>
      <c r="B10" s="188" t="str">
        <f>HLOOKUP($A10,CHARMS!$A$6:$CQ$89,1,)</f>
        <v>5 - Stockman, Jeni , 2022</v>
      </c>
      <c r="C10" s="151" t="str">
        <f>_xlfn.IFNA(IF(HLOOKUP($A10,PROBAST!$A$6:$AE$77,11,)="Low RoB","+",IF(HLOOKUP($A10,PROBAST!$A$6:$AE$77,11,)="High RoB","-",IF(HLOOKUP($A10,PROBAST!$A$6:$AE$77,11,)="Unclear","?",""))),"")</f>
        <v>+</v>
      </c>
      <c r="D10" s="152" t="str">
        <f>_xlfn.IFNA(IF(HLOOKUP($A10,PROBAST!$A$6:$AE$77,25,)="Low RoB","+",IF(HLOOKUP($A10,PROBAST!$A$6:$AE$77,25,)="High RoB","-",IF(HLOOKUP($A10,PROBAST!$A$6:$AE$77,25,)="Unclear","?",""))),"")</f>
        <v>+</v>
      </c>
      <c r="E10" s="152" t="str">
        <f>_xlfn.IFNA(IF(HLOOKUP($A10,PROBAST!$A$6:$AE$77,39,)="Low RoB","+",IF(HLOOKUP($A10,PROBAST!$A$6:$AE$77,39,)="High RoB","-",IF(HLOOKUP($A10,PROBAST!$A$6:$AE$77,39,)="Unclear","?",""))),"")</f>
        <v>+</v>
      </c>
      <c r="F10" s="153" t="str">
        <f>_xlfn.IFNA(IF(HLOOKUP($A10,PROBAST!$A$6:$AE$77,58,)="Low RoB","+",IF(HLOOKUP($A10,PROBAST!$A$6:$AE$77,58,)="High RoB","-",IF(HLOOKUP($A10,PROBAST!$A$6:$AE$77,58,)="Unclear","?",""))),"")</f>
        <v>-</v>
      </c>
      <c r="G10" s="154" t="str">
        <f>_xlfn.IFNA(IF(HLOOKUP($A10,PROBAST!$A$6:$AE$77,12,)="Low concern","+",IF(HLOOKUP($A10,PROBAST!$A$6:$AE$77,12,)="High concern","-",IF(HLOOKUP($A10,PROBAST!$A$6:$AE$77,12,)="Unclear","?",""))),"")</f>
        <v>+</v>
      </c>
      <c r="H10" s="152" t="str">
        <f>_xlfn.IFNA(IF(HLOOKUP($A10,PROBAST!$A$6:$AE$77,26,)="Low concern","+",IF(HLOOKUP($A10,PROBAST!$A$6:$AE$77,26,)="High concern","-",IF(HLOOKUP($A10,PROBAST!$A$6:$AE$77,26,)="Unclear","?",""))),"")</f>
        <v>+</v>
      </c>
      <c r="I10" s="153" t="str">
        <f>_xlfn.IFNA(IF(HLOOKUP($A10,PROBAST!$A$6:$AE$77,40,)="Low concern","+",IF(HLOOKUP($A10,PROBAST!$A$6:$AE$77,40,)="High concern","-",IF(HLOOKUP($A10,PROBAST!$A$6:$AE$77,40,)="Unclear","?",""))),"")</f>
        <v>+</v>
      </c>
      <c r="J10" s="155" t="str">
        <f t="shared" si="0"/>
        <v>-</v>
      </c>
      <c r="K10" s="156" t="str">
        <f t="shared" si="1"/>
        <v>+</v>
      </c>
      <c r="L10" s="130"/>
      <c r="M10" s="130"/>
      <c r="N10" s="130"/>
      <c r="O10" s="130"/>
      <c r="P10" s="130"/>
      <c r="Q10" s="130"/>
      <c r="R10" s="130"/>
      <c r="S10" s="130"/>
      <c r="T10" s="130"/>
      <c r="U10" s="130"/>
      <c r="V10" s="130"/>
      <c r="W10" s="130"/>
      <c r="X10" s="130"/>
      <c r="Y10" s="130"/>
      <c r="Z10" s="130"/>
      <c r="AA10" s="130"/>
      <c r="AB10" s="130"/>
      <c r="AC10" s="130"/>
      <c r="AD10" s="130"/>
      <c r="AE10" s="130"/>
      <c r="AF10" s="130"/>
      <c r="AG10" s="130"/>
      <c r="AH10" s="130"/>
    </row>
    <row r="11" spans="1:34" s="129" customFormat="1" ht="15" customHeight="1" x14ac:dyDescent="0.15">
      <c r="A11" s="127" t="str">
        <f>CHARMS!U$6</f>
        <v>6 - Arthi, Ramachandran, 2020</v>
      </c>
      <c r="B11" s="188" t="str">
        <f>HLOOKUP($A11,CHARMS!$A$6:$CQ$89,1,)</f>
        <v>6 - Arthi, Ramachandran, 2020</v>
      </c>
      <c r="C11" s="151" t="str">
        <f>_xlfn.IFNA(IF(HLOOKUP($A11,PROBAST!$A$6:$AE$77,11,)="Low RoB","+",IF(HLOOKUP($A11,PROBAST!$A$6:$AE$77,11,)="High RoB","-",IF(HLOOKUP($A11,PROBAST!$A$6:$AE$77,11,)="Unclear","?",""))),"")</f>
        <v>+</v>
      </c>
      <c r="D11" s="152" t="str">
        <f>_xlfn.IFNA(IF(HLOOKUP($A11,PROBAST!$A$6:$AE$77,25,)="Low RoB","+",IF(HLOOKUP($A11,PROBAST!$A$6:$AE$77,25,)="High RoB","-",IF(HLOOKUP($A11,PROBAST!$A$6:$AE$77,25,)="Unclear","?",""))),"")</f>
        <v>+</v>
      </c>
      <c r="E11" s="152" t="str">
        <f>_xlfn.IFNA(IF(HLOOKUP($A11,PROBAST!$A$6:$AE$77,39,)="Low RoB","+",IF(HLOOKUP($A11,PROBAST!$A$6:$AE$77,39,)="High RoB","-",IF(HLOOKUP($A11,PROBAST!$A$6:$AE$77,39,)="Unclear","?",""))),"")</f>
        <v>+</v>
      </c>
      <c r="F11" s="153" t="str">
        <f>_xlfn.IFNA(IF(HLOOKUP($A11,PROBAST!$A$6:$AE$77,58,)="Low RoB","+",IF(HLOOKUP($A11,PROBAST!$A$6:$AE$77,58,)="High RoB","-",IF(HLOOKUP($A11,PROBAST!$A$6:$AE$77,58,)="Unclear","?",""))),"")</f>
        <v>?</v>
      </c>
      <c r="G11" s="154" t="str">
        <f>_xlfn.IFNA(IF(HLOOKUP($A11,PROBAST!$A$6:$AE$77,12,)="Low concern","+",IF(HLOOKUP($A11,PROBAST!$A$6:$AE$77,12,)="High concern","-",IF(HLOOKUP($A11,PROBAST!$A$6:$AE$77,12,)="Unclear","?",""))),"")</f>
        <v>+</v>
      </c>
      <c r="H11" s="152" t="str">
        <f>_xlfn.IFNA(IF(HLOOKUP($A11,PROBAST!$A$6:$AE$77,26,)="Low concern","+",IF(HLOOKUP($A11,PROBAST!$A$6:$AE$77,26,)="High concern","-",IF(HLOOKUP($A11,PROBAST!$A$6:$AE$77,26,)="Unclear","?",""))),"")</f>
        <v>+</v>
      </c>
      <c r="I11" s="153" t="str">
        <f>_xlfn.IFNA(IF(HLOOKUP($A11,PROBAST!$A$6:$AE$77,40,)="Low concern","+",IF(HLOOKUP($A11,PROBAST!$A$6:$AE$77,40,)="High concern","-",IF(HLOOKUP($A11,PROBAST!$A$6:$AE$77,40,)="Unclear","?",""))),"")</f>
        <v>+</v>
      </c>
      <c r="J11" s="155" t="str">
        <f t="shared" si="0"/>
        <v>?</v>
      </c>
      <c r="K11" s="156" t="str">
        <f t="shared" si="1"/>
        <v>+</v>
      </c>
      <c r="L11" s="130"/>
      <c r="M11" s="130"/>
      <c r="N11" s="130"/>
      <c r="O11" s="130"/>
      <c r="P11" s="130"/>
      <c r="Q11" s="130"/>
      <c r="R11" s="130"/>
      <c r="S11" s="130"/>
      <c r="T11" s="130"/>
      <c r="U11" s="130"/>
      <c r="V11" s="130"/>
      <c r="W11" s="130"/>
      <c r="X11" s="130"/>
      <c r="Y11" s="130"/>
      <c r="Z11" s="130"/>
      <c r="AA11" s="130"/>
      <c r="AB11" s="130"/>
      <c r="AC11" s="130"/>
      <c r="AD11" s="130"/>
      <c r="AE11" s="130"/>
      <c r="AF11" s="130"/>
      <c r="AG11" s="130"/>
      <c r="AH11" s="130"/>
    </row>
    <row r="12" spans="1:34" s="129" customFormat="1" ht="15" customHeight="1" x14ac:dyDescent="0.15">
      <c r="A12" s="127" t="str">
        <f>CHARMS!X$6</f>
        <v>7 - Arthi, Ramachandran, 2020</v>
      </c>
      <c r="B12" s="188" t="str">
        <f>HLOOKUP($A12,CHARMS!$A$6:$CQ$89,1,)</f>
        <v>7 - Arthi, Ramachandran, 2020</v>
      </c>
      <c r="C12" s="151" t="str">
        <f>_xlfn.IFNA(IF(HLOOKUP($A12,PROBAST!$A$6:$AE$77,11,)="Low RoB","+",IF(HLOOKUP($A12,PROBAST!$A$6:$AE$77,11,)="High RoB","-",IF(HLOOKUP($A12,PROBAST!$A$6:$AE$77,11,)="Unclear","?",""))),"")</f>
        <v>+</v>
      </c>
      <c r="D12" s="152" t="str">
        <f>_xlfn.IFNA(IF(HLOOKUP($A12,PROBAST!$A$6:$AE$77,25,)="Low RoB","+",IF(HLOOKUP($A12,PROBAST!$A$6:$AE$77,25,)="High RoB","-",IF(HLOOKUP($A12,PROBAST!$A$6:$AE$77,25,)="Unclear","?",""))),"")</f>
        <v>+</v>
      </c>
      <c r="E12" s="152" t="str">
        <f>_xlfn.IFNA(IF(HLOOKUP($A12,PROBAST!$A$6:$AE$77,39,)="Low RoB","+",IF(HLOOKUP($A12,PROBAST!$A$6:$AE$77,39,)="High RoB","-",IF(HLOOKUP($A12,PROBAST!$A$6:$AE$77,39,)="Unclear","?",""))),"")</f>
        <v>+</v>
      </c>
      <c r="F12" s="153" t="str">
        <f>_xlfn.IFNA(IF(HLOOKUP($A12,PROBAST!$A$6:$AE$77,58,)="Low RoB","+",IF(HLOOKUP($A12,PROBAST!$A$6:$AE$77,58,)="High RoB","-",IF(HLOOKUP($A12,PROBAST!$A$6:$AE$77,58,)="Unclear","?",""))),"")</f>
        <v>-</v>
      </c>
      <c r="G12" s="154" t="str">
        <f>_xlfn.IFNA(IF(HLOOKUP($A12,PROBAST!$A$6:$AE$77,12,)="Low concern","+",IF(HLOOKUP($A12,PROBAST!$A$6:$AE$77,12,)="High concern","-",IF(HLOOKUP($A12,PROBAST!$A$6:$AE$77,12,)="Unclear","?",""))),"")</f>
        <v>+</v>
      </c>
      <c r="H12" s="152" t="str">
        <f>_xlfn.IFNA(IF(HLOOKUP($A12,PROBAST!$A$6:$AE$77,26,)="Low concern","+",IF(HLOOKUP($A12,PROBAST!$A$6:$AE$77,26,)="High concern","-",IF(HLOOKUP($A12,PROBAST!$A$6:$AE$77,26,)="Unclear","?",""))),"")</f>
        <v>+</v>
      </c>
      <c r="I12" s="153" t="str">
        <f>_xlfn.IFNA(IF(HLOOKUP($A12,PROBAST!$A$6:$AE$77,40,)="Low concern","+",IF(HLOOKUP($A12,PROBAST!$A$6:$AE$77,40,)="High concern","-",IF(HLOOKUP($A12,PROBAST!$A$6:$AE$77,40,)="Unclear","?",""))),"")</f>
        <v>+</v>
      </c>
      <c r="J12" s="155" t="str">
        <f t="shared" si="0"/>
        <v>-</v>
      </c>
      <c r="K12" s="156" t="str">
        <f t="shared" si="1"/>
        <v>+</v>
      </c>
      <c r="L12" s="130"/>
      <c r="M12" s="130"/>
      <c r="N12" s="130"/>
      <c r="O12" s="130"/>
      <c r="P12" s="130"/>
      <c r="Q12" s="130"/>
      <c r="R12" s="130"/>
      <c r="S12" s="130"/>
      <c r="T12" s="130"/>
      <c r="U12" s="130"/>
      <c r="V12" s="130"/>
      <c r="W12" s="130"/>
      <c r="X12" s="130"/>
      <c r="Y12" s="130"/>
      <c r="Z12" s="130"/>
      <c r="AA12" s="130"/>
      <c r="AB12" s="130"/>
      <c r="AC12" s="130"/>
      <c r="AD12" s="130"/>
      <c r="AE12" s="130"/>
      <c r="AF12" s="130"/>
      <c r="AG12" s="130"/>
      <c r="AH12" s="130"/>
    </row>
    <row r="13" spans="1:34" s="129" customFormat="1" ht="15" customHeight="1" x14ac:dyDescent="0.15">
      <c r="A13" s="127" t="str">
        <f>CHARMS!AA$6</f>
        <v>8 - Brian W. Pence, 2018</v>
      </c>
      <c r="B13" s="188" t="str">
        <f>HLOOKUP($A13,CHARMS!$A$6:$CQ$89,1,)</f>
        <v>8 - Brian W. Pence, 2018</v>
      </c>
      <c r="C13" s="151" t="str">
        <f>_xlfn.IFNA(IF(HLOOKUP($A13,PROBAST!$A$6:$AE$77,11,)="Low RoB","+",IF(HLOOKUP($A13,PROBAST!$A$6:$AE$77,11,)="High RoB","-",IF(HLOOKUP($A13,PROBAST!$A$6:$AE$77,11,)="Unclear","?",""))),"")</f>
        <v>-</v>
      </c>
      <c r="D13" s="152" t="str">
        <f>_xlfn.IFNA(IF(HLOOKUP($A13,PROBAST!$A$6:$AE$77,25,)="Low RoB","+",IF(HLOOKUP($A13,PROBAST!$A$6:$AE$77,25,)="High RoB","-",IF(HLOOKUP($A13,PROBAST!$A$6:$AE$77,25,)="Unclear","?",""))),"")</f>
        <v>+</v>
      </c>
      <c r="E13" s="152" t="str">
        <f>_xlfn.IFNA(IF(HLOOKUP($A13,PROBAST!$A$6:$AE$77,39,)="Low RoB","+",IF(HLOOKUP($A13,PROBAST!$A$6:$AE$77,39,)="High RoB","-",IF(HLOOKUP($A13,PROBAST!$A$6:$AE$77,39,)="Unclear","?",""))),"")</f>
        <v>+</v>
      </c>
      <c r="F13" s="153" t="str">
        <f>_xlfn.IFNA(IF(HLOOKUP($A13,PROBAST!$A$6:$AE$77,58,)="Low RoB","+",IF(HLOOKUP($A13,PROBAST!$A$6:$AE$77,58,)="High RoB","-",IF(HLOOKUP($A13,PROBAST!$A$6:$AE$77,58,)="Unclear","?",""))),"")</f>
        <v>-</v>
      </c>
      <c r="G13" s="154" t="str">
        <f>_xlfn.IFNA(IF(HLOOKUP($A13,PROBAST!$A$6:$AE$77,12,)="Low concern","+",IF(HLOOKUP($A13,PROBAST!$A$6:$AE$77,12,)="High concern","-",IF(HLOOKUP($A13,PROBAST!$A$6:$AE$77,12,)="Unclear","?",""))),"")</f>
        <v>-</v>
      </c>
      <c r="H13" s="152" t="str">
        <f>_xlfn.IFNA(IF(HLOOKUP($A13,PROBAST!$A$6:$AE$77,26,)="Low concern","+",IF(HLOOKUP($A13,PROBAST!$A$6:$AE$77,26,)="High concern","-",IF(HLOOKUP($A13,PROBAST!$A$6:$AE$77,26,)="Unclear","?",""))),"")</f>
        <v>+</v>
      </c>
      <c r="I13" s="153" t="str">
        <f>_xlfn.IFNA(IF(HLOOKUP($A13,PROBAST!$A$6:$AE$77,40,)="Low concern","+",IF(HLOOKUP($A13,PROBAST!$A$6:$AE$77,40,)="High concern","-",IF(HLOOKUP($A13,PROBAST!$A$6:$AE$77,40,)="Unclear","?",""))),"")</f>
        <v>+</v>
      </c>
      <c r="J13" s="155" t="str">
        <f t="shared" si="0"/>
        <v>-</v>
      </c>
      <c r="K13" s="156" t="str">
        <f t="shared" si="1"/>
        <v>-</v>
      </c>
      <c r="L13" s="130"/>
      <c r="M13" s="130"/>
      <c r="N13" s="130"/>
      <c r="O13" s="130"/>
      <c r="P13" s="130"/>
      <c r="Q13" s="130"/>
      <c r="R13" s="130"/>
      <c r="S13" s="130"/>
      <c r="T13" s="130"/>
      <c r="U13" s="130"/>
      <c r="V13" s="130"/>
      <c r="W13" s="130"/>
      <c r="X13" s="130"/>
      <c r="Y13" s="130"/>
      <c r="Z13" s="130"/>
      <c r="AA13" s="130"/>
      <c r="AB13" s="130"/>
      <c r="AC13" s="130"/>
      <c r="AD13" s="130"/>
      <c r="AE13" s="130"/>
      <c r="AF13" s="130"/>
      <c r="AG13" s="130"/>
      <c r="AH13" s="130"/>
    </row>
    <row r="14" spans="1:34" s="129" customFormat="1" ht="15" customHeight="1" x14ac:dyDescent="0.15">
      <c r="A14" s="127" t="str">
        <f>CHARMS!AD$6</f>
        <v>9 - Mhairi, Maskew, 2022</v>
      </c>
      <c r="B14" s="188" t="str">
        <f>HLOOKUP($A14,CHARMS!$A$6:$CQ$89,1,)</f>
        <v>9 - Mhairi, Maskew, 2022</v>
      </c>
      <c r="C14" s="151" t="str">
        <f>_xlfn.IFNA(IF(HLOOKUP($A14,PROBAST!$A$6:$AE$77,11,)="Low RoB","+",IF(HLOOKUP($A14,PROBAST!$A$6:$AE$77,11,)="High RoB","-",IF(HLOOKUP($A14,PROBAST!$A$6:$AE$77,11,)="Unclear","?",""))),"")</f>
        <v>+</v>
      </c>
      <c r="D14" s="152" t="str">
        <f>_xlfn.IFNA(IF(HLOOKUP($A14,PROBAST!$A$6:$AE$77,25,)="Low RoB","+",IF(HLOOKUP($A14,PROBAST!$A$6:$AE$77,25,)="High RoB","-",IF(HLOOKUP($A14,PROBAST!$A$6:$AE$77,25,)="Unclear","?",""))),"")</f>
        <v>+</v>
      </c>
      <c r="E14" s="152" t="str">
        <f>_xlfn.IFNA(IF(HLOOKUP($A14,PROBAST!$A$6:$AE$77,39,)="Low RoB","+",IF(HLOOKUP($A14,PROBAST!$A$6:$AE$77,39,)="High RoB","-",IF(HLOOKUP($A14,PROBAST!$A$6:$AE$77,39,)="Unclear","?",""))),"")</f>
        <v>+</v>
      </c>
      <c r="F14" s="153" t="str">
        <f>_xlfn.IFNA(IF(HLOOKUP($A14,PROBAST!$A$6:$AE$77,58,)="Low RoB","+",IF(HLOOKUP($A14,PROBAST!$A$6:$AE$77,58,)="High RoB","-",IF(HLOOKUP($A14,PROBAST!$A$6:$AE$77,58,)="Unclear","?",""))),"")</f>
        <v>-</v>
      </c>
      <c r="G14" s="154" t="str">
        <f>_xlfn.IFNA(IF(HLOOKUP($A14,PROBAST!$A$6:$AE$77,12,)="Low concern","+",IF(HLOOKUP($A14,PROBAST!$A$6:$AE$77,12,)="High concern","-",IF(HLOOKUP($A14,PROBAST!$A$6:$AE$77,12,)="Unclear","?",""))),"")</f>
        <v>+</v>
      </c>
      <c r="H14" s="152" t="str">
        <f>_xlfn.IFNA(IF(HLOOKUP($A14,PROBAST!$A$6:$AE$77,26,)="Low concern","+",IF(HLOOKUP($A14,PROBAST!$A$6:$AE$77,26,)="High concern","-",IF(HLOOKUP($A14,PROBAST!$A$6:$AE$77,26,)="Unclear","?",""))),"")</f>
        <v>+</v>
      </c>
      <c r="I14" s="153" t="str">
        <f>_xlfn.IFNA(IF(HLOOKUP($A14,PROBAST!$A$6:$AE$77,40,)="Low concern","+",IF(HLOOKUP($A14,PROBAST!$A$6:$AE$77,40,)="High concern","-",IF(HLOOKUP($A14,PROBAST!$A$6:$AE$77,40,)="Unclear","?",""))),"")</f>
        <v>+</v>
      </c>
      <c r="J14" s="155" t="str">
        <f t="shared" si="0"/>
        <v>-</v>
      </c>
      <c r="K14" s="156" t="str">
        <f t="shared" si="1"/>
        <v>+</v>
      </c>
      <c r="L14" s="130"/>
      <c r="M14" s="130"/>
      <c r="N14" s="130"/>
      <c r="O14" s="130"/>
      <c r="P14" s="130"/>
      <c r="Q14" s="130"/>
      <c r="R14" s="130"/>
      <c r="S14" s="130"/>
      <c r="T14" s="130"/>
      <c r="U14" s="130"/>
      <c r="V14" s="130"/>
      <c r="W14" s="130"/>
      <c r="X14" s="130"/>
      <c r="Y14" s="130"/>
      <c r="Z14" s="130"/>
      <c r="AA14" s="130"/>
      <c r="AB14" s="130"/>
      <c r="AC14" s="130"/>
      <c r="AD14" s="130"/>
      <c r="AE14" s="130"/>
      <c r="AF14" s="130"/>
      <c r="AG14" s="130"/>
      <c r="AH14" s="130"/>
    </row>
    <row r="15" spans="1:34" s="129" customFormat="1" ht="15" customHeight="1" x14ac:dyDescent="0.15">
      <c r="A15" s="127" t="str">
        <f>CHARMS!AG$6</f>
        <v>10 - Mhairi, Maskew, 2024</v>
      </c>
      <c r="B15" s="188" t="str">
        <f>HLOOKUP($A15,CHARMS!$A$6:$CQ$89,1,)</f>
        <v>10 - Mhairi, Maskew, 2024</v>
      </c>
      <c r="C15" s="151" t="str">
        <f>_xlfn.IFNA(IF(HLOOKUP($A15,PROBAST!$A$6:$AE$77,11,)="Low RoB","+",IF(HLOOKUP($A15,PROBAST!$A$6:$AE$77,11,)="High RoB","-",IF(HLOOKUP($A15,PROBAST!$A$6:$AE$77,11,)="Unclear","?",""))),"")</f>
        <v>+</v>
      </c>
      <c r="D15" s="152" t="str">
        <f>_xlfn.IFNA(IF(HLOOKUP($A15,PROBAST!$A$6:$AE$77,25,)="Low RoB","+",IF(HLOOKUP($A15,PROBAST!$A$6:$AE$77,25,)="High RoB","-",IF(HLOOKUP($A15,PROBAST!$A$6:$AE$77,25,)="Unclear","?",""))),"")</f>
        <v>+</v>
      </c>
      <c r="E15" s="152" t="str">
        <f>_xlfn.IFNA(IF(HLOOKUP($A15,PROBAST!$A$6:$AE$77,39,)="Low RoB","+",IF(HLOOKUP($A15,PROBAST!$A$6:$AE$77,39,)="High RoB","-",IF(HLOOKUP($A15,PROBAST!$A$6:$AE$77,39,)="Unclear","?",""))),"")</f>
        <v>+</v>
      </c>
      <c r="F15" s="153" t="str">
        <f>_xlfn.IFNA(IF(HLOOKUP($A15,PROBAST!$A$6:$AE$77,58,)="Low RoB","+",IF(HLOOKUP($A15,PROBAST!$A$6:$AE$77,58,)="High RoB","-",IF(HLOOKUP($A15,PROBAST!$A$6:$AE$77,58,)="Unclear","?",""))),"")</f>
        <v>-</v>
      </c>
      <c r="G15" s="154" t="str">
        <f>_xlfn.IFNA(IF(HLOOKUP($A15,PROBAST!$A$6:$AE$77,12,)="Low concern","+",IF(HLOOKUP($A15,PROBAST!$A$6:$AE$77,12,)="High concern","-",IF(HLOOKUP($A15,PROBAST!$A$6:$AE$77,12,)="Unclear","?",""))),"")</f>
        <v>+</v>
      </c>
      <c r="H15" s="152" t="str">
        <f>_xlfn.IFNA(IF(HLOOKUP($A15,PROBAST!$A$6:$AE$77,26,)="Low concern","+",IF(HLOOKUP($A15,PROBAST!$A$6:$AE$77,26,)="High concern","-",IF(HLOOKUP($A15,PROBAST!$A$6:$AE$77,26,)="Unclear","?",""))),"")</f>
        <v>+</v>
      </c>
      <c r="I15" s="153" t="str">
        <f>_xlfn.IFNA(IF(HLOOKUP($A15,PROBAST!$A$6:$AE$77,40,)="Low concern","+",IF(HLOOKUP($A15,PROBAST!$A$6:$AE$77,40,)="High concern","-",IF(HLOOKUP($A15,PROBAST!$A$6:$AE$77,40,)="Unclear","?",""))),"")</f>
        <v>+</v>
      </c>
      <c r="J15" s="155" t="str">
        <f t="shared" si="0"/>
        <v>-</v>
      </c>
      <c r="K15" s="156" t="str">
        <f t="shared" si="1"/>
        <v>+</v>
      </c>
      <c r="L15" s="130"/>
      <c r="M15" s="130"/>
      <c r="N15" s="130"/>
      <c r="O15" s="130"/>
      <c r="P15" s="130"/>
      <c r="Q15" s="130"/>
      <c r="R15" s="130"/>
      <c r="S15" s="130"/>
      <c r="T15" s="130"/>
      <c r="U15" s="130"/>
      <c r="V15" s="130"/>
      <c r="W15" s="130"/>
      <c r="X15" s="130"/>
      <c r="Y15" s="130"/>
      <c r="Z15" s="130"/>
      <c r="AA15" s="130"/>
      <c r="AB15" s="130"/>
      <c r="AC15" s="130"/>
      <c r="AD15" s="130"/>
      <c r="AE15" s="130"/>
      <c r="AF15" s="130"/>
      <c r="AG15" s="130"/>
      <c r="AH15" s="130"/>
    </row>
    <row r="16" spans="1:34" s="127" customFormat="1" ht="15" customHeight="1" x14ac:dyDescent="0.15">
      <c r="A16" s="127" t="str">
        <f>CHARMS!AJ$6</f>
        <v>11 - Joseph A Mason, 2023</v>
      </c>
      <c r="B16" s="188" t="str">
        <f>HLOOKUP($A16,CHARMS!$A$6:$CQ$89,1,)</f>
        <v>11 - Joseph A Mason, 2023</v>
      </c>
      <c r="C16" s="151" t="str">
        <f>_xlfn.IFNA(IF(HLOOKUP($A16,PROBAST!$A$6:$AE$77,11,)="Low RoB","+",IF(HLOOKUP($A16,PROBAST!$A$6:$AE$77,11,)="High RoB","-",IF(HLOOKUP($A16,PROBAST!$A$6:$AE$77,11,)="Unclear","?",""))),"")</f>
        <v>-</v>
      </c>
      <c r="D16" s="152" t="str">
        <f>_xlfn.IFNA(IF(HLOOKUP($A16,PROBAST!$A$6:$AE$77,25,)="Low RoB","+",IF(HLOOKUP($A16,PROBAST!$A$6:$AE$77,25,)="High RoB","-",IF(HLOOKUP($A16,PROBAST!$A$6:$AE$77,25,)="Unclear","?",""))),"")</f>
        <v>+</v>
      </c>
      <c r="E16" s="152" t="str">
        <f>_xlfn.IFNA(IF(HLOOKUP($A16,PROBAST!$A$6:$AE$77,39,)="Low RoB","+",IF(HLOOKUP($A16,PROBAST!$A$6:$AE$77,39,)="High RoB","-",IF(HLOOKUP($A16,PROBAST!$A$6:$AE$77,39,)="Unclear","?",""))),"")</f>
        <v>?</v>
      </c>
      <c r="F16" s="153" t="str">
        <f>_xlfn.IFNA(IF(HLOOKUP($A16,PROBAST!$A$6:$AE$77,58,)="Low RoB","+",IF(HLOOKUP($A16,PROBAST!$A$6:$AE$77,58,)="High RoB","-",IF(HLOOKUP($A16,PROBAST!$A$6:$AE$77,58,)="Unclear","?",""))),"")</f>
        <v>-</v>
      </c>
      <c r="G16" s="154" t="str">
        <f>_xlfn.IFNA(IF(HLOOKUP($A16,PROBAST!$A$6:$AE$77,12,)="Low concern","+",IF(HLOOKUP($A16,PROBAST!$A$6:$AE$77,12,)="High concern","-",IF(HLOOKUP($A16,PROBAST!$A$6:$AE$77,12,)="Unclear","?",""))),"")</f>
        <v>-</v>
      </c>
      <c r="H16" s="152" t="str">
        <f>_xlfn.IFNA(IF(HLOOKUP($A16,PROBAST!$A$6:$AE$77,26,)="Low concern","+",IF(HLOOKUP($A16,PROBAST!$A$6:$AE$77,26,)="High concern","-",IF(HLOOKUP($A16,PROBAST!$A$6:$AE$77,26,)="Unclear","?",""))),"")</f>
        <v>+</v>
      </c>
      <c r="I16" s="153" t="str">
        <f>_xlfn.IFNA(IF(HLOOKUP($A16,PROBAST!$A$6:$AE$77,40,)="Low concern","+",IF(HLOOKUP($A16,PROBAST!$A$6:$AE$77,40,)="High concern","-",IF(HLOOKUP($A16,PROBAST!$A$6:$AE$77,40,)="Unclear","?",""))),"")</f>
        <v>?</v>
      </c>
      <c r="J16" s="155" t="str">
        <f t="shared" si="0"/>
        <v>-</v>
      </c>
      <c r="K16" s="156" t="str">
        <f t="shared" si="1"/>
        <v>-</v>
      </c>
      <c r="L16" s="157"/>
      <c r="M16" s="126"/>
      <c r="N16" s="126"/>
      <c r="O16" s="126"/>
      <c r="P16" s="126"/>
      <c r="Q16" s="126"/>
      <c r="R16" s="126"/>
      <c r="S16" s="126"/>
      <c r="T16" s="126"/>
      <c r="U16" s="126"/>
      <c r="V16" s="126"/>
      <c r="W16" s="126"/>
      <c r="X16" s="126"/>
      <c r="Y16" s="126"/>
      <c r="Z16" s="126"/>
      <c r="AA16" s="126"/>
      <c r="AB16" s="126"/>
      <c r="AC16" s="126"/>
      <c r="AD16" s="126"/>
      <c r="AE16" s="126"/>
      <c r="AF16" s="126"/>
      <c r="AG16" s="126"/>
      <c r="AH16" s="126"/>
    </row>
    <row r="17" spans="1:34" s="127" customFormat="1" ht="15" customHeight="1" x14ac:dyDescent="0.15">
      <c r="A17" s="127" t="str">
        <f>CHARMS!AM$6</f>
        <v>12 - Carolyn A Fahey, 2022</v>
      </c>
      <c r="B17" s="188" t="str">
        <f>HLOOKUP($A17,CHARMS!$A$6:$CQ$89,1,)</f>
        <v>12 - Carolyn A Fahey, 2022</v>
      </c>
      <c r="C17" s="151" t="str">
        <f>_xlfn.IFNA(IF(HLOOKUP($A17,PROBAST!$A$6:$AE$77,11,)="Low RoB","+",IF(HLOOKUP($A17,PROBAST!$A$6:$AE$77,11,)="High RoB","-",IF(HLOOKUP($A17,PROBAST!$A$6:$AE$77,11,)="Unclear","?",""))),"")</f>
        <v>-</v>
      </c>
      <c r="D17" s="152" t="str">
        <f>_xlfn.IFNA(IF(HLOOKUP($A17,PROBAST!$A$6:$AE$77,25,)="Low RoB","+",IF(HLOOKUP($A17,PROBAST!$A$6:$AE$77,25,)="High RoB","-",IF(HLOOKUP($A17,PROBAST!$A$6:$AE$77,25,)="Unclear","?",""))),"")</f>
        <v>+</v>
      </c>
      <c r="E17" s="152" t="str">
        <f>_xlfn.IFNA(IF(HLOOKUP($A17,PROBAST!$A$6:$AE$77,39,)="Low RoB","+",IF(HLOOKUP($A17,PROBAST!$A$6:$AE$77,39,)="High RoB","-",IF(HLOOKUP($A17,PROBAST!$A$6:$AE$77,39,)="Unclear","?",""))),"")</f>
        <v>+</v>
      </c>
      <c r="F17" s="153" t="str">
        <f>_xlfn.IFNA(IF(HLOOKUP($A17,PROBAST!$A$6:$AE$77,58,)="Low RoB","+",IF(HLOOKUP($A17,PROBAST!$A$6:$AE$77,58,)="High RoB","-",IF(HLOOKUP($A17,PROBAST!$A$6:$AE$77,58,)="Unclear","?",""))),"")</f>
        <v>?</v>
      </c>
      <c r="G17" s="154" t="str">
        <f>_xlfn.IFNA(IF(HLOOKUP($A17,PROBAST!$A$6:$AE$77,12,)="Low concern","+",IF(HLOOKUP($A17,PROBAST!$A$6:$AE$77,12,)="High concern","-",IF(HLOOKUP($A17,PROBAST!$A$6:$AE$77,12,)="Unclear","?",""))),"")</f>
        <v>+</v>
      </c>
      <c r="H17" s="152" t="str">
        <f>_xlfn.IFNA(IF(HLOOKUP($A17,PROBAST!$A$6:$AE$77,26,)="Low concern","+",IF(HLOOKUP($A17,PROBAST!$A$6:$AE$77,26,)="High concern","-",IF(HLOOKUP($A17,PROBAST!$A$6:$AE$77,26,)="Unclear","?",""))),"")</f>
        <v>+</v>
      </c>
      <c r="I17" s="153" t="str">
        <f>_xlfn.IFNA(IF(HLOOKUP($A17,PROBAST!$A$6:$AE$77,40,)="Low concern","+",IF(HLOOKUP($A17,PROBAST!$A$6:$AE$77,40,)="High concern","-",IF(HLOOKUP($A17,PROBAST!$A$6:$AE$77,40,)="Unclear","?",""))),"")</f>
        <v>+</v>
      </c>
      <c r="J17" s="155" t="str">
        <f t="shared" si="0"/>
        <v>-</v>
      </c>
      <c r="K17" s="156" t="str">
        <f t="shared" si="1"/>
        <v>+</v>
      </c>
      <c r="L17" s="157"/>
      <c r="M17" s="126"/>
      <c r="N17" s="126"/>
      <c r="O17" s="126"/>
      <c r="P17" s="126"/>
      <c r="Q17" s="126"/>
      <c r="R17" s="126"/>
      <c r="S17" s="126"/>
      <c r="T17" s="126"/>
      <c r="U17" s="126"/>
      <c r="V17" s="126"/>
      <c r="W17" s="126"/>
      <c r="X17" s="126"/>
      <c r="Y17" s="126"/>
      <c r="Z17" s="126"/>
      <c r="AA17" s="126"/>
      <c r="AB17" s="126"/>
      <c r="AC17" s="126"/>
      <c r="AD17" s="126"/>
      <c r="AE17" s="126"/>
      <c r="AF17" s="126"/>
      <c r="AG17" s="126"/>
      <c r="AH17" s="126"/>
    </row>
    <row r="18" spans="1:34" s="127" customFormat="1" ht="15" customHeight="1" x14ac:dyDescent="0.15">
      <c r="A18" s="127" t="str">
        <f>CHARMS!AP$6</f>
        <v/>
      </c>
      <c r="B18" s="188" t="str">
        <f>HLOOKUP($A18,CHARMS!$A$6:$CQ$89,1,)</f>
        <v/>
      </c>
      <c r="C18" s="151" t="str">
        <f>_xlfn.IFNA(IF(HLOOKUP($A18,PROBAST!$A$6:$AE$77,11,)="Low RoB","+",IF(HLOOKUP($A18,PROBAST!$A$6:$AE$77,11,)="High RoB","-",IF(HLOOKUP($A18,PROBAST!$A$6:$AE$77,11,)="Unclear","?",""))),"")</f>
        <v/>
      </c>
      <c r="D18" s="152" t="str">
        <f>_xlfn.IFNA(IF(HLOOKUP($A18,PROBAST!$A$6:$AE$77,25,)="Low RoB","+",IF(HLOOKUP($A18,PROBAST!$A$6:$AE$77,25,)="High RoB","-",IF(HLOOKUP($A18,PROBAST!$A$6:$AE$77,25,)="Unclear","?",""))),"")</f>
        <v/>
      </c>
      <c r="E18" s="152" t="str">
        <f>_xlfn.IFNA(IF(HLOOKUP($A18,PROBAST!$A$6:$AE$77,39,)="Low RoB","+",IF(HLOOKUP($A18,PROBAST!$A$6:$AE$77,39,)="High RoB","-",IF(HLOOKUP($A18,PROBAST!$A$6:$AE$77,39,)="Unclear","?",""))),"")</f>
        <v/>
      </c>
      <c r="F18" s="153" t="str">
        <f>_xlfn.IFNA(IF(HLOOKUP($A18,PROBAST!$A$6:$AE$77,58,)="Low RoB","+",IF(HLOOKUP($A18,PROBAST!$A$6:$AE$77,58,)="High RoB","-",IF(HLOOKUP($A18,PROBAST!$A$6:$AE$77,58,)="Unclear","?",""))),"")</f>
        <v/>
      </c>
      <c r="G18" s="154" t="str">
        <f>_xlfn.IFNA(IF(HLOOKUP($A18,PROBAST!$A$6:$AE$77,12,)="Low concern","+",IF(HLOOKUP($A18,PROBAST!$A$6:$AE$77,12,)="High concern","-",IF(HLOOKUP($A18,PROBAST!$A$6:$AE$77,12,)="Unclear","?",""))),"")</f>
        <v/>
      </c>
      <c r="H18" s="152" t="str">
        <f>_xlfn.IFNA(IF(HLOOKUP($A18,PROBAST!$A$6:$AE$77,26,)="Low concern","+",IF(HLOOKUP($A18,PROBAST!$A$6:$AE$77,26,)="High concern","-",IF(HLOOKUP($A18,PROBAST!$A$6:$AE$77,26,)="Unclear","?",""))),"")</f>
        <v/>
      </c>
      <c r="I18" s="153" t="str">
        <f>_xlfn.IFNA(IF(HLOOKUP($A18,PROBAST!$A$6:$AE$77,40,)="Low concern","+",IF(HLOOKUP($A18,PROBAST!$A$6:$AE$77,40,)="High concern","-",IF(HLOOKUP($A18,PROBAST!$A$6:$AE$77,40,)="Unclear","?",""))),"")</f>
        <v/>
      </c>
      <c r="J18" s="155" t="str">
        <f t="shared" si="0"/>
        <v/>
      </c>
      <c r="K18" s="156" t="str">
        <f t="shared" si="1"/>
        <v/>
      </c>
      <c r="L18" s="157"/>
      <c r="M18" s="126"/>
      <c r="N18" s="126"/>
      <c r="O18" s="126"/>
      <c r="P18" s="126"/>
      <c r="Q18" s="126"/>
      <c r="R18" s="126"/>
      <c r="S18" s="126"/>
      <c r="T18" s="126"/>
      <c r="U18" s="126"/>
      <c r="V18" s="126"/>
      <c r="W18" s="126"/>
      <c r="X18" s="126"/>
      <c r="Y18" s="126"/>
      <c r="Z18" s="126"/>
      <c r="AA18" s="126"/>
      <c r="AB18" s="126"/>
      <c r="AC18" s="126"/>
      <c r="AD18" s="126"/>
      <c r="AE18" s="126"/>
      <c r="AF18" s="126"/>
      <c r="AG18" s="126"/>
      <c r="AH18" s="126"/>
    </row>
    <row r="19" spans="1:34" s="127" customFormat="1" ht="15" customHeight="1" x14ac:dyDescent="0.15">
      <c r="A19" s="127" t="str">
        <f>CHARMS!AS$6</f>
        <v/>
      </c>
      <c r="B19" s="188" t="str">
        <f>HLOOKUP($A19,CHARMS!$A$6:$CQ$89,1,)</f>
        <v/>
      </c>
      <c r="C19" s="151" t="str">
        <f>_xlfn.IFNA(IF(HLOOKUP($A19,PROBAST!$A$6:$AE$77,11,)="Low RoB","+",IF(HLOOKUP($A19,PROBAST!$A$6:$AE$77,11,)="High RoB","-",IF(HLOOKUP($A19,PROBAST!$A$6:$AE$77,11,)="Unclear","?",""))),"")</f>
        <v/>
      </c>
      <c r="D19" s="152" t="str">
        <f>_xlfn.IFNA(IF(HLOOKUP($A19,PROBAST!$A$6:$AE$77,25,)="Low RoB","+",IF(HLOOKUP($A19,PROBAST!$A$6:$AE$77,25,)="High RoB","-",IF(HLOOKUP($A19,PROBAST!$A$6:$AE$77,25,)="Unclear","?",""))),"")</f>
        <v/>
      </c>
      <c r="E19" s="152" t="str">
        <f>_xlfn.IFNA(IF(HLOOKUP($A19,PROBAST!$A$6:$AE$77,39,)="Low RoB","+",IF(HLOOKUP($A19,PROBAST!$A$6:$AE$77,39,)="High RoB","-",IF(HLOOKUP($A19,PROBAST!$A$6:$AE$77,39,)="Unclear","?",""))),"")</f>
        <v/>
      </c>
      <c r="F19" s="153" t="str">
        <f>_xlfn.IFNA(IF(HLOOKUP($A19,PROBAST!$A$6:$AE$77,58,)="Low RoB","+",IF(HLOOKUP($A19,PROBAST!$A$6:$AE$77,58,)="High RoB","-",IF(HLOOKUP($A19,PROBAST!$A$6:$AE$77,58,)="Unclear","?",""))),"")</f>
        <v/>
      </c>
      <c r="G19" s="154" t="str">
        <f>_xlfn.IFNA(IF(HLOOKUP($A19,PROBAST!$A$6:$AE$77,12,)="Low concern","+",IF(HLOOKUP($A19,PROBAST!$A$6:$AE$77,12,)="High concern","-",IF(HLOOKUP($A19,PROBAST!$A$6:$AE$77,12,)="Unclear","?",""))),"")</f>
        <v/>
      </c>
      <c r="H19" s="152" t="str">
        <f>_xlfn.IFNA(IF(HLOOKUP($A19,PROBAST!$A$6:$AE$77,26,)="Low concern","+",IF(HLOOKUP($A19,PROBAST!$A$6:$AE$77,26,)="High concern","-",IF(HLOOKUP($A19,PROBAST!$A$6:$AE$77,26,)="Unclear","?",""))),"")</f>
        <v/>
      </c>
      <c r="I19" s="153" t="str">
        <f>_xlfn.IFNA(IF(HLOOKUP($A19,PROBAST!$A$6:$AE$77,40,)="Low concern","+",IF(HLOOKUP($A19,PROBAST!$A$6:$AE$77,40,)="High concern","-",IF(HLOOKUP($A19,PROBAST!$A$6:$AE$77,40,)="Unclear","?",""))),"")</f>
        <v/>
      </c>
      <c r="J19" s="155" t="str">
        <f t="shared" si="0"/>
        <v/>
      </c>
      <c r="K19" s="156" t="str">
        <f t="shared" si="1"/>
        <v/>
      </c>
      <c r="L19" s="126"/>
      <c r="M19" s="126"/>
      <c r="N19" s="126"/>
      <c r="O19" s="126"/>
      <c r="P19" s="126"/>
      <c r="Q19" s="126"/>
      <c r="R19" s="126"/>
      <c r="S19" s="126"/>
      <c r="T19" s="126"/>
      <c r="U19" s="126"/>
      <c r="V19" s="126"/>
      <c r="W19" s="126"/>
      <c r="X19" s="126"/>
      <c r="Y19" s="126"/>
      <c r="Z19" s="126"/>
      <c r="AA19" s="126"/>
      <c r="AB19" s="126"/>
      <c r="AC19" s="126"/>
      <c r="AD19" s="126"/>
      <c r="AE19" s="126"/>
      <c r="AF19" s="126"/>
      <c r="AG19" s="126"/>
      <c r="AH19" s="126"/>
    </row>
    <row r="20" spans="1:34" s="127" customFormat="1" ht="15" customHeight="1" x14ac:dyDescent="0.15">
      <c r="A20" s="127" t="str">
        <f>CHARMS!AV$6</f>
        <v/>
      </c>
      <c r="B20" s="188" t="str">
        <f>HLOOKUP($A20,CHARMS!$A$6:$CQ$89,1,)</f>
        <v/>
      </c>
      <c r="C20" s="151" t="str">
        <f>_xlfn.IFNA(IF(HLOOKUP($A20,PROBAST!$A$6:$AE$77,11,)="Low RoB","+",IF(HLOOKUP($A20,PROBAST!$A$6:$AE$77,11,)="High RoB","-",IF(HLOOKUP($A20,PROBAST!$A$6:$AE$77,11,)="Unclear","?",""))),"")</f>
        <v/>
      </c>
      <c r="D20" s="152" t="str">
        <f>_xlfn.IFNA(IF(HLOOKUP($A20,PROBAST!$A$6:$AE$77,25,)="Low RoB","+",IF(HLOOKUP($A20,PROBAST!$A$6:$AE$77,25,)="High RoB","-",IF(HLOOKUP($A20,PROBAST!$A$6:$AE$77,25,)="Unclear","?",""))),"")</f>
        <v/>
      </c>
      <c r="E20" s="152" t="str">
        <f>_xlfn.IFNA(IF(HLOOKUP($A20,PROBAST!$A$6:$AE$77,39,)="Low RoB","+",IF(HLOOKUP($A20,PROBAST!$A$6:$AE$77,39,)="High RoB","-",IF(HLOOKUP($A20,PROBAST!$A$6:$AE$77,39,)="Unclear","?",""))),"")</f>
        <v/>
      </c>
      <c r="F20" s="153" t="str">
        <f>_xlfn.IFNA(IF(HLOOKUP($A20,PROBAST!$A$6:$AE$77,58,)="Low RoB","+",IF(HLOOKUP($A20,PROBAST!$A$6:$AE$77,58,)="High RoB","-",IF(HLOOKUP($A20,PROBAST!$A$6:$AE$77,58,)="Unclear","?",""))),"")</f>
        <v/>
      </c>
      <c r="G20" s="154" t="str">
        <f>_xlfn.IFNA(IF(HLOOKUP($A20,PROBAST!$A$6:$AE$77,12,)="Low concern","+",IF(HLOOKUP($A20,PROBAST!$A$6:$AE$77,12,)="High concern","-",IF(HLOOKUP($A20,PROBAST!$A$6:$AE$77,12,)="Unclear","?",""))),"")</f>
        <v/>
      </c>
      <c r="H20" s="152" t="str">
        <f>_xlfn.IFNA(IF(HLOOKUP($A20,PROBAST!$A$6:$AE$77,26,)="Low concern","+",IF(HLOOKUP($A20,PROBAST!$A$6:$AE$77,26,)="High concern","-",IF(HLOOKUP($A20,PROBAST!$A$6:$AE$77,26,)="Unclear","?",""))),"")</f>
        <v/>
      </c>
      <c r="I20" s="153" t="str">
        <f>_xlfn.IFNA(IF(HLOOKUP($A20,PROBAST!$A$6:$AE$77,40,)="Low concern","+",IF(HLOOKUP($A20,PROBAST!$A$6:$AE$77,40,)="High concern","-",IF(HLOOKUP($A20,PROBAST!$A$6:$AE$77,40,)="Unclear","?",""))),"")</f>
        <v/>
      </c>
      <c r="J20" s="155" t="str">
        <f t="shared" si="0"/>
        <v/>
      </c>
      <c r="K20" s="156" t="str">
        <f t="shared" si="1"/>
        <v/>
      </c>
      <c r="L20" s="126"/>
      <c r="M20" s="126"/>
      <c r="N20" s="126"/>
      <c r="O20" s="126"/>
      <c r="P20" s="126"/>
      <c r="Q20" s="126"/>
      <c r="R20" s="126"/>
      <c r="S20" s="126"/>
      <c r="T20" s="126"/>
      <c r="U20" s="126"/>
      <c r="V20" s="126"/>
      <c r="W20" s="126"/>
      <c r="X20" s="126"/>
      <c r="Y20" s="126"/>
      <c r="Z20" s="126"/>
      <c r="AA20" s="126"/>
      <c r="AB20" s="126"/>
      <c r="AC20" s="126"/>
      <c r="AD20" s="126"/>
      <c r="AE20" s="126"/>
      <c r="AF20" s="126"/>
      <c r="AG20" s="126"/>
      <c r="AH20" s="126"/>
    </row>
    <row r="21" spans="1:34" s="127" customFormat="1" ht="15" customHeight="1" x14ac:dyDescent="0.15">
      <c r="A21" s="127" t="str">
        <f>CHARMS!AY$6</f>
        <v/>
      </c>
      <c r="B21" s="188" t="str">
        <f>HLOOKUP($A21,CHARMS!$A$6:$CQ$89,1,)</f>
        <v/>
      </c>
      <c r="C21" s="151" t="str">
        <f>_xlfn.IFNA(IF(HLOOKUP($A21,PROBAST!$A$6:$AE$77,11,)="Low RoB","+",IF(HLOOKUP($A21,PROBAST!$A$6:$AE$77,11,)="High RoB","-",IF(HLOOKUP($A21,PROBAST!$A$6:$AE$77,11,)="Unclear","?",""))),"")</f>
        <v/>
      </c>
      <c r="D21" s="152" t="str">
        <f>_xlfn.IFNA(IF(HLOOKUP($A21,PROBAST!$A$6:$AE$77,25,)="Low RoB","+",IF(HLOOKUP($A21,PROBAST!$A$6:$AE$77,25,)="High RoB","-",IF(HLOOKUP($A21,PROBAST!$A$6:$AE$77,25,)="Unclear","?",""))),"")</f>
        <v/>
      </c>
      <c r="E21" s="152" t="str">
        <f>_xlfn.IFNA(IF(HLOOKUP($A21,PROBAST!$A$6:$AE$77,39,)="Low RoB","+",IF(HLOOKUP($A21,PROBAST!$A$6:$AE$77,39,)="High RoB","-",IF(HLOOKUP($A21,PROBAST!$A$6:$AE$77,39,)="Unclear","?",""))),"")</f>
        <v/>
      </c>
      <c r="F21" s="153" t="str">
        <f>_xlfn.IFNA(IF(HLOOKUP($A21,PROBAST!$A$6:$AE$77,58,)="Low RoB","+",IF(HLOOKUP($A21,PROBAST!$A$6:$AE$77,58,)="High RoB","-",IF(HLOOKUP($A21,PROBAST!$A$6:$AE$77,58,)="Unclear","?",""))),"")</f>
        <v/>
      </c>
      <c r="G21" s="154" t="str">
        <f>_xlfn.IFNA(IF(HLOOKUP($A21,PROBAST!$A$6:$AE$77,12,)="Low concern","+",IF(HLOOKUP($A21,PROBAST!$A$6:$AE$77,12,)="High concern","-",IF(HLOOKUP($A21,PROBAST!$A$6:$AE$77,12,)="Unclear","?",""))),"")</f>
        <v/>
      </c>
      <c r="H21" s="152" t="str">
        <f>_xlfn.IFNA(IF(HLOOKUP($A21,PROBAST!$A$6:$AE$77,26,)="Low concern","+",IF(HLOOKUP($A21,PROBAST!$A$6:$AE$77,26,)="High concern","-",IF(HLOOKUP($A21,PROBAST!$A$6:$AE$77,26,)="Unclear","?",""))),"")</f>
        <v/>
      </c>
      <c r="I21" s="153" t="str">
        <f>_xlfn.IFNA(IF(HLOOKUP($A21,PROBAST!$A$6:$AE$77,40,)="Low concern","+",IF(HLOOKUP($A21,PROBAST!$A$6:$AE$77,40,)="High concern","-",IF(HLOOKUP($A21,PROBAST!$A$6:$AE$77,40,)="Unclear","?",""))),"")</f>
        <v/>
      </c>
      <c r="J21" s="155" t="str">
        <f t="shared" si="0"/>
        <v/>
      </c>
      <c r="K21" s="156" t="str">
        <f t="shared" si="1"/>
        <v/>
      </c>
      <c r="L21" s="126"/>
      <c r="M21" s="126"/>
      <c r="N21" s="126"/>
      <c r="O21" s="126"/>
      <c r="P21" s="126"/>
      <c r="Q21" s="126"/>
      <c r="R21" s="126"/>
      <c r="S21" s="126"/>
      <c r="T21" s="126"/>
      <c r="U21" s="126"/>
      <c r="V21" s="126"/>
      <c r="W21" s="126"/>
      <c r="X21" s="126"/>
      <c r="Y21" s="126"/>
      <c r="Z21" s="126"/>
      <c r="AA21" s="126"/>
      <c r="AB21" s="126"/>
      <c r="AC21" s="126"/>
      <c r="AD21" s="126"/>
      <c r="AE21" s="126"/>
      <c r="AF21" s="126"/>
      <c r="AG21" s="126"/>
      <c r="AH21" s="126"/>
    </row>
    <row r="22" spans="1:34" s="127" customFormat="1" ht="15" customHeight="1" x14ac:dyDescent="0.15">
      <c r="A22" s="127" t="str">
        <f>CHARMS!BB$6</f>
        <v/>
      </c>
      <c r="B22" s="188" t="str">
        <f>HLOOKUP($A22,CHARMS!$A$6:$CQ$89,1,)</f>
        <v/>
      </c>
      <c r="C22" s="151" t="str">
        <f>_xlfn.IFNA(IF(HLOOKUP($A22,PROBAST!$A$6:$AE$77,11,)="Low RoB","+",IF(HLOOKUP($A22,PROBAST!$A$6:$AE$77,11,)="High RoB","-",IF(HLOOKUP($A22,PROBAST!$A$6:$AE$77,11,)="Unclear","?",""))),"")</f>
        <v/>
      </c>
      <c r="D22" s="152" t="str">
        <f>_xlfn.IFNA(IF(HLOOKUP($A22,PROBAST!$A$6:$AE$77,25,)="Low RoB","+",IF(HLOOKUP($A22,PROBAST!$A$6:$AE$77,25,)="High RoB","-",IF(HLOOKUP($A22,PROBAST!$A$6:$AE$77,25,)="Unclear","?",""))),"")</f>
        <v/>
      </c>
      <c r="E22" s="152" t="str">
        <f>_xlfn.IFNA(IF(HLOOKUP($A22,PROBAST!$A$6:$AE$77,39,)="Low RoB","+",IF(HLOOKUP($A22,PROBAST!$A$6:$AE$77,39,)="High RoB","-",IF(HLOOKUP($A22,PROBAST!$A$6:$AE$77,39,)="Unclear","?",""))),"")</f>
        <v/>
      </c>
      <c r="F22" s="153" t="str">
        <f>_xlfn.IFNA(IF(HLOOKUP($A22,PROBAST!$A$6:$AE$77,58,)="Low RoB","+",IF(HLOOKUP($A22,PROBAST!$A$6:$AE$77,58,)="High RoB","-",IF(HLOOKUP($A22,PROBAST!$A$6:$AE$77,58,)="Unclear","?",""))),"")</f>
        <v/>
      </c>
      <c r="G22" s="154" t="str">
        <f>_xlfn.IFNA(IF(HLOOKUP($A22,PROBAST!$A$6:$AE$77,12,)="Low concern","+",IF(HLOOKUP($A22,PROBAST!$A$6:$AE$77,12,)="High concern","-",IF(HLOOKUP($A22,PROBAST!$A$6:$AE$77,12,)="Unclear","?",""))),"")</f>
        <v/>
      </c>
      <c r="H22" s="152" t="str">
        <f>_xlfn.IFNA(IF(HLOOKUP($A22,PROBAST!$A$6:$AE$77,26,)="Low concern","+",IF(HLOOKUP($A22,PROBAST!$A$6:$AE$77,26,)="High concern","-",IF(HLOOKUP($A22,PROBAST!$A$6:$AE$77,26,)="Unclear","?",""))),"")</f>
        <v/>
      </c>
      <c r="I22" s="153" t="str">
        <f>_xlfn.IFNA(IF(HLOOKUP($A22,PROBAST!$A$6:$AE$77,40,)="Low concern","+",IF(HLOOKUP($A22,PROBAST!$A$6:$AE$77,40,)="High concern","-",IF(HLOOKUP($A22,PROBAST!$A$6:$AE$77,40,)="Unclear","?",""))),"")</f>
        <v/>
      </c>
      <c r="J22" s="155" t="str">
        <f t="shared" si="0"/>
        <v/>
      </c>
      <c r="K22" s="156" t="str">
        <f t="shared" si="1"/>
        <v/>
      </c>
      <c r="L22" s="126"/>
      <c r="M22" s="126"/>
      <c r="N22" s="126"/>
      <c r="O22" s="126"/>
      <c r="P22" s="126"/>
      <c r="Q22" s="126"/>
      <c r="R22" s="126"/>
      <c r="S22" s="126"/>
      <c r="T22" s="126"/>
      <c r="U22" s="126"/>
      <c r="V22" s="126"/>
      <c r="W22" s="126"/>
      <c r="X22" s="126"/>
      <c r="Y22" s="126"/>
      <c r="Z22" s="126"/>
      <c r="AA22" s="126"/>
      <c r="AB22" s="126"/>
      <c r="AC22" s="126"/>
      <c r="AD22" s="126"/>
      <c r="AE22" s="126"/>
      <c r="AF22" s="126"/>
      <c r="AG22" s="126"/>
      <c r="AH22" s="126"/>
    </row>
    <row r="23" spans="1:34" s="127" customFormat="1" ht="15" customHeight="1" x14ac:dyDescent="0.15">
      <c r="A23" s="127" t="str">
        <f>CHARMS!BE$6</f>
        <v/>
      </c>
      <c r="B23" s="188" t="str">
        <f>HLOOKUP($A23,CHARMS!$A$6:$CQ$89,1,)</f>
        <v/>
      </c>
      <c r="C23" s="151" t="str">
        <f>_xlfn.IFNA(IF(HLOOKUP($A23,PROBAST!$A$6:$AE$77,11,)="Low RoB","+",IF(HLOOKUP($A23,PROBAST!$A$6:$AE$77,11,)="High RoB","-",IF(HLOOKUP($A23,PROBAST!$A$6:$AE$77,11,)="Unclear","?",""))),"")</f>
        <v/>
      </c>
      <c r="D23" s="152" t="str">
        <f>_xlfn.IFNA(IF(HLOOKUP($A23,PROBAST!$A$6:$AE$77,25,)="Low RoB","+",IF(HLOOKUP($A23,PROBAST!$A$6:$AE$77,25,)="High RoB","-",IF(HLOOKUP($A23,PROBAST!$A$6:$AE$77,25,)="Unclear","?",""))),"")</f>
        <v/>
      </c>
      <c r="E23" s="152" t="str">
        <f>_xlfn.IFNA(IF(HLOOKUP($A23,PROBAST!$A$6:$AE$77,39,)="Low RoB","+",IF(HLOOKUP($A23,PROBAST!$A$6:$AE$77,39,)="High RoB","-",IF(HLOOKUP($A23,PROBAST!$A$6:$AE$77,39,)="Unclear","?",""))),"")</f>
        <v/>
      </c>
      <c r="F23" s="153" t="str">
        <f>_xlfn.IFNA(IF(HLOOKUP($A23,PROBAST!$A$6:$AE$77,58,)="Low RoB","+",IF(HLOOKUP($A23,PROBAST!$A$6:$AE$77,58,)="High RoB","-",IF(HLOOKUP($A23,PROBAST!$A$6:$AE$77,58,)="Unclear","?",""))),"")</f>
        <v/>
      </c>
      <c r="G23" s="154" t="str">
        <f>_xlfn.IFNA(IF(HLOOKUP($A23,PROBAST!$A$6:$AE$77,12,)="Low concern","+",IF(HLOOKUP($A23,PROBAST!$A$6:$AE$77,12,)="High concern","-",IF(HLOOKUP($A23,PROBAST!$A$6:$AE$77,12,)="Unclear","?",""))),"")</f>
        <v/>
      </c>
      <c r="H23" s="152" t="str">
        <f>_xlfn.IFNA(IF(HLOOKUP($A23,PROBAST!$A$6:$AE$77,26,)="Low concern","+",IF(HLOOKUP($A23,PROBAST!$A$6:$AE$77,26,)="High concern","-",IF(HLOOKUP($A23,PROBAST!$A$6:$AE$77,26,)="Unclear","?",""))),"")</f>
        <v/>
      </c>
      <c r="I23" s="153" t="str">
        <f>_xlfn.IFNA(IF(HLOOKUP($A23,PROBAST!$A$6:$AE$77,40,)="Low concern","+",IF(HLOOKUP($A23,PROBAST!$A$6:$AE$77,40,)="High concern","-",IF(HLOOKUP($A23,PROBAST!$A$6:$AE$77,40,)="Unclear","?",""))),"")</f>
        <v/>
      </c>
      <c r="J23" s="155" t="str">
        <f t="shared" si="0"/>
        <v/>
      </c>
      <c r="K23" s="156" t="str">
        <f t="shared" si="1"/>
        <v/>
      </c>
      <c r="L23" s="126"/>
      <c r="M23" s="126"/>
      <c r="N23" s="126"/>
      <c r="O23" s="126"/>
      <c r="P23" s="126"/>
      <c r="Q23" s="126"/>
      <c r="R23" s="126"/>
      <c r="S23" s="126"/>
      <c r="T23" s="126"/>
      <c r="U23" s="126"/>
      <c r="V23" s="126"/>
      <c r="W23" s="126"/>
      <c r="X23" s="126"/>
      <c r="Y23" s="126"/>
      <c r="Z23" s="126"/>
      <c r="AA23" s="126"/>
      <c r="AB23" s="126"/>
      <c r="AC23" s="126"/>
      <c r="AD23" s="126"/>
      <c r="AE23" s="126"/>
      <c r="AF23" s="126"/>
      <c r="AG23" s="126"/>
      <c r="AH23" s="126"/>
    </row>
    <row r="24" spans="1:34" s="127" customFormat="1" ht="15" customHeight="1" x14ac:dyDescent="0.15">
      <c r="A24" s="127" t="str">
        <f>CHARMS!BH$6</f>
        <v/>
      </c>
      <c r="B24" s="188" t="str">
        <f>HLOOKUP($A24,CHARMS!$A$6:$CQ$89,1,)</f>
        <v/>
      </c>
      <c r="C24" s="151" t="str">
        <f>_xlfn.IFNA(IF(HLOOKUP($A24,PROBAST!$A$6:$AE$77,11,)="Low RoB","+",IF(HLOOKUP($A24,PROBAST!$A$6:$AE$77,11,)="High RoB","-",IF(HLOOKUP($A24,PROBAST!$A$6:$AE$77,11,)="Unclear","?",""))),"")</f>
        <v/>
      </c>
      <c r="D24" s="152" t="str">
        <f>_xlfn.IFNA(IF(HLOOKUP($A24,PROBAST!$A$6:$AE$77,25,)="Low RoB","+",IF(HLOOKUP($A24,PROBAST!$A$6:$AE$77,25,)="High RoB","-",IF(HLOOKUP($A24,PROBAST!$A$6:$AE$77,25,)="Unclear","?",""))),"")</f>
        <v/>
      </c>
      <c r="E24" s="152" t="str">
        <f>_xlfn.IFNA(IF(HLOOKUP($A24,PROBAST!$A$6:$AE$77,39,)="Low RoB","+",IF(HLOOKUP($A24,PROBAST!$A$6:$AE$77,39,)="High RoB","-",IF(HLOOKUP($A24,PROBAST!$A$6:$AE$77,39,)="Unclear","?",""))),"")</f>
        <v/>
      </c>
      <c r="F24" s="153" t="str">
        <f>_xlfn.IFNA(IF(HLOOKUP($A24,PROBAST!$A$6:$AE$77,58,)="Low RoB","+",IF(HLOOKUP($A24,PROBAST!$A$6:$AE$77,58,)="High RoB","-",IF(HLOOKUP($A24,PROBAST!$A$6:$AE$77,58,)="Unclear","?",""))),"")</f>
        <v/>
      </c>
      <c r="G24" s="154" t="str">
        <f>_xlfn.IFNA(IF(HLOOKUP($A24,PROBAST!$A$6:$AE$77,12,)="Low concern","+",IF(HLOOKUP($A24,PROBAST!$A$6:$AE$77,12,)="High concern","-",IF(HLOOKUP($A24,PROBAST!$A$6:$AE$77,12,)="Unclear","?",""))),"")</f>
        <v/>
      </c>
      <c r="H24" s="152" t="str">
        <f>_xlfn.IFNA(IF(HLOOKUP($A24,PROBAST!$A$6:$AE$77,26,)="Low concern","+",IF(HLOOKUP($A24,PROBAST!$A$6:$AE$77,26,)="High concern","-",IF(HLOOKUP($A24,PROBAST!$A$6:$AE$77,26,)="Unclear","?",""))),"")</f>
        <v/>
      </c>
      <c r="I24" s="153" t="str">
        <f>_xlfn.IFNA(IF(HLOOKUP($A24,PROBAST!$A$6:$AE$77,40,)="Low concern","+",IF(HLOOKUP($A24,PROBAST!$A$6:$AE$77,40,)="High concern","-",IF(HLOOKUP($A24,PROBAST!$A$6:$AE$77,40,)="Unclear","?",""))),"")</f>
        <v/>
      </c>
      <c r="J24" s="155" t="str">
        <f t="shared" si="0"/>
        <v/>
      </c>
      <c r="K24" s="156" t="str">
        <f t="shared" si="1"/>
        <v/>
      </c>
      <c r="L24" s="126"/>
      <c r="M24" s="126"/>
      <c r="N24" s="126"/>
      <c r="O24" s="126"/>
      <c r="P24" s="126"/>
      <c r="Q24" s="126"/>
      <c r="R24" s="126"/>
      <c r="S24" s="126"/>
      <c r="T24" s="126"/>
      <c r="U24" s="126"/>
      <c r="V24" s="126"/>
      <c r="W24" s="126"/>
      <c r="X24" s="126"/>
      <c r="Y24" s="126"/>
      <c r="Z24" s="126"/>
      <c r="AA24" s="126"/>
      <c r="AB24" s="126"/>
      <c r="AC24" s="126"/>
      <c r="AD24" s="126"/>
      <c r="AE24" s="126"/>
      <c r="AF24" s="126"/>
      <c r="AG24" s="126"/>
      <c r="AH24" s="126"/>
    </row>
    <row r="25" spans="1:34" s="127" customFormat="1" ht="15" customHeight="1" x14ac:dyDescent="0.15">
      <c r="A25" s="127" t="str">
        <f>CHARMS!BK$6</f>
        <v/>
      </c>
      <c r="B25" s="188" t="str">
        <f>HLOOKUP($A25,CHARMS!$A$6:$CQ$89,1,)</f>
        <v/>
      </c>
      <c r="C25" s="151" t="str">
        <f>_xlfn.IFNA(IF(HLOOKUP($A25,PROBAST!$A$6:$AE$77,11,)="Low RoB","+",IF(HLOOKUP($A25,PROBAST!$A$6:$AE$77,11,)="High RoB","-",IF(HLOOKUP($A25,PROBAST!$A$6:$AE$77,11,)="Unclear","?",""))),"")</f>
        <v/>
      </c>
      <c r="D25" s="152" t="str">
        <f>_xlfn.IFNA(IF(HLOOKUP($A25,PROBAST!$A$6:$AE$77,25,)="Low RoB","+",IF(HLOOKUP($A25,PROBAST!$A$6:$AE$77,25,)="High RoB","-",IF(HLOOKUP($A25,PROBAST!$A$6:$AE$77,25,)="Unclear","?",""))),"")</f>
        <v/>
      </c>
      <c r="E25" s="152" t="str">
        <f>_xlfn.IFNA(IF(HLOOKUP($A25,PROBAST!$A$6:$AE$77,39,)="Low RoB","+",IF(HLOOKUP($A25,PROBAST!$A$6:$AE$77,39,)="High RoB","-",IF(HLOOKUP($A25,PROBAST!$A$6:$AE$77,39,)="Unclear","?",""))),"")</f>
        <v/>
      </c>
      <c r="F25" s="153" t="str">
        <f>_xlfn.IFNA(IF(HLOOKUP($A25,PROBAST!$A$6:$AE$77,58,)="Low RoB","+",IF(HLOOKUP($A25,PROBAST!$A$6:$AE$77,58,)="High RoB","-",IF(HLOOKUP($A25,PROBAST!$A$6:$AE$77,58,)="Unclear","?",""))),"")</f>
        <v/>
      </c>
      <c r="G25" s="154" t="str">
        <f>_xlfn.IFNA(IF(HLOOKUP($A25,PROBAST!$A$6:$AE$77,12,)="Low concern","+",IF(HLOOKUP($A25,PROBAST!$A$6:$AE$77,12,)="High concern","-",IF(HLOOKUP($A25,PROBAST!$A$6:$AE$77,12,)="Unclear","?",""))),"")</f>
        <v/>
      </c>
      <c r="H25" s="152" t="str">
        <f>_xlfn.IFNA(IF(HLOOKUP($A25,PROBAST!$A$6:$AE$77,26,)="Low concern","+",IF(HLOOKUP($A25,PROBAST!$A$6:$AE$77,26,)="High concern","-",IF(HLOOKUP($A25,PROBAST!$A$6:$AE$77,26,)="Unclear","?",""))),"")</f>
        <v/>
      </c>
      <c r="I25" s="153" t="str">
        <f>_xlfn.IFNA(IF(HLOOKUP($A25,PROBAST!$A$6:$AE$77,40,)="Low concern","+",IF(HLOOKUP($A25,PROBAST!$A$6:$AE$77,40,)="High concern","-",IF(HLOOKUP($A25,PROBAST!$A$6:$AE$77,40,)="Unclear","?",""))),"")</f>
        <v/>
      </c>
      <c r="J25" s="155" t="str">
        <f t="shared" si="0"/>
        <v/>
      </c>
      <c r="K25" s="156" t="str">
        <f t="shared" si="1"/>
        <v/>
      </c>
      <c r="L25" s="126"/>
      <c r="M25" s="126"/>
      <c r="N25" s="126"/>
      <c r="O25" s="126"/>
      <c r="P25" s="126"/>
      <c r="Q25" s="126"/>
      <c r="R25" s="126"/>
      <c r="S25" s="126"/>
      <c r="T25" s="126"/>
      <c r="U25" s="126"/>
      <c r="V25" s="126"/>
      <c r="W25" s="126"/>
      <c r="X25" s="126"/>
      <c r="Y25" s="126"/>
      <c r="Z25" s="126"/>
      <c r="AA25" s="126"/>
      <c r="AB25" s="126"/>
      <c r="AC25" s="126"/>
      <c r="AD25" s="126"/>
      <c r="AE25" s="126"/>
      <c r="AF25" s="126"/>
      <c r="AG25" s="126"/>
      <c r="AH25" s="126"/>
    </row>
    <row r="26" spans="1:34" s="127" customFormat="1" ht="15" customHeight="1" x14ac:dyDescent="0.15">
      <c r="A26" s="127" t="str">
        <f>CHARMS!BN$6</f>
        <v/>
      </c>
      <c r="B26" s="188" t="str">
        <f>HLOOKUP($A26,CHARMS!$A$6:$CQ$89,1,)</f>
        <v/>
      </c>
      <c r="C26" s="151" t="str">
        <f>_xlfn.IFNA(IF(HLOOKUP($A26,PROBAST!$A$6:$AE$77,11,)="Low RoB","+",IF(HLOOKUP($A26,PROBAST!$A$6:$AE$77,11,)="High RoB","-",IF(HLOOKUP($A26,PROBAST!$A$6:$AE$77,11,)="Unclear","?",""))),"")</f>
        <v/>
      </c>
      <c r="D26" s="152" t="str">
        <f>_xlfn.IFNA(IF(HLOOKUP($A26,PROBAST!$A$6:$AE$77,25,)="Low RoB","+",IF(HLOOKUP($A26,PROBAST!$A$6:$AE$77,25,)="High RoB","-",IF(HLOOKUP($A26,PROBAST!$A$6:$AE$77,25,)="Unclear","?",""))),"")</f>
        <v/>
      </c>
      <c r="E26" s="152" t="str">
        <f>_xlfn.IFNA(IF(HLOOKUP($A26,PROBAST!$A$6:$AE$77,39,)="Low RoB","+",IF(HLOOKUP($A26,PROBAST!$A$6:$AE$77,39,)="High RoB","-",IF(HLOOKUP($A26,PROBAST!$A$6:$AE$77,39,)="Unclear","?",""))),"")</f>
        <v/>
      </c>
      <c r="F26" s="153" t="str">
        <f>_xlfn.IFNA(IF(HLOOKUP($A26,PROBAST!$A$6:$AE$77,58,)="Low RoB","+",IF(HLOOKUP($A26,PROBAST!$A$6:$AE$77,58,)="High RoB","-",IF(HLOOKUP($A26,PROBAST!$A$6:$AE$77,58,)="Unclear","?",""))),"")</f>
        <v/>
      </c>
      <c r="G26" s="154" t="str">
        <f>_xlfn.IFNA(IF(HLOOKUP($A26,PROBAST!$A$6:$AE$77,12,)="Low concern","+",IF(HLOOKUP($A26,PROBAST!$A$6:$AE$77,12,)="High concern","-",IF(HLOOKUP($A26,PROBAST!$A$6:$AE$77,12,)="Unclear","?",""))),"")</f>
        <v/>
      </c>
      <c r="H26" s="152" t="str">
        <f>_xlfn.IFNA(IF(HLOOKUP($A26,PROBAST!$A$6:$AE$77,26,)="Low concern","+",IF(HLOOKUP($A26,PROBAST!$A$6:$AE$77,26,)="High concern","-",IF(HLOOKUP($A26,PROBAST!$A$6:$AE$77,26,)="Unclear","?",""))),"")</f>
        <v/>
      </c>
      <c r="I26" s="153" t="str">
        <f>_xlfn.IFNA(IF(HLOOKUP($A26,PROBAST!$A$6:$AE$77,40,)="Low concern","+",IF(HLOOKUP($A26,PROBAST!$A$6:$AE$77,40,)="High concern","-",IF(HLOOKUP($A26,PROBAST!$A$6:$AE$77,40,)="Unclear","?",""))),"")</f>
        <v/>
      </c>
      <c r="J26" s="155" t="str">
        <f t="shared" si="0"/>
        <v/>
      </c>
      <c r="K26" s="156" t="str">
        <f t="shared" si="1"/>
        <v/>
      </c>
      <c r="L26" s="126"/>
      <c r="M26" s="126"/>
      <c r="N26" s="126"/>
      <c r="O26" s="126"/>
      <c r="P26" s="126"/>
      <c r="Q26" s="126"/>
      <c r="R26" s="126"/>
      <c r="S26" s="126"/>
      <c r="T26" s="126"/>
      <c r="U26" s="126"/>
      <c r="V26" s="126"/>
      <c r="W26" s="126"/>
      <c r="X26" s="126"/>
      <c r="Y26" s="126"/>
      <c r="Z26" s="126"/>
      <c r="AA26" s="126"/>
      <c r="AB26" s="126"/>
      <c r="AC26" s="126"/>
      <c r="AD26" s="126"/>
      <c r="AE26" s="126"/>
      <c r="AF26" s="126"/>
      <c r="AG26" s="126"/>
      <c r="AH26" s="126"/>
    </row>
    <row r="27" spans="1:34" s="127" customFormat="1" ht="15" customHeight="1" x14ac:dyDescent="0.15">
      <c r="A27" s="127" t="str">
        <f>CHARMS!BQ$6</f>
        <v/>
      </c>
      <c r="B27" s="188" t="str">
        <f>HLOOKUP($A27,CHARMS!$A$6:$CQ$89,1,)</f>
        <v/>
      </c>
      <c r="C27" s="151" t="str">
        <f>_xlfn.IFNA(IF(HLOOKUP($A27,PROBAST!$A$6:$AE$77,11,)="Low RoB","+",IF(HLOOKUP($A27,PROBAST!$A$6:$AE$77,11,)="High RoB","-",IF(HLOOKUP($A27,PROBAST!$A$6:$AE$77,11,)="Unclear","?",""))),"")</f>
        <v/>
      </c>
      <c r="D27" s="152" t="str">
        <f>_xlfn.IFNA(IF(HLOOKUP($A27,PROBAST!$A$6:$AE$77,25,)="Low RoB","+",IF(HLOOKUP($A27,PROBAST!$A$6:$AE$77,25,)="High RoB","-",IF(HLOOKUP($A27,PROBAST!$A$6:$AE$77,25,)="Unclear","?",""))),"")</f>
        <v/>
      </c>
      <c r="E27" s="152" t="str">
        <f>_xlfn.IFNA(IF(HLOOKUP($A27,PROBAST!$A$6:$AE$77,39,)="Low RoB","+",IF(HLOOKUP($A27,PROBAST!$A$6:$AE$77,39,)="High RoB","-",IF(HLOOKUP($A27,PROBAST!$A$6:$AE$77,39,)="Unclear","?",""))),"")</f>
        <v/>
      </c>
      <c r="F27" s="153" t="str">
        <f>_xlfn.IFNA(IF(HLOOKUP($A27,PROBAST!$A$6:$AE$77,58,)="Low RoB","+",IF(HLOOKUP($A27,PROBAST!$A$6:$AE$77,58,)="High RoB","-",IF(HLOOKUP($A27,PROBAST!$A$6:$AE$77,58,)="Unclear","?",""))),"")</f>
        <v/>
      </c>
      <c r="G27" s="154" t="str">
        <f>_xlfn.IFNA(IF(HLOOKUP($A27,PROBAST!$A$6:$AE$77,12,)="Low concern","+",IF(HLOOKUP($A27,PROBAST!$A$6:$AE$77,12,)="High concern","-",IF(HLOOKUP($A27,PROBAST!$A$6:$AE$77,12,)="Unclear","?",""))),"")</f>
        <v/>
      </c>
      <c r="H27" s="152" t="str">
        <f>_xlfn.IFNA(IF(HLOOKUP($A27,PROBAST!$A$6:$AE$77,26,)="Low concern","+",IF(HLOOKUP($A27,PROBAST!$A$6:$AE$77,26,)="High concern","-",IF(HLOOKUP($A27,PROBAST!$A$6:$AE$77,26,)="Unclear","?",""))),"")</f>
        <v/>
      </c>
      <c r="I27" s="153" t="str">
        <f>_xlfn.IFNA(IF(HLOOKUP($A27,PROBAST!$A$6:$AE$77,40,)="Low concern","+",IF(HLOOKUP($A27,PROBAST!$A$6:$AE$77,40,)="High concern","-",IF(HLOOKUP($A27,PROBAST!$A$6:$AE$77,40,)="Unclear","?",""))),"")</f>
        <v/>
      </c>
      <c r="J27" s="155" t="str">
        <f t="shared" si="0"/>
        <v/>
      </c>
      <c r="K27" s="156" t="str">
        <f t="shared" si="1"/>
        <v/>
      </c>
      <c r="L27" s="126"/>
      <c r="M27" s="126"/>
      <c r="N27" s="126"/>
      <c r="O27" s="126"/>
      <c r="P27" s="126"/>
      <c r="Q27" s="126"/>
      <c r="R27" s="126"/>
      <c r="S27" s="126"/>
      <c r="T27" s="126"/>
      <c r="U27" s="126"/>
      <c r="V27" s="126"/>
      <c r="W27" s="126"/>
      <c r="X27" s="126"/>
      <c r="Y27" s="126"/>
      <c r="Z27" s="126"/>
      <c r="AA27" s="126"/>
      <c r="AB27" s="126"/>
      <c r="AC27" s="126"/>
      <c r="AD27" s="126"/>
      <c r="AE27" s="126"/>
      <c r="AF27" s="126"/>
      <c r="AG27" s="126"/>
      <c r="AH27" s="126"/>
    </row>
    <row r="28" spans="1:34" s="127" customFormat="1" ht="15" customHeight="1" x14ac:dyDescent="0.15">
      <c r="A28" s="127" t="str">
        <f>CHARMS!BT$6</f>
        <v/>
      </c>
      <c r="B28" s="188" t="str">
        <f>HLOOKUP($A28,CHARMS!$A$6:$CQ$89,1,)</f>
        <v/>
      </c>
      <c r="C28" s="151" t="str">
        <f>_xlfn.IFNA(IF(HLOOKUP($A28,PROBAST!$A$6:$AE$77,11,)="Low RoB","+",IF(HLOOKUP($A28,PROBAST!$A$6:$AE$77,11,)="High RoB","-",IF(HLOOKUP($A28,PROBAST!$A$6:$AE$77,11,)="Unclear","?",""))),"")</f>
        <v/>
      </c>
      <c r="D28" s="152" t="str">
        <f>_xlfn.IFNA(IF(HLOOKUP($A28,PROBAST!$A$6:$AE$77,25,)="Low RoB","+",IF(HLOOKUP($A28,PROBAST!$A$6:$AE$77,25,)="High RoB","-",IF(HLOOKUP($A28,PROBAST!$A$6:$AE$77,25,)="Unclear","?",""))),"")</f>
        <v/>
      </c>
      <c r="E28" s="152" t="str">
        <f>_xlfn.IFNA(IF(HLOOKUP($A28,PROBAST!$A$6:$AE$77,39,)="Low RoB","+",IF(HLOOKUP($A28,PROBAST!$A$6:$AE$77,39,)="High RoB","-",IF(HLOOKUP($A28,PROBAST!$A$6:$AE$77,39,)="Unclear","?",""))),"")</f>
        <v/>
      </c>
      <c r="F28" s="153" t="str">
        <f>_xlfn.IFNA(IF(HLOOKUP($A28,PROBAST!$A$6:$AE$77,58,)="Low RoB","+",IF(HLOOKUP($A28,PROBAST!$A$6:$AE$77,58,)="High RoB","-",IF(HLOOKUP($A28,PROBAST!$A$6:$AE$77,58,)="Unclear","?",""))),"")</f>
        <v/>
      </c>
      <c r="G28" s="154" t="str">
        <f>_xlfn.IFNA(IF(HLOOKUP($A28,PROBAST!$A$6:$AE$77,12,)="Low concern","+",IF(HLOOKUP($A28,PROBAST!$A$6:$AE$77,12,)="High concern","-",IF(HLOOKUP($A28,PROBAST!$A$6:$AE$77,12,)="Unclear","?",""))),"")</f>
        <v/>
      </c>
      <c r="H28" s="152" t="str">
        <f>_xlfn.IFNA(IF(HLOOKUP($A28,PROBAST!$A$6:$AE$77,26,)="Low concern","+",IF(HLOOKUP($A28,PROBAST!$A$6:$AE$77,26,)="High concern","-",IF(HLOOKUP($A28,PROBAST!$A$6:$AE$77,26,)="Unclear","?",""))),"")</f>
        <v/>
      </c>
      <c r="I28" s="153" t="str">
        <f>_xlfn.IFNA(IF(HLOOKUP($A28,PROBAST!$A$6:$AE$77,40,)="Low concern","+",IF(HLOOKUP($A28,PROBAST!$A$6:$AE$77,40,)="High concern","-",IF(HLOOKUP($A28,PROBAST!$A$6:$AE$77,40,)="Unclear","?",""))),"")</f>
        <v/>
      </c>
      <c r="J28" s="155" t="str">
        <f t="shared" si="0"/>
        <v/>
      </c>
      <c r="K28" s="156" t="str">
        <f t="shared" si="1"/>
        <v/>
      </c>
      <c r="L28" s="126"/>
      <c r="M28" s="126"/>
      <c r="N28" s="126"/>
      <c r="O28" s="126"/>
      <c r="P28" s="126"/>
      <c r="Q28" s="126"/>
      <c r="R28" s="126"/>
      <c r="S28" s="126"/>
      <c r="T28" s="126"/>
      <c r="U28" s="126"/>
      <c r="V28" s="126"/>
      <c r="W28" s="126"/>
      <c r="X28" s="126"/>
      <c r="Y28" s="126"/>
      <c r="Z28" s="126"/>
      <c r="AA28" s="126"/>
      <c r="AB28" s="126"/>
      <c r="AC28" s="126"/>
      <c r="AD28" s="126"/>
      <c r="AE28" s="126"/>
      <c r="AF28" s="126"/>
      <c r="AG28" s="126"/>
      <c r="AH28" s="126"/>
    </row>
    <row r="29" spans="1:34" s="127" customFormat="1" ht="15" customHeight="1" x14ac:dyDescent="0.15">
      <c r="A29" s="127" t="str">
        <f>CHARMS!BW$6</f>
        <v/>
      </c>
      <c r="B29" s="188" t="str">
        <f>HLOOKUP($A29,CHARMS!$A$6:$CQ$89,1,)</f>
        <v/>
      </c>
      <c r="C29" s="151" t="str">
        <f>_xlfn.IFNA(IF(HLOOKUP($A29,PROBAST!$A$6:$AE$77,11,)="Low RoB","+",IF(HLOOKUP($A29,PROBAST!$A$6:$AE$77,11,)="High RoB","-",IF(HLOOKUP($A29,PROBAST!$A$6:$AE$77,11,)="Unclear","?",""))),"")</f>
        <v/>
      </c>
      <c r="D29" s="152" t="str">
        <f>_xlfn.IFNA(IF(HLOOKUP($A29,PROBAST!$A$6:$AE$77,25,)="Low RoB","+",IF(HLOOKUP($A29,PROBAST!$A$6:$AE$77,25,)="High RoB","-",IF(HLOOKUP($A29,PROBAST!$A$6:$AE$77,25,)="Unclear","?",""))),"")</f>
        <v/>
      </c>
      <c r="E29" s="152" t="str">
        <f>_xlfn.IFNA(IF(HLOOKUP($A29,PROBAST!$A$6:$AE$77,39,)="Low RoB","+",IF(HLOOKUP($A29,PROBAST!$A$6:$AE$77,39,)="High RoB","-",IF(HLOOKUP($A29,PROBAST!$A$6:$AE$77,39,)="Unclear","?",""))),"")</f>
        <v/>
      </c>
      <c r="F29" s="153" t="str">
        <f>_xlfn.IFNA(IF(HLOOKUP($A29,PROBAST!$A$6:$AE$77,58,)="Low RoB","+",IF(HLOOKUP($A29,PROBAST!$A$6:$AE$77,58,)="High RoB","-",IF(HLOOKUP($A29,PROBAST!$A$6:$AE$77,58,)="Unclear","?",""))),"")</f>
        <v/>
      </c>
      <c r="G29" s="154" t="str">
        <f>_xlfn.IFNA(IF(HLOOKUP($A29,PROBAST!$A$6:$AE$77,12,)="Low concern","+",IF(HLOOKUP($A29,PROBAST!$A$6:$AE$77,12,)="High concern","-",IF(HLOOKUP($A29,PROBAST!$A$6:$AE$77,12,)="Unclear","?",""))),"")</f>
        <v/>
      </c>
      <c r="H29" s="152" t="str">
        <f>_xlfn.IFNA(IF(HLOOKUP($A29,PROBAST!$A$6:$AE$77,26,)="Low concern","+",IF(HLOOKUP($A29,PROBAST!$A$6:$AE$77,26,)="High concern","-",IF(HLOOKUP($A29,PROBAST!$A$6:$AE$77,26,)="Unclear","?",""))),"")</f>
        <v/>
      </c>
      <c r="I29" s="153" t="str">
        <f>_xlfn.IFNA(IF(HLOOKUP($A29,PROBAST!$A$6:$AE$77,40,)="Low concern","+",IF(HLOOKUP($A29,PROBAST!$A$6:$AE$77,40,)="High concern","-",IF(HLOOKUP($A29,PROBAST!$A$6:$AE$77,40,)="Unclear","?",""))),"")</f>
        <v/>
      </c>
      <c r="J29" s="155" t="str">
        <f t="shared" si="0"/>
        <v/>
      </c>
      <c r="K29" s="156" t="str">
        <f t="shared" si="1"/>
        <v/>
      </c>
      <c r="L29" s="126"/>
      <c r="M29" s="126"/>
      <c r="N29" s="126"/>
      <c r="O29" s="126"/>
      <c r="P29" s="126"/>
      <c r="Q29" s="126"/>
      <c r="R29" s="126"/>
      <c r="S29" s="126"/>
      <c r="T29" s="126"/>
      <c r="U29" s="126"/>
      <c r="V29" s="126"/>
      <c r="W29" s="126"/>
      <c r="X29" s="126"/>
      <c r="Y29" s="126"/>
      <c r="Z29" s="126"/>
      <c r="AA29" s="126"/>
      <c r="AB29" s="126"/>
      <c r="AC29" s="126"/>
      <c r="AD29" s="126"/>
      <c r="AE29" s="126"/>
      <c r="AF29" s="126"/>
      <c r="AG29" s="126"/>
      <c r="AH29" s="126"/>
    </row>
    <row r="30" spans="1:34" s="127" customFormat="1" ht="15" customHeight="1" x14ac:dyDescent="0.15">
      <c r="A30" s="127" t="str">
        <f>CHARMS!BZ$6</f>
        <v/>
      </c>
      <c r="B30" s="188" t="str">
        <f>HLOOKUP($A30,CHARMS!$A$6:$CQ$89,1,)</f>
        <v/>
      </c>
      <c r="C30" s="151" t="str">
        <f>_xlfn.IFNA(IF(HLOOKUP($A30,PROBAST!$A$6:$AE$77,11,)="Low RoB","+",IF(HLOOKUP($A30,PROBAST!$A$6:$AE$77,11,)="High RoB","-",IF(HLOOKUP($A30,PROBAST!$A$6:$AE$77,11,)="Unclear","?",""))),"")</f>
        <v/>
      </c>
      <c r="D30" s="152" t="str">
        <f>_xlfn.IFNA(IF(HLOOKUP($A30,PROBAST!$A$6:$AE$77,25,)="Low RoB","+",IF(HLOOKUP($A30,PROBAST!$A$6:$AE$77,25,)="High RoB","-",IF(HLOOKUP($A30,PROBAST!$A$6:$AE$77,25,)="Unclear","?",""))),"")</f>
        <v/>
      </c>
      <c r="E30" s="152" t="str">
        <f>_xlfn.IFNA(IF(HLOOKUP($A30,PROBAST!$A$6:$AE$77,39,)="Low RoB","+",IF(HLOOKUP($A30,PROBAST!$A$6:$AE$77,39,)="High RoB","-",IF(HLOOKUP($A30,PROBAST!$A$6:$AE$77,39,)="Unclear","?",""))),"")</f>
        <v/>
      </c>
      <c r="F30" s="153" t="str">
        <f>_xlfn.IFNA(IF(HLOOKUP($A30,PROBAST!$A$6:$AE$77,58,)="Low RoB","+",IF(HLOOKUP($A30,PROBAST!$A$6:$AE$77,58,)="High RoB","-",IF(HLOOKUP($A30,PROBAST!$A$6:$AE$77,58,)="Unclear","?",""))),"")</f>
        <v/>
      </c>
      <c r="G30" s="154" t="str">
        <f>_xlfn.IFNA(IF(HLOOKUP($A30,PROBAST!$A$6:$AE$77,12,)="Low concern","+",IF(HLOOKUP($A30,PROBAST!$A$6:$AE$77,12,)="High concern","-",IF(HLOOKUP($A30,PROBAST!$A$6:$AE$77,12,)="Unclear","?",""))),"")</f>
        <v/>
      </c>
      <c r="H30" s="152" t="str">
        <f>_xlfn.IFNA(IF(HLOOKUP($A30,PROBAST!$A$6:$AE$77,26,)="Low concern","+",IF(HLOOKUP($A30,PROBAST!$A$6:$AE$77,26,)="High concern","-",IF(HLOOKUP($A30,PROBAST!$A$6:$AE$77,26,)="Unclear","?",""))),"")</f>
        <v/>
      </c>
      <c r="I30" s="153" t="str">
        <f>_xlfn.IFNA(IF(HLOOKUP($A30,PROBAST!$A$6:$AE$77,40,)="Low concern","+",IF(HLOOKUP($A30,PROBAST!$A$6:$AE$77,40,)="High concern","-",IF(HLOOKUP($A30,PROBAST!$A$6:$AE$77,40,)="Unclear","?",""))),"")</f>
        <v/>
      </c>
      <c r="J30" s="155" t="str">
        <f t="shared" si="0"/>
        <v/>
      </c>
      <c r="K30" s="156" t="str">
        <f t="shared" si="1"/>
        <v/>
      </c>
      <c r="L30" s="126"/>
      <c r="M30" s="126"/>
      <c r="N30" s="126"/>
      <c r="O30" s="126"/>
      <c r="P30" s="126"/>
      <c r="Q30" s="126"/>
      <c r="R30" s="126"/>
      <c r="S30" s="126"/>
      <c r="T30" s="126"/>
      <c r="U30" s="126"/>
      <c r="V30" s="126"/>
      <c r="W30" s="126"/>
      <c r="X30" s="126"/>
      <c r="Y30" s="126"/>
      <c r="Z30" s="126"/>
      <c r="AA30" s="126"/>
      <c r="AB30" s="126"/>
      <c r="AC30" s="126"/>
      <c r="AD30" s="126"/>
      <c r="AE30" s="126"/>
      <c r="AF30" s="126"/>
      <c r="AG30" s="126"/>
      <c r="AH30" s="126"/>
    </row>
    <row r="31" spans="1:34" s="127" customFormat="1" ht="15" customHeight="1" x14ac:dyDescent="0.15">
      <c r="A31" s="127" t="str">
        <f>CHARMS!CC$6</f>
        <v/>
      </c>
      <c r="B31" s="188" t="str">
        <f>HLOOKUP($A31,CHARMS!$A$6:$CQ$89,1,)</f>
        <v/>
      </c>
      <c r="C31" s="151" t="str">
        <f>_xlfn.IFNA(IF(HLOOKUP($A31,PROBAST!$A$6:$AE$77,11,)="Low RoB","+",IF(HLOOKUP($A31,PROBAST!$A$6:$AE$77,11,)="High RoB","-",IF(HLOOKUP($A31,PROBAST!$A$6:$AE$77,11,)="Unclear","?",""))),"")</f>
        <v/>
      </c>
      <c r="D31" s="152" t="str">
        <f>_xlfn.IFNA(IF(HLOOKUP($A31,PROBAST!$A$6:$AE$77,25,)="Low RoB","+",IF(HLOOKUP($A31,PROBAST!$A$6:$AE$77,25,)="High RoB","-",IF(HLOOKUP($A31,PROBAST!$A$6:$AE$77,25,)="Unclear","?",""))),"")</f>
        <v/>
      </c>
      <c r="E31" s="152" t="str">
        <f>_xlfn.IFNA(IF(HLOOKUP($A31,PROBAST!$A$6:$AE$77,39,)="Low RoB","+",IF(HLOOKUP($A31,PROBAST!$A$6:$AE$77,39,)="High RoB","-",IF(HLOOKUP($A31,PROBAST!$A$6:$AE$77,39,)="Unclear","?",""))),"")</f>
        <v/>
      </c>
      <c r="F31" s="153" t="str">
        <f>_xlfn.IFNA(IF(HLOOKUP($A31,PROBAST!$A$6:$AE$77,58,)="Low RoB","+",IF(HLOOKUP($A31,PROBAST!$A$6:$AE$77,58,)="High RoB","-",IF(HLOOKUP($A31,PROBAST!$A$6:$AE$77,58,)="Unclear","?",""))),"")</f>
        <v/>
      </c>
      <c r="G31" s="154" t="str">
        <f>_xlfn.IFNA(IF(HLOOKUP($A31,PROBAST!$A$6:$AE$77,12,)="Low concern","+",IF(HLOOKUP($A31,PROBAST!$A$6:$AE$77,12,)="High concern","-",IF(HLOOKUP($A31,PROBAST!$A$6:$AE$77,12,)="Unclear","?",""))),"")</f>
        <v/>
      </c>
      <c r="H31" s="152" t="str">
        <f>_xlfn.IFNA(IF(HLOOKUP($A31,PROBAST!$A$6:$AE$77,26,)="Low concern","+",IF(HLOOKUP($A31,PROBAST!$A$6:$AE$77,26,)="High concern","-",IF(HLOOKUP($A31,PROBAST!$A$6:$AE$77,26,)="Unclear","?",""))),"")</f>
        <v/>
      </c>
      <c r="I31" s="153" t="str">
        <f>_xlfn.IFNA(IF(HLOOKUP($A31,PROBAST!$A$6:$AE$77,40,)="Low concern","+",IF(HLOOKUP($A31,PROBAST!$A$6:$AE$77,40,)="High concern","-",IF(HLOOKUP($A31,PROBAST!$A$6:$AE$77,40,)="Unclear","?",""))),"")</f>
        <v/>
      </c>
      <c r="J31" s="155" t="str">
        <f t="shared" si="0"/>
        <v/>
      </c>
      <c r="K31" s="156" t="str">
        <f t="shared" si="1"/>
        <v/>
      </c>
      <c r="L31" s="126"/>
      <c r="M31" s="126"/>
      <c r="N31" s="126"/>
      <c r="O31" s="126"/>
      <c r="P31" s="126"/>
      <c r="Q31" s="126"/>
      <c r="R31" s="126"/>
      <c r="S31" s="126"/>
      <c r="T31" s="126"/>
      <c r="U31" s="126"/>
      <c r="V31" s="126"/>
      <c r="W31" s="126"/>
      <c r="X31" s="126"/>
      <c r="Y31" s="126"/>
      <c r="Z31" s="126"/>
      <c r="AA31" s="126"/>
      <c r="AB31" s="126"/>
      <c r="AC31" s="126"/>
      <c r="AD31" s="126"/>
      <c r="AE31" s="126"/>
      <c r="AF31" s="126"/>
      <c r="AG31" s="126"/>
      <c r="AH31" s="126"/>
    </row>
    <row r="32" spans="1:34" s="127" customFormat="1" ht="15" customHeight="1" x14ac:dyDescent="0.15">
      <c r="A32" s="127" t="str">
        <f>CHARMS!CF$6</f>
        <v/>
      </c>
      <c r="B32" s="188" t="str">
        <f>HLOOKUP($A32,CHARMS!$A$6:$CQ$89,1,)</f>
        <v/>
      </c>
      <c r="C32" s="151" t="str">
        <f>_xlfn.IFNA(IF(HLOOKUP($A32,PROBAST!$A$6:$AE$77,11,)="Low RoB","+",IF(HLOOKUP($A32,PROBAST!$A$6:$AE$77,11,)="High RoB","-",IF(HLOOKUP($A32,PROBAST!$A$6:$AE$77,11,)="Unclear","?",""))),"")</f>
        <v/>
      </c>
      <c r="D32" s="152" t="str">
        <f>_xlfn.IFNA(IF(HLOOKUP($A32,PROBAST!$A$6:$AE$77,25,)="Low RoB","+",IF(HLOOKUP($A32,PROBAST!$A$6:$AE$77,25,)="High RoB","-",IF(HLOOKUP($A32,PROBAST!$A$6:$AE$77,25,)="Unclear","?",""))),"")</f>
        <v/>
      </c>
      <c r="E32" s="152" t="str">
        <f>_xlfn.IFNA(IF(HLOOKUP($A32,PROBAST!$A$6:$AE$77,39,)="Low RoB","+",IF(HLOOKUP($A32,PROBAST!$A$6:$AE$77,39,)="High RoB","-",IF(HLOOKUP($A32,PROBAST!$A$6:$AE$77,39,)="Unclear","?",""))),"")</f>
        <v/>
      </c>
      <c r="F32" s="153" t="str">
        <f>_xlfn.IFNA(IF(HLOOKUP($A32,PROBAST!$A$6:$AE$77,58,)="Low RoB","+",IF(HLOOKUP($A32,PROBAST!$A$6:$AE$77,58,)="High RoB","-",IF(HLOOKUP($A32,PROBAST!$A$6:$AE$77,58,)="Unclear","?",""))),"")</f>
        <v/>
      </c>
      <c r="G32" s="154" t="str">
        <f>_xlfn.IFNA(IF(HLOOKUP($A32,PROBAST!$A$6:$AE$77,12,)="Low concern","+",IF(HLOOKUP($A32,PROBAST!$A$6:$AE$77,12,)="High concern","-",IF(HLOOKUP($A32,PROBAST!$A$6:$AE$77,12,)="Unclear","?",""))),"")</f>
        <v/>
      </c>
      <c r="H32" s="152" t="str">
        <f>_xlfn.IFNA(IF(HLOOKUP($A32,PROBAST!$A$6:$AE$77,26,)="Low concern","+",IF(HLOOKUP($A32,PROBAST!$A$6:$AE$77,26,)="High concern","-",IF(HLOOKUP($A32,PROBAST!$A$6:$AE$77,26,)="Unclear","?",""))),"")</f>
        <v/>
      </c>
      <c r="I32" s="153" t="str">
        <f>_xlfn.IFNA(IF(HLOOKUP($A32,PROBAST!$A$6:$AE$77,40,)="Low concern","+",IF(HLOOKUP($A32,PROBAST!$A$6:$AE$77,40,)="High concern","-",IF(HLOOKUP($A32,PROBAST!$A$6:$AE$77,40,)="Unclear","?",""))),"")</f>
        <v/>
      </c>
      <c r="J32" s="155" t="str">
        <f t="shared" si="0"/>
        <v/>
      </c>
      <c r="K32" s="156" t="str">
        <f t="shared" si="1"/>
        <v/>
      </c>
      <c r="L32" s="126"/>
      <c r="M32" s="126"/>
      <c r="N32" s="126"/>
      <c r="O32" s="126"/>
      <c r="P32" s="126"/>
      <c r="Q32" s="126"/>
      <c r="R32" s="126"/>
      <c r="S32" s="126"/>
      <c r="T32" s="126"/>
      <c r="U32" s="126"/>
      <c r="V32" s="126"/>
      <c r="W32" s="126"/>
      <c r="X32" s="126"/>
      <c r="Y32" s="126"/>
      <c r="Z32" s="126"/>
      <c r="AA32" s="126"/>
      <c r="AB32" s="126"/>
      <c r="AC32" s="126"/>
      <c r="AD32" s="126"/>
      <c r="AE32" s="126"/>
      <c r="AF32" s="126"/>
      <c r="AG32" s="126"/>
      <c r="AH32" s="126"/>
    </row>
    <row r="33" spans="1:34" s="127" customFormat="1" ht="15" customHeight="1" x14ac:dyDescent="0.15">
      <c r="A33" s="127" t="str">
        <f>CHARMS!CI$6</f>
        <v/>
      </c>
      <c r="B33" s="188" t="str">
        <f>HLOOKUP($A33,CHARMS!$A$6:$CQ$89,1,)</f>
        <v/>
      </c>
      <c r="C33" s="151" t="str">
        <f>_xlfn.IFNA(IF(HLOOKUP($A33,PROBAST!$A$6:$AE$77,11,)="Low RoB","+",IF(HLOOKUP($A33,PROBAST!$A$6:$AE$77,11,)="High RoB","-",IF(HLOOKUP($A33,PROBAST!$A$6:$AE$77,11,)="Unclear","?",""))),"")</f>
        <v/>
      </c>
      <c r="D33" s="152" t="str">
        <f>_xlfn.IFNA(IF(HLOOKUP($A33,PROBAST!$A$6:$AE$77,25,)="Low RoB","+",IF(HLOOKUP($A33,PROBAST!$A$6:$AE$77,25,)="High RoB","-",IF(HLOOKUP($A33,PROBAST!$A$6:$AE$77,25,)="Unclear","?",""))),"")</f>
        <v/>
      </c>
      <c r="E33" s="152" t="str">
        <f>_xlfn.IFNA(IF(HLOOKUP($A33,PROBAST!$A$6:$AE$77,39,)="Low RoB","+",IF(HLOOKUP($A33,PROBAST!$A$6:$AE$77,39,)="High RoB","-",IF(HLOOKUP($A33,PROBAST!$A$6:$AE$77,39,)="Unclear","?",""))),"")</f>
        <v/>
      </c>
      <c r="F33" s="153" t="str">
        <f>_xlfn.IFNA(IF(HLOOKUP($A33,PROBAST!$A$6:$AE$77,58,)="Low RoB","+",IF(HLOOKUP($A33,PROBAST!$A$6:$AE$77,58,)="High RoB","-",IF(HLOOKUP($A33,PROBAST!$A$6:$AE$77,58,)="Unclear","?",""))),"")</f>
        <v/>
      </c>
      <c r="G33" s="154" t="str">
        <f>_xlfn.IFNA(IF(HLOOKUP($A33,PROBAST!$A$6:$AE$77,12,)="Low concern","+",IF(HLOOKUP($A33,PROBAST!$A$6:$AE$77,12,)="High concern","-",IF(HLOOKUP($A33,PROBAST!$A$6:$AE$77,12,)="Unclear","?",""))),"")</f>
        <v/>
      </c>
      <c r="H33" s="152" t="str">
        <f>_xlfn.IFNA(IF(HLOOKUP($A33,PROBAST!$A$6:$AE$77,26,)="Low concern","+",IF(HLOOKUP($A33,PROBAST!$A$6:$AE$77,26,)="High concern","-",IF(HLOOKUP($A33,PROBAST!$A$6:$AE$77,26,)="Unclear","?",""))),"")</f>
        <v/>
      </c>
      <c r="I33" s="153" t="str">
        <f>_xlfn.IFNA(IF(HLOOKUP($A33,PROBAST!$A$6:$AE$77,40,)="Low concern","+",IF(HLOOKUP($A33,PROBAST!$A$6:$AE$77,40,)="High concern","-",IF(HLOOKUP($A33,PROBAST!$A$6:$AE$77,40,)="Unclear","?",""))),"")</f>
        <v/>
      </c>
      <c r="J33" s="155" t="str">
        <f t="shared" si="0"/>
        <v/>
      </c>
      <c r="K33" s="156" t="str">
        <f t="shared" si="1"/>
        <v/>
      </c>
      <c r="L33" s="126"/>
      <c r="M33" s="126"/>
      <c r="N33" s="126"/>
      <c r="O33" s="126"/>
      <c r="P33" s="126"/>
      <c r="Q33" s="126"/>
      <c r="R33" s="126"/>
      <c r="S33" s="126"/>
      <c r="T33" s="126"/>
      <c r="U33" s="126"/>
      <c r="V33" s="126"/>
      <c r="W33" s="126"/>
      <c r="X33" s="126"/>
      <c r="Y33" s="126"/>
      <c r="Z33" s="126"/>
      <c r="AA33" s="126"/>
      <c r="AB33" s="126"/>
      <c r="AC33" s="126"/>
      <c r="AD33" s="126"/>
      <c r="AE33" s="126"/>
      <c r="AF33" s="126"/>
      <c r="AG33" s="126"/>
      <c r="AH33" s="126"/>
    </row>
    <row r="34" spans="1:34" s="127" customFormat="1" ht="15" customHeight="1" x14ac:dyDescent="0.15">
      <c r="A34" s="127" t="str">
        <f>CHARMS!CL$6</f>
        <v/>
      </c>
      <c r="B34" s="188" t="str">
        <f>HLOOKUP($A34,CHARMS!$A$6:$CQ$89,1,)</f>
        <v/>
      </c>
      <c r="C34" s="151" t="str">
        <f>_xlfn.IFNA(IF(HLOOKUP($A34,PROBAST!$A$6:$AE$77,11,)="Low RoB","+",IF(HLOOKUP($A34,PROBAST!$A$6:$AE$77,11,)="High RoB","-",IF(HLOOKUP($A34,PROBAST!$A$6:$AE$77,11,)="Unclear","?",""))),"")</f>
        <v/>
      </c>
      <c r="D34" s="152" t="str">
        <f>_xlfn.IFNA(IF(HLOOKUP($A34,PROBAST!$A$6:$AE$77,25,)="Low RoB","+",IF(HLOOKUP($A34,PROBAST!$A$6:$AE$77,25,)="High RoB","-",IF(HLOOKUP($A34,PROBAST!$A$6:$AE$77,25,)="Unclear","?",""))),"")</f>
        <v/>
      </c>
      <c r="E34" s="152" t="str">
        <f>_xlfn.IFNA(IF(HLOOKUP($A34,PROBAST!$A$6:$AE$77,39,)="Low RoB","+",IF(HLOOKUP($A34,PROBAST!$A$6:$AE$77,39,)="High RoB","-",IF(HLOOKUP($A34,PROBAST!$A$6:$AE$77,39,)="Unclear","?",""))),"")</f>
        <v/>
      </c>
      <c r="F34" s="153" t="str">
        <f>_xlfn.IFNA(IF(HLOOKUP($A34,PROBAST!$A$6:$AE$77,58,)="Low RoB","+",IF(HLOOKUP($A34,PROBAST!$A$6:$AE$77,58,)="High RoB","-",IF(HLOOKUP($A34,PROBAST!$A$6:$AE$77,58,)="Unclear","?",""))),"")</f>
        <v/>
      </c>
      <c r="G34" s="154" t="str">
        <f>_xlfn.IFNA(IF(HLOOKUP($A34,PROBAST!$A$6:$AE$77,12,)="Low concern","+",IF(HLOOKUP($A34,PROBAST!$A$6:$AE$77,12,)="High concern","-",IF(HLOOKUP($A34,PROBAST!$A$6:$AE$77,12,)="Unclear","?",""))),"")</f>
        <v/>
      </c>
      <c r="H34" s="152" t="str">
        <f>_xlfn.IFNA(IF(HLOOKUP($A34,PROBAST!$A$6:$AE$77,26,)="Low concern","+",IF(HLOOKUP($A34,PROBAST!$A$6:$AE$77,26,)="High concern","-",IF(HLOOKUP($A34,PROBAST!$A$6:$AE$77,26,)="Unclear","?",""))),"")</f>
        <v/>
      </c>
      <c r="I34" s="153" t="str">
        <f>_xlfn.IFNA(IF(HLOOKUP($A34,PROBAST!$A$6:$AE$77,40,)="Low concern","+",IF(HLOOKUP($A34,PROBAST!$A$6:$AE$77,40,)="High concern","-",IF(HLOOKUP($A34,PROBAST!$A$6:$AE$77,40,)="Unclear","?",""))),"")</f>
        <v/>
      </c>
      <c r="J34" s="155" t="str">
        <f t="shared" si="0"/>
        <v/>
      </c>
      <c r="K34" s="156" t="str">
        <f t="shared" si="1"/>
        <v/>
      </c>
      <c r="L34" s="126"/>
      <c r="M34" s="126"/>
      <c r="N34" s="126"/>
      <c r="O34" s="126"/>
      <c r="P34" s="126"/>
      <c r="Q34" s="126"/>
      <c r="R34" s="126"/>
      <c r="S34" s="126"/>
      <c r="T34" s="126"/>
      <c r="U34" s="126"/>
      <c r="V34" s="126"/>
      <c r="W34" s="126"/>
      <c r="X34" s="126"/>
      <c r="Y34" s="126"/>
      <c r="Z34" s="126"/>
      <c r="AA34" s="126"/>
      <c r="AB34" s="126"/>
      <c r="AC34" s="126"/>
      <c r="AD34" s="126"/>
      <c r="AE34" s="126"/>
      <c r="AF34" s="126"/>
      <c r="AG34" s="126"/>
      <c r="AH34" s="126"/>
    </row>
    <row r="35" spans="1:34" s="127" customFormat="1" ht="15" customHeight="1" x14ac:dyDescent="0.15">
      <c r="A35" s="127" t="str">
        <f>CHARMS!CO$6</f>
        <v/>
      </c>
      <c r="B35" s="189" t="str">
        <f>HLOOKUP($A35,CHARMS!$A$6:$CQ$89,1,)</f>
        <v/>
      </c>
      <c r="C35" s="158" t="str">
        <f>_xlfn.IFNA(IF(HLOOKUP($A35,PROBAST!$A$6:$AE$77,11,)="Low RoB","+",IF(HLOOKUP($A35,PROBAST!$A$6:$AE$77,11,)="High RoB","-",IF(HLOOKUP($A35,PROBAST!$A$6:$AE$77,11,)="Unclear","?",""))),"")</f>
        <v/>
      </c>
      <c r="D35" s="159" t="str">
        <f>_xlfn.IFNA(IF(HLOOKUP($A35,PROBAST!$A$6:$AE$77,25,)="Low RoB","+",IF(HLOOKUP($A35,PROBAST!$A$6:$AE$77,25,)="High RoB","-",IF(HLOOKUP($A35,PROBAST!$A$6:$AE$77,25,)="Unclear","?",""))),"")</f>
        <v/>
      </c>
      <c r="E35" s="159" t="str">
        <f>_xlfn.IFNA(IF(HLOOKUP($A35,PROBAST!$A$6:$AE$77,39,)="Low RoB","+",IF(HLOOKUP($A35,PROBAST!$A$6:$AE$77,39,)="High RoB","-",IF(HLOOKUP($A35,PROBAST!$A$6:$AE$77,39,)="Unclear","?",""))),"")</f>
        <v/>
      </c>
      <c r="F35" s="160" t="str">
        <f>_xlfn.IFNA(IF(HLOOKUP($A35,PROBAST!$A$6:$AE$77,58,)="Low RoB","+",IF(HLOOKUP($A35,PROBAST!$A$6:$AE$77,58,)="High RoB","-",IF(HLOOKUP($A35,PROBAST!$A$6:$AE$77,58,)="Unclear","?",""))),"")</f>
        <v/>
      </c>
      <c r="G35" s="161" t="str">
        <f>_xlfn.IFNA(IF(HLOOKUP($A35,PROBAST!$A$6:$AE$77,12,)="Low concern","+",IF(HLOOKUP($A35,PROBAST!$A$6:$AE$77,12,)="High concern","-",IF(HLOOKUP($A35,PROBAST!$A$6:$AE$77,12,)="Unclear","?",""))),"")</f>
        <v/>
      </c>
      <c r="H35" s="159" t="str">
        <f>_xlfn.IFNA(IF(HLOOKUP($A35,PROBAST!$A$6:$AE$77,26,)="Low concern","+",IF(HLOOKUP($A35,PROBAST!$A$6:$AE$77,26,)="High concern","-",IF(HLOOKUP($A35,PROBAST!$A$6:$AE$77,26,)="Unclear","?",""))),"")</f>
        <v/>
      </c>
      <c r="I35" s="160" t="str">
        <f>_xlfn.IFNA(IF(HLOOKUP($A35,PROBAST!$A$6:$AE$77,40,)="Low concern","+",IF(HLOOKUP($A35,PROBAST!$A$6:$AE$77,40,)="High concern","-",IF(HLOOKUP($A35,PROBAST!$A$6:$AE$77,40,)="Unclear","?",""))),"")</f>
        <v/>
      </c>
      <c r="J35" s="162" t="str">
        <f t="shared" si="0"/>
        <v/>
      </c>
      <c r="K35" s="163" t="str">
        <f t="shared" si="1"/>
        <v/>
      </c>
      <c r="L35" s="124"/>
      <c r="M35" s="124"/>
      <c r="N35" s="124"/>
      <c r="O35" s="124"/>
      <c r="P35" s="124"/>
      <c r="Q35" s="124"/>
      <c r="R35" s="124"/>
      <c r="S35" s="124"/>
      <c r="T35" s="124"/>
      <c r="U35" s="124"/>
      <c r="V35" s="124"/>
      <c r="W35" s="124"/>
      <c r="X35" s="124"/>
      <c r="Y35" s="124"/>
      <c r="Z35" s="124"/>
      <c r="AA35" s="124"/>
      <c r="AB35" s="124"/>
      <c r="AC35" s="124"/>
      <c r="AD35" s="124"/>
      <c r="AE35" s="124"/>
      <c r="AF35" s="124"/>
      <c r="AG35" s="124"/>
      <c r="AH35" s="124"/>
    </row>
    <row r="36" spans="1:34" s="126" customFormat="1" ht="12" x14ac:dyDescent="0.15">
      <c r="B36" s="164"/>
      <c r="C36" s="164"/>
      <c r="D36" s="164"/>
      <c r="E36" s="164"/>
      <c r="F36" s="164"/>
      <c r="G36" s="164"/>
      <c r="H36" s="164"/>
      <c r="I36" s="164"/>
      <c r="J36" s="164"/>
      <c r="K36" s="164"/>
    </row>
    <row r="37" spans="1:34" s="126" customFormat="1" ht="15" customHeight="1" x14ac:dyDescent="0.15">
      <c r="B37" s="164"/>
      <c r="C37" s="157">
        <f t="shared" ref="C37:J37" si="2">COUNTIF(C$6:C$35,"+")/SUM(COUNTIF(C$6:C$35,"+"),COUNTIF(C$6:C$35,"-"),30-COUNTIF(C$6:C$35,"")-SUM(COUNTIF(C$6:C$35,"+"),COUNTIF(C$6:C$35,"-")))</f>
        <v>0.75</v>
      </c>
      <c r="D37" s="157">
        <f t="shared" si="2"/>
        <v>1</v>
      </c>
      <c r="E37" s="157">
        <f t="shared" si="2"/>
        <v>0.91666666666666663</v>
      </c>
      <c r="F37" s="157">
        <f t="shared" si="2"/>
        <v>0.16666666666666666</v>
      </c>
      <c r="G37" s="157">
        <f t="shared" si="2"/>
        <v>0.83333333333333337</v>
      </c>
      <c r="H37" s="157">
        <f t="shared" si="2"/>
        <v>1</v>
      </c>
      <c r="I37" s="157">
        <f t="shared" si="2"/>
        <v>0.91666666666666663</v>
      </c>
      <c r="J37" s="157">
        <f t="shared" si="2"/>
        <v>0.16666666666666666</v>
      </c>
      <c r="K37" s="157">
        <f>COUNTIF(K$6:K$35,"+")/SUM(COUNTIF(K$6:K$35,"+"),COUNTIF(K$6:K$35,"-"),30-COUNTIF(K$6:K$35,"")-SUM(COUNTIF(K$6:K$35,"+"),COUNTIF(K$6:K$35,"-")))</f>
        <v>0.83333333333333337</v>
      </c>
    </row>
    <row r="38" spans="1:34" s="126" customFormat="1" ht="15" customHeight="1" x14ac:dyDescent="0.15">
      <c r="B38" s="164"/>
      <c r="C38" s="157">
        <f t="shared" ref="C38:J38" si="3">COUNTIF(C$6:C$35,"-")/SUM(COUNTIF(C$6:C$35,"+"),COUNTIF(C$6:C$35,"-"),30-COUNTIF(C$6:C$35,"")-SUM(COUNTIF(C$6:C$35,"+"),COUNTIF(C$6:C$35,"-")))</f>
        <v>0.25</v>
      </c>
      <c r="D38" s="157">
        <f t="shared" si="3"/>
        <v>0</v>
      </c>
      <c r="E38" s="157">
        <f t="shared" si="3"/>
        <v>0</v>
      </c>
      <c r="F38" s="157">
        <f t="shared" si="3"/>
        <v>0.66666666666666663</v>
      </c>
      <c r="G38" s="157">
        <f t="shared" si="3"/>
        <v>0.16666666666666666</v>
      </c>
      <c r="H38" s="157">
        <f t="shared" si="3"/>
        <v>0</v>
      </c>
      <c r="I38" s="157">
        <f t="shared" si="3"/>
        <v>0</v>
      </c>
      <c r="J38" s="157">
        <f t="shared" si="3"/>
        <v>0.75</v>
      </c>
      <c r="K38" s="157">
        <f>COUNTIF(K$6:K$35,"-")/SUM(COUNTIF(K$6:K$35,"+"),COUNTIF(K$6:K$35,"-"),30-COUNTIF(K$6:K$35,"")-SUM(COUNTIF(K$6:K$35,"+"),COUNTIF(K$6:K$35,"-")))</f>
        <v>0.16666666666666666</v>
      </c>
    </row>
    <row r="39" spans="1:34" x14ac:dyDescent="0.2">
      <c r="B39" s="165"/>
      <c r="C39" s="157">
        <f t="shared" ref="C39:J39" si="4">1-C38-C37</f>
        <v>0</v>
      </c>
      <c r="D39" s="157">
        <f t="shared" si="4"/>
        <v>0</v>
      </c>
      <c r="E39" s="157">
        <f t="shared" si="4"/>
        <v>8.333333333333337E-2</v>
      </c>
      <c r="F39" s="157">
        <f t="shared" si="4"/>
        <v>0.16666666666666671</v>
      </c>
      <c r="G39" s="157">
        <f t="shared" si="4"/>
        <v>0</v>
      </c>
      <c r="H39" s="157">
        <f t="shared" si="4"/>
        <v>0</v>
      </c>
      <c r="I39" s="157">
        <f t="shared" si="4"/>
        <v>8.333333333333337E-2</v>
      </c>
      <c r="J39" s="157">
        <f t="shared" si="4"/>
        <v>8.3333333333333343E-2</v>
      </c>
      <c r="K39" s="157">
        <f>1-K38-K37</f>
        <v>0</v>
      </c>
    </row>
    <row r="40" spans="1:34" x14ac:dyDescent="0.2">
      <c r="B40" s="165"/>
      <c r="C40" s="165"/>
      <c r="D40" s="165"/>
      <c r="E40" s="165"/>
      <c r="F40" s="165"/>
      <c r="G40" s="165"/>
      <c r="H40" s="165"/>
      <c r="I40" s="165"/>
      <c r="J40" s="165"/>
      <c r="K40" s="165"/>
    </row>
    <row r="41" spans="1:34" x14ac:dyDescent="0.2">
      <c r="B41" s="165"/>
      <c r="C41" s="165"/>
      <c r="D41" s="165"/>
      <c r="E41" s="165"/>
      <c r="F41" s="165"/>
      <c r="G41" s="165"/>
      <c r="H41" s="165"/>
      <c r="I41" s="165"/>
      <c r="J41" s="165"/>
      <c r="K41" s="165"/>
    </row>
  </sheetData>
  <sheetProtection password="8015" sheet="1" objects="1" scenarios="1"/>
  <mergeCells count="5">
    <mergeCell ref="J4:K4"/>
    <mergeCell ref="C4:F4"/>
    <mergeCell ref="G4:I4"/>
    <mergeCell ref="B4:B5"/>
    <mergeCell ref="B3:K3"/>
  </mergeCells>
  <conditionalFormatting sqref="B6:B35">
    <cfRule type="cellIs" dxfId="6" priority="3" operator="equal">
      <formula>0</formula>
    </cfRule>
  </conditionalFormatting>
  <conditionalFormatting sqref="B6:K35">
    <cfRule type="expression" dxfId="5" priority="1">
      <formula>$A6&lt;&gt;""</formula>
    </cfRule>
    <cfRule type="expression" dxfId="4" priority="2">
      <formula>$A6=""</formula>
    </cfRule>
  </conditionalFormatting>
  <conditionalFormatting sqref="C6:K35">
    <cfRule type="cellIs" dxfId="3" priority="4" operator="equal">
      <formula>"?"</formula>
    </cfRule>
    <cfRule type="cellIs" dxfId="2" priority="5" operator="equal">
      <formula>"+"</formula>
    </cfRule>
    <cfRule type="cellIs" dxfId="1" priority="6" operator="equal">
      <formula>"-"</formula>
    </cfRule>
  </conditionalFormatting>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F061D2-8488-462F-AC9B-4F69EC058080}">
  <sheetPr codeName="Hoja7">
    <tabColor theme="7" tint="0.79998168889431442"/>
  </sheetPr>
  <dimension ref="A1:K30"/>
  <sheetViews>
    <sheetView topLeftCell="C1" zoomScale="180" zoomScaleNormal="180" workbookViewId="0">
      <selection activeCell="E8" sqref="E8"/>
    </sheetView>
  </sheetViews>
  <sheetFormatPr baseColWidth="10" defaultColWidth="11.5" defaultRowHeight="15" x14ac:dyDescent="0.2"/>
  <cols>
    <col min="1" max="11" width="28.5" style="177" customWidth="1"/>
    <col min="12" max="13" width="21.5" style="177" customWidth="1"/>
    <col min="14" max="16384" width="11.5" style="177"/>
  </cols>
  <sheetData>
    <row r="1" spans="1:11" ht="15.75" customHeight="1" x14ac:dyDescent="0.2">
      <c r="A1" s="181" t="s">
        <v>284</v>
      </c>
      <c r="B1" s="181"/>
    </row>
    <row r="2" spans="1:11" ht="15.75" customHeight="1" x14ac:dyDescent="0.2"/>
    <row r="3" spans="1:11" ht="15.75" customHeight="1" x14ac:dyDescent="0.2">
      <c r="A3" s="178" t="s">
        <v>249</v>
      </c>
      <c r="B3" s="178"/>
      <c r="C3" s="178"/>
      <c r="D3" s="178"/>
      <c r="E3" s="178"/>
      <c r="F3" s="178"/>
      <c r="G3" s="178"/>
      <c r="H3" s="178"/>
      <c r="I3" s="178"/>
      <c r="J3" s="178"/>
      <c r="K3" s="178"/>
    </row>
    <row r="4" spans="1:11" ht="47.25" customHeight="1" x14ac:dyDescent="0.2">
      <c r="A4" s="180" t="s">
        <v>39</v>
      </c>
      <c r="B4" s="180" t="s">
        <v>250</v>
      </c>
      <c r="C4" s="180" t="s">
        <v>68</v>
      </c>
      <c r="D4" s="180" t="s">
        <v>87</v>
      </c>
      <c r="E4" s="180" t="s">
        <v>90</v>
      </c>
      <c r="F4" s="180" t="s">
        <v>251</v>
      </c>
      <c r="G4" s="180" t="s">
        <v>96</v>
      </c>
      <c r="H4" s="180" t="s">
        <v>127</v>
      </c>
      <c r="I4" s="180" t="s">
        <v>131</v>
      </c>
      <c r="J4" s="180" t="s">
        <v>137</v>
      </c>
      <c r="K4" s="180" t="s">
        <v>141</v>
      </c>
    </row>
    <row r="5" spans="1:11" ht="15.75" customHeight="1" x14ac:dyDescent="0.2">
      <c r="A5" s="179" t="s">
        <v>252</v>
      </c>
      <c r="B5" s="179" t="s">
        <v>253</v>
      </c>
      <c r="C5" s="179" t="s">
        <v>69</v>
      </c>
      <c r="D5" s="179" t="s">
        <v>88</v>
      </c>
      <c r="E5" s="179" t="s">
        <v>91</v>
      </c>
      <c r="F5" s="179" t="s">
        <v>254</v>
      </c>
      <c r="G5" s="179" t="s">
        <v>255</v>
      </c>
      <c r="H5" s="179" t="s">
        <v>129</v>
      </c>
      <c r="I5" s="179" t="s">
        <v>132</v>
      </c>
      <c r="J5" s="179" t="s">
        <v>132</v>
      </c>
      <c r="K5" s="179" t="s">
        <v>132</v>
      </c>
    </row>
    <row r="6" spans="1:11" ht="15.75" customHeight="1" x14ac:dyDescent="0.2">
      <c r="A6" s="179" t="s">
        <v>41</v>
      </c>
      <c r="B6" s="179" t="s">
        <v>60</v>
      </c>
      <c r="C6" s="179" t="s">
        <v>256</v>
      </c>
      <c r="D6" s="179" t="s">
        <v>257</v>
      </c>
      <c r="E6" s="179" t="s">
        <v>258</v>
      </c>
      <c r="F6" s="179" t="s">
        <v>95</v>
      </c>
      <c r="G6" s="179" t="s">
        <v>98</v>
      </c>
      <c r="H6" s="179" t="s">
        <v>128</v>
      </c>
      <c r="I6" s="179" t="s">
        <v>259</v>
      </c>
      <c r="J6" s="179" t="s">
        <v>139</v>
      </c>
      <c r="K6" s="179" t="s">
        <v>260</v>
      </c>
    </row>
    <row r="7" spans="1:11" ht="15.75" customHeight="1" x14ac:dyDescent="0.2">
      <c r="A7" s="179" t="s">
        <v>261</v>
      </c>
      <c r="B7" s="179" t="s">
        <v>262</v>
      </c>
      <c r="C7" s="179" t="s">
        <v>51</v>
      </c>
      <c r="D7" s="179" t="s">
        <v>263</v>
      </c>
      <c r="E7" s="179" t="s">
        <v>264</v>
      </c>
      <c r="F7" s="179" t="s">
        <v>93</v>
      </c>
      <c r="G7" s="179" t="s">
        <v>265</v>
      </c>
      <c r="H7" s="179" t="s">
        <v>266</v>
      </c>
      <c r="I7" s="179" t="s">
        <v>133</v>
      </c>
      <c r="J7" s="179" t="s">
        <v>138</v>
      </c>
      <c r="K7" s="179" t="s">
        <v>143</v>
      </c>
    </row>
    <row r="8" spans="1:11" ht="15.75" customHeight="1" x14ac:dyDescent="0.2">
      <c r="A8" s="179" t="s">
        <v>267</v>
      </c>
      <c r="B8" s="179" t="s">
        <v>59</v>
      </c>
      <c r="C8" s="179" t="s">
        <v>46</v>
      </c>
      <c r="D8" s="179" t="s">
        <v>62</v>
      </c>
      <c r="E8" s="179" t="s">
        <v>268</v>
      </c>
      <c r="F8" s="179" t="s">
        <v>62</v>
      </c>
      <c r="G8" s="179" t="s">
        <v>97</v>
      </c>
      <c r="H8" s="179" t="s">
        <v>269</v>
      </c>
      <c r="I8" s="179" t="s">
        <v>270</v>
      </c>
      <c r="J8" s="179" t="s">
        <v>51</v>
      </c>
      <c r="K8" s="179" t="s">
        <v>271</v>
      </c>
    </row>
    <row r="9" spans="1:11" ht="15.75" customHeight="1" x14ac:dyDescent="0.2">
      <c r="A9" s="179" t="s">
        <v>40</v>
      </c>
      <c r="B9" s="179" t="s">
        <v>272</v>
      </c>
      <c r="C9" s="182" t="s">
        <v>322</v>
      </c>
      <c r="D9" s="182" t="s">
        <v>51</v>
      </c>
      <c r="E9" s="182" t="s">
        <v>274</v>
      </c>
      <c r="F9" s="182" t="s">
        <v>51</v>
      </c>
      <c r="G9" s="182" t="s">
        <v>275</v>
      </c>
      <c r="H9" s="179" t="s">
        <v>130</v>
      </c>
      <c r="I9" s="179" t="s">
        <v>276</v>
      </c>
      <c r="J9" s="179" t="s">
        <v>46</v>
      </c>
      <c r="K9" s="179" t="s">
        <v>142</v>
      </c>
    </row>
    <row r="10" spans="1:11" ht="15.75" customHeight="1" x14ac:dyDescent="0.2">
      <c r="A10" s="179" t="s">
        <v>277</v>
      </c>
      <c r="B10" s="179" t="s">
        <v>61</v>
      </c>
      <c r="C10" s="182" t="s">
        <v>273</v>
      </c>
      <c r="D10" s="182" t="s">
        <v>46</v>
      </c>
      <c r="E10" s="182" t="s">
        <v>62</v>
      </c>
      <c r="F10" s="182" t="s">
        <v>46</v>
      </c>
      <c r="G10" s="182" t="s">
        <v>278</v>
      </c>
      <c r="H10" s="179" t="s">
        <v>62</v>
      </c>
      <c r="I10" s="179" t="s">
        <v>279</v>
      </c>
      <c r="J10" s="182" t="s">
        <v>273</v>
      </c>
      <c r="K10" s="179" t="s">
        <v>280</v>
      </c>
    </row>
    <row r="11" spans="1:11" ht="15.75" customHeight="1" x14ac:dyDescent="0.2">
      <c r="A11" s="179" t="s">
        <v>281</v>
      </c>
      <c r="B11" s="179" t="s">
        <v>62</v>
      </c>
      <c r="C11" s="182" t="s">
        <v>273</v>
      </c>
      <c r="D11" s="182" t="s">
        <v>323</v>
      </c>
      <c r="E11" s="182" t="s">
        <v>51</v>
      </c>
      <c r="F11" s="182" t="s">
        <v>94</v>
      </c>
      <c r="G11" s="182" t="s">
        <v>99</v>
      </c>
      <c r="H11" s="179" t="s">
        <v>51</v>
      </c>
      <c r="I11" s="179" t="s">
        <v>62</v>
      </c>
      <c r="J11" s="182" t="s">
        <v>273</v>
      </c>
      <c r="K11" s="179" t="s">
        <v>282</v>
      </c>
    </row>
    <row r="12" spans="1:11" ht="15.75" customHeight="1" x14ac:dyDescent="0.2">
      <c r="A12" s="179" t="s">
        <v>283</v>
      </c>
      <c r="B12" s="179" t="s">
        <v>51</v>
      </c>
      <c r="C12" s="182" t="s">
        <v>273</v>
      </c>
      <c r="D12" s="182" t="s">
        <v>324</v>
      </c>
      <c r="E12" s="182" t="s">
        <v>46</v>
      </c>
      <c r="F12" s="182" t="s">
        <v>273</v>
      </c>
      <c r="G12" s="179" t="s">
        <v>62</v>
      </c>
      <c r="H12" s="179" t="s">
        <v>46</v>
      </c>
      <c r="I12" s="179" t="s">
        <v>51</v>
      </c>
      <c r="J12" s="182" t="s">
        <v>273</v>
      </c>
      <c r="K12" s="179" t="s">
        <v>62</v>
      </c>
    </row>
    <row r="13" spans="1:11" ht="15.75" customHeight="1" x14ac:dyDescent="0.2">
      <c r="A13" s="179" t="s">
        <v>62</v>
      </c>
      <c r="B13" s="179" t="s">
        <v>46</v>
      </c>
      <c r="C13" s="182" t="s">
        <v>273</v>
      </c>
      <c r="D13" s="182" t="s">
        <v>273</v>
      </c>
      <c r="E13" s="182" t="s">
        <v>498</v>
      </c>
      <c r="F13" s="182" t="s">
        <v>273</v>
      </c>
      <c r="G13" s="182" t="s">
        <v>51</v>
      </c>
      <c r="H13" s="182" t="s">
        <v>327</v>
      </c>
      <c r="I13" s="179" t="s">
        <v>46</v>
      </c>
      <c r="J13" s="182" t="s">
        <v>273</v>
      </c>
      <c r="K13" s="179" t="s">
        <v>51</v>
      </c>
    </row>
    <row r="14" spans="1:11" ht="15.75" customHeight="1" x14ac:dyDescent="0.2">
      <c r="A14" s="179" t="s">
        <v>51</v>
      </c>
      <c r="B14" s="182" t="s">
        <v>273</v>
      </c>
      <c r="C14" s="2"/>
      <c r="D14" s="182" t="s">
        <v>273</v>
      </c>
      <c r="E14" s="182" t="s">
        <v>499</v>
      </c>
      <c r="F14" s="182" t="s">
        <v>273</v>
      </c>
      <c r="G14" s="182" t="s">
        <v>46</v>
      </c>
      <c r="H14" s="182" t="s">
        <v>457</v>
      </c>
      <c r="I14" s="182" t="s">
        <v>326</v>
      </c>
      <c r="J14" s="182" t="s">
        <v>273</v>
      </c>
      <c r="K14" s="179" t="s">
        <v>46</v>
      </c>
    </row>
    <row r="15" spans="1:11" ht="15.75" customHeight="1" x14ac:dyDescent="0.2">
      <c r="A15" s="179" t="s">
        <v>46</v>
      </c>
      <c r="B15" s="182" t="s">
        <v>273</v>
      </c>
      <c r="C15" s="2"/>
      <c r="D15" s="182" t="s">
        <v>273</v>
      </c>
      <c r="E15" s="182" t="s">
        <v>295</v>
      </c>
      <c r="F15" s="182" t="s">
        <v>273</v>
      </c>
      <c r="G15" s="182" t="s">
        <v>345</v>
      </c>
      <c r="H15" s="182" t="s">
        <v>273</v>
      </c>
      <c r="I15" s="182" t="s">
        <v>437</v>
      </c>
      <c r="J15" s="2"/>
      <c r="K15" s="182" t="s">
        <v>447</v>
      </c>
    </row>
    <row r="16" spans="1:11" ht="15.75" customHeight="1" x14ac:dyDescent="0.2">
      <c r="A16" s="182" t="s">
        <v>441</v>
      </c>
      <c r="B16" s="182" t="s">
        <v>273</v>
      </c>
      <c r="C16" s="2"/>
      <c r="D16" s="2"/>
      <c r="E16" s="182" t="s">
        <v>500</v>
      </c>
      <c r="F16" s="2"/>
      <c r="G16" s="182" t="s">
        <v>325</v>
      </c>
      <c r="H16" s="182" t="s">
        <v>273</v>
      </c>
      <c r="I16" s="182" t="s">
        <v>273</v>
      </c>
      <c r="J16" s="2"/>
      <c r="K16" s="182" t="s">
        <v>273</v>
      </c>
    </row>
    <row r="17" spans="1:11" ht="15.75" customHeight="1" x14ac:dyDescent="0.2">
      <c r="A17" s="182" t="s">
        <v>273</v>
      </c>
      <c r="B17" s="182" t="s">
        <v>273</v>
      </c>
      <c r="C17" s="2"/>
      <c r="D17" s="2"/>
      <c r="E17" s="182" t="s">
        <v>501</v>
      </c>
      <c r="F17" s="2"/>
      <c r="G17" s="182" t="s">
        <v>273</v>
      </c>
      <c r="H17" s="182" t="s">
        <v>273</v>
      </c>
      <c r="I17" s="182" t="s">
        <v>273</v>
      </c>
      <c r="J17" s="2"/>
      <c r="K17" s="182" t="s">
        <v>273</v>
      </c>
    </row>
    <row r="18" spans="1:11" ht="15.75" customHeight="1" x14ac:dyDescent="0.2">
      <c r="A18" s="182" t="s">
        <v>273</v>
      </c>
      <c r="B18" s="182" t="s">
        <v>273</v>
      </c>
      <c r="C18" s="2"/>
      <c r="D18" s="2"/>
      <c r="E18" s="2"/>
      <c r="F18" s="2"/>
      <c r="G18" s="182" t="s">
        <v>273</v>
      </c>
      <c r="H18" s="2"/>
      <c r="I18" s="182" t="s">
        <v>273</v>
      </c>
      <c r="J18" s="2"/>
      <c r="K18" s="182" t="s">
        <v>273</v>
      </c>
    </row>
    <row r="19" spans="1:11" ht="15.75" customHeight="1" x14ac:dyDescent="0.2">
      <c r="A19" s="182" t="s">
        <v>273</v>
      </c>
      <c r="B19" s="183"/>
      <c r="C19" s="2"/>
      <c r="D19" s="2"/>
      <c r="E19" s="2"/>
      <c r="F19" s="2"/>
      <c r="G19" s="182" t="s">
        <v>273</v>
      </c>
      <c r="H19" s="2"/>
      <c r="I19" s="2"/>
      <c r="J19" s="2"/>
      <c r="K19" s="182" t="s">
        <v>273</v>
      </c>
    </row>
    <row r="20" spans="1:11" ht="15.75" customHeight="1" x14ac:dyDescent="0.2">
      <c r="A20" s="182" t="s">
        <v>273</v>
      </c>
      <c r="B20" s="183"/>
      <c r="C20" s="2"/>
      <c r="D20" s="2"/>
      <c r="E20" s="2"/>
      <c r="F20" s="2"/>
      <c r="G20" s="2"/>
      <c r="H20" s="2"/>
      <c r="I20" s="2"/>
      <c r="J20" s="2"/>
      <c r="K20" s="2"/>
    </row>
    <row r="21" spans="1:11" ht="15.75" customHeight="1" x14ac:dyDescent="0.2">
      <c r="A21" s="35"/>
      <c r="B21" s="35"/>
    </row>
    <row r="22" spans="1:11" ht="15.75" customHeight="1" x14ac:dyDescent="0.2">
      <c r="A22" s="35"/>
      <c r="B22" s="35"/>
    </row>
    <row r="23" spans="1:11" ht="15.75" customHeight="1" x14ac:dyDescent="0.2">
      <c r="A23" s="35"/>
      <c r="B23" s="35"/>
    </row>
    <row r="24" spans="1:11" ht="15.75" customHeight="1" x14ac:dyDescent="0.2">
      <c r="A24" s="35"/>
      <c r="B24" s="35"/>
    </row>
    <row r="25" spans="1:11" ht="15.75" customHeight="1" x14ac:dyDescent="0.2">
      <c r="A25" s="35"/>
      <c r="B25" s="35"/>
    </row>
    <row r="26" spans="1:11" ht="15.75" customHeight="1" x14ac:dyDescent="0.2">
      <c r="A26" s="35"/>
      <c r="B26" s="35"/>
    </row>
    <row r="27" spans="1:11" ht="15.75" customHeight="1" x14ac:dyDescent="0.2">
      <c r="A27" s="35"/>
      <c r="B27" s="35"/>
    </row>
    <row r="28" spans="1:11" ht="15.75" customHeight="1" x14ac:dyDescent="0.2">
      <c r="A28" s="35"/>
      <c r="B28" s="35"/>
    </row>
    <row r="29" spans="1:11" ht="15.75" customHeight="1" x14ac:dyDescent="0.2">
      <c r="A29" s="35"/>
      <c r="B29" s="35"/>
    </row>
    <row r="30" spans="1:11" ht="15.75" customHeight="1" x14ac:dyDescent="0.2">
      <c r="A30" s="35"/>
      <c r="B30" s="35"/>
    </row>
  </sheetData>
  <sheetProtection password="8015" sheet="1" objects="1" scenarios="1"/>
  <conditionalFormatting sqref="A5:K20">
    <cfRule type="cellIs" dxfId="0" priority="1" operator="equal">
      <formula>"(Add field)"</formula>
    </cfRule>
  </conditionalFormatting>
  <pageMargins left="0.7" right="0.7" top="0.75" bottom="0.75" header="0.3" footer="0.3"/>
  <pageSetup paperSize="9" orientation="portrait" horizontalDpi="4294967295" verticalDpi="4294967295"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5D9E1685CA03ED48826C047F6C774DBC" ma:contentTypeVersion="4" ma:contentTypeDescription="Crear nuevo documento." ma:contentTypeScope="" ma:versionID="61a7bf931ee0c0ed87a6196b75be45eb">
  <xsd:schema xmlns:xsd="http://www.w3.org/2001/XMLSchema" xmlns:xs="http://www.w3.org/2001/XMLSchema" xmlns:p="http://schemas.microsoft.com/office/2006/metadata/properties" xmlns:ns2="ae1d1468-2b29-4b51-8809-6bac28721d06" targetNamespace="http://schemas.microsoft.com/office/2006/metadata/properties" ma:root="true" ma:fieldsID="7f6e793b0077c1eb41342dbed7d6f391" ns2:_="">
    <xsd:import namespace="ae1d1468-2b29-4b51-8809-6bac28721d0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e1d1468-2b29-4b51-8809-6bac28721d0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39A5D6B-EC2E-4F49-BA55-D4DCBE319A2F}">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151B6744-8ABE-4CAA-BDFE-1DB2AEA1D63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e1d1468-2b29-4b51-8809-6bac28721d0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DC75C99-1C92-4261-9CD0-BA06D6BB2C1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8</vt:i4>
      </vt:variant>
    </vt:vector>
  </HeadingPairs>
  <TitlesOfParts>
    <vt:vector size="8" baseType="lpstr">
      <vt:lpstr>HOME</vt:lpstr>
      <vt:lpstr>SUMMARY</vt:lpstr>
      <vt:lpstr>CHARMS</vt:lpstr>
      <vt:lpstr>PROBAST</vt:lpstr>
      <vt:lpstr>Study Characteristics</vt:lpstr>
      <vt:lpstr>Model characteristics</vt:lpstr>
      <vt:lpstr>PROBAST summary</vt:lpstr>
      <vt:lpstr>CHARMS.Drop-down response lists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Borja Fernandez</dc:creator>
  <cp:keywords/>
  <dc:description/>
  <cp:lastModifiedBy>Kwarah Williams</cp:lastModifiedBy>
  <cp:revision/>
  <dcterms:created xsi:type="dcterms:W3CDTF">2019-06-28T08:05:43Z</dcterms:created>
  <dcterms:modified xsi:type="dcterms:W3CDTF">2025-01-10T15:46:48Z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0x0101005D9E1685CA03ED48826C047F6C774DBC</vt:lpwstr>
  </property>
</Properties>
</file>