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engel/Desktop/Translationale Lymphomforschung/Publications/Ríos et al._methods/Sci Rep/"/>
    </mc:Choice>
  </mc:AlternateContent>
  <xr:revisionPtr revIDLastSave="0" documentId="13_ncr:1_{D33B853C-F01E-3A49-8D6D-BDCF5A51EE98}" xr6:coauthVersionLast="47" xr6:coauthVersionMax="47" xr10:uidLastSave="{00000000-0000-0000-0000-000000000000}"/>
  <bookViews>
    <workbookView xWindow="0" yWindow="500" windowWidth="27040" windowHeight="14340" tabRatio="500" activeTab="1" xr2:uid="{00000000-000D-0000-FFFF-FFFF00000000}"/>
  </bookViews>
  <sheets>
    <sheet name="S9a Cost summary" sheetId="1" r:id="rId1"/>
    <sheet name="S9b Reagents, Solu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2" l="1"/>
  <c r="D19" i="1" l="1"/>
  <c r="F19" i="1"/>
  <c r="F20" i="1"/>
  <c r="H20" i="1" s="1"/>
  <c r="H31" i="2"/>
  <c r="D26" i="2"/>
  <c r="H24" i="2"/>
  <c r="D19" i="2" s="1"/>
  <c r="H17" i="2"/>
  <c r="H16" i="2"/>
  <c r="F15" i="2"/>
  <c r="H15" i="2" s="1"/>
  <c r="H11" i="2"/>
  <c r="H10" i="2"/>
  <c r="F10" i="2"/>
  <c r="H6" i="2"/>
  <c r="F5" i="2"/>
  <c r="H5" i="2" s="1"/>
  <c r="D3" i="2" s="1"/>
  <c r="H46" i="1"/>
  <c r="H44" i="1"/>
  <c r="H41" i="1"/>
  <c r="H39" i="1"/>
  <c r="H38" i="1"/>
  <c r="H32" i="1"/>
  <c r="H31" i="1"/>
  <c r="F30" i="1"/>
  <c r="H30" i="1" s="1"/>
  <c r="H29" i="1"/>
  <c r="H28" i="1"/>
  <c r="H15" i="1"/>
  <c r="H14" i="1"/>
  <c r="H13" i="1"/>
  <c r="H12" i="1"/>
  <c r="H11" i="1"/>
  <c r="H7" i="1"/>
  <c r="H6" i="1"/>
  <c r="H5" i="1"/>
  <c r="H24" i="1"/>
  <c r="H23" i="1"/>
  <c r="F22" i="1"/>
  <c r="H22" i="1" s="1"/>
  <c r="D13" i="2" l="1"/>
  <c r="H34" i="1"/>
  <c r="H19" i="1"/>
  <c r="H17" i="1" s="1"/>
  <c r="H26" i="1"/>
  <c r="H9" i="1"/>
  <c r="H51" i="1" s="1"/>
  <c r="H3" i="1"/>
  <c r="F5" i="1"/>
  <c r="F29" i="1"/>
</calcChain>
</file>

<file path=xl/sharedStrings.xml><?xml version="1.0" encoding="utf-8"?>
<sst xmlns="http://schemas.openxmlformats.org/spreadsheetml/2006/main" count="260" uniqueCount="108">
  <si>
    <t>Notes (if reuse possible):</t>
  </si>
  <si>
    <t>material</t>
  </si>
  <si>
    <t>number</t>
  </si>
  <si>
    <t>manufactor</t>
  </si>
  <si>
    <t>amount</t>
  </si>
  <si>
    <t>unit</t>
  </si>
  <si>
    <t>costs</t>
  </si>
  <si>
    <t xml:space="preserve">nedded amount </t>
  </si>
  <si>
    <t>final cost</t>
  </si>
  <si>
    <t>Total cost per sample using DGUC+SEC+UF
(SEC=Sepharose CL-4B)</t>
  </si>
  <si>
    <t>SEPHAROSE CL-4B</t>
  </si>
  <si>
    <t>CL4B200-100ML</t>
  </si>
  <si>
    <t>SUPELCO</t>
  </si>
  <si>
    <t>mL</t>
  </si>
  <si>
    <t xml:space="preserve">10x use </t>
  </si>
  <si>
    <t>Econo-Column 1.5 x 20 cm</t>
  </si>
  <si>
    <t>Bio-Rad Laboratories</t>
  </si>
  <si>
    <t>columns</t>
  </si>
  <si>
    <t>100x use</t>
  </si>
  <si>
    <t>1x PBS</t>
  </si>
  <si>
    <t>L</t>
  </si>
  <si>
    <t>Amicon Ultra-15 10kD</t>
  </si>
  <si>
    <t>UFC901096</t>
  </si>
  <si>
    <t>Merck</t>
  </si>
  <si>
    <t>ultrafilter units</t>
  </si>
  <si>
    <t>NaOH 0,5M</t>
  </si>
  <si>
    <t>1mL</t>
  </si>
  <si>
    <t>NaN3 0,05% in PBS</t>
  </si>
  <si>
    <t>Seton UZ tubes</t>
  </si>
  <si>
    <t>S5031</t>
  </si>
  <si>
    <t>Seton</t>
  </si>
  <si>
    <t>tubes</t>
  </si>
  <si>
    <t>once per year</t>
  </si>
  <si>
    <t>/120</t>
  </si>
  <si>
    <t>Optiprep</t>
  </si>
  <si>
    <t>D1556</t>
  </si>
  <si>
    <t>Sigma Aldrich</t>
  </si>
  <si>
    <t> 250</t>
  </si>
  <si>
    <t>Buffer 1</t>
  </si>
  <si>
    <t>Buffer2</t>
  </si>
  <si>
    <t>SEC Izon column qEV2</t>
  </si>
  <si>
    <t>qEV2 Columns</t>
  </si>
  <si>
    <t> IC2-35</t>
  </si>
  <si>
    <t>Izon</t>
  </si>
  <si>
    <t>S6508</t>
  </si>
  <si>
    <t>g</t>
  </si>
  <si>
    <t>NaF</t>
  </si>
  <si>
    <t>A32955</t>
  </si>
  <si>
    <t>Thermo Scientific</t>
  </si>
  <si>
    <t>tablets</t>
  </si>
  <si>
    <t>TCA</t>
  </si>
  <si>
    <t>100mL</t>
  </si>
  <si>
    <t>0,5mL</t>
  </si>
  <si>
    <t>Aceton</t>
  </si>
  <si>
    <t>1L</t>
  </si>
  <si>
    <t>3mL</t>
  </si>
  <si>
    <t>BCA Assay</t>
  </si>
  <si>
    <t>Micro BCA Protein Assay Kit-500 mL</t>
  </si>
  <si>
    <t>96-Well-Platte, unbehandelte Oberfläche, 25/Packung</t>
  </si>
  <si>
    <t>FE-0521</t>
  </si>
  <si>
    <t>plates</t>
  </si>
  <si>
    <t xml:space="preserve">1L 1x PBS </t>
  </si>
  <si>
    <t xml:space="preserve">10x PBS </t>
  </si>
  <si>
    <t>Gibco</t>
  </si>
  <si>
    <t>Steritop-GP 1000mL Express Plus PES .22u</t>
  </si>
  <si>
    <t>S2GPT10RE</t>
  </si>
  <si>
    <t>Millipore</t>
  </si>
  <si>
    <t>filters</t>
  </si>
  <si>
    <t>500mL of 0,5M NAOH</t>
  </si>
  <si>
    <t xml:space="preserve">NAOH 1M </t>
  </si>
  <si>
    <t>Fisher Cemicals</t>
  </si>
  <si>
    <t>Sodium azide 0,05% 250mL</t>
  </si>
  <si>
    <t>Sodium azide</t>
  </si>
  <si>
    <t>30175.01</t>
  </si>
  <si>
    <t>Serva</t>
  </si>
  <si>
    <t>4g</t>
  </si>
  <si>
    <t>Density Gradient Buffer 1 1L</t>
  </si>
  <si>
    <t>Sucrose</t>
  </si>
  <si>
    <t>S9378</t>
  </si>
  <si>
    <t>kg</t>
  </si>
  <si>
    <t>85,58g</t>
  </si>
  <si>
    <t>EDTA 0,5M ph8,5</t>
  </si>
  <si>
    <t>R013</t>
  </si>
  <si>
    <t>G-Biosciences</t>
  </si>
  <si>
    <t>12mL</t>
  </si>
  <si>
    <t>Tris Base</t>
  </si>
  <si>
    <t>T1503</t>
  </si>
  <si>
    <t>7,27g</t>
  </si>
  <si>
    <t>Density Gradient Buffer 2 1L</t>
  </si>
  <si>
    <t>2mL</t>
  </si>
  <si>
    <t>1,21g</t>
  </si>
  <si>
    <t>RIPA Lysis</t>
  </si>
  <si>
    <t>TOTAL COSTS (€)</t>
  </si>
  <si>
    <t xml:space="preserve">Differential Ultracentrifugation </t>
  </si>
  <si>
    <t>Density Gradient Ultracentrifugation</t>
  </si>
  <si>
    <t>amount needed</t>
  </si>
  <si>
    <t xml:space="preserve">RIPA Incomplete Buffer </t>
  </si>
  <si>
    <t xml:space="preserve">SEC Sepharose CL-4B Columns </t>
  </si>
  <si>
    <t xml:space="preserve">Sodium orthovanadate </t>
  </si>
  <si>
    <t>Protease inh.</t>
  </si>
  <si>
    <t>Phospatase inh.</t>
  </si>
  <si>
    <t>Roche</t>
  </si>
  <si>
    <t>5x use</t>
  </si>
  <si>
    <t>final cost subtotal (€):</t>
  </si>
  <si>
    <t xml:space="preserve">UZ Maintenance </t>
  </si>
  <si>
    <t>manufacturer</t>
  </si>
  <si>
    <t>Supplementary Table S9a: Comparative calculation of costs for consumables to perform plasma-derived EV proteomics</t>
  </si>
  <si>
    <t>Supplementary Table S9b: Calculation of costs (€) to produce reagents and solutions required for the isolation and proteomic analysis of plasma-derived EVs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</si>
</sst>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&quot; €&quot;;[Red]\-#,##0.00&quot; €&quot;"/>
  </numFmts>
  <fonts count="7" x14ac:knownFonts="1"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sz val="10"/>
      <color rgb="FF32363A"/>
      <name val="Arial"/>
      <family val="2"/>
      <charset val="1"/>
    </font>
    <font>
      <b/>
      <sz val="11"/>
      <color theme="1"/>
      <name val="Calibri"/>
      <family val="2"/>
    </font>
    <font>
      <b/>
      <sz val="11"/>
      <name val="Calibri"/>
      <family val="2"/>
    </font>
    <font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FF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2363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zoomScaleNormal="100" workbookViewId="0">
      <selection sqref="A1:G1"/>
    </sheetView>
  </sheetViews>
  <sheetFormatPr baseColWidth="10" defaultColWidth="10.83203125" defaultRowHeight="15" x14ac:dyDescent="0.2"/>
  <cols>
    <col min="1" max="1" width="22" customWidth="1"/>
    <col min="2" max="3" width="14.5" customWidth="1"/>
    <col min="5" max="5" width="13" customWidth="1"/>
    <col min="7" max="7" width="18.1640625" customWidth="1"/>
    <col min="8" max="8" width="13.5" customWidth="1"/>
    <col min="9" max="9" width="21.83203125" customWidth="1"/>
    <col min="12" max="12" width="39.83203125" customWidth="1"/>
    <col min="14" max="14" width="14.5" customWidth="1"/>
    <col min="17" max="17" width="14.5" customWidth="1"/>
    <col min="18" max="18" width="12.1640625" customWidth="1"/>
  </cols>
  <sheetData>
    <row r="1" spans="1:14" x14ac:dyDescent="0.2">
      <c r="A1" s="15" t="s">
        <v>106</v>
      </c>
      <c r="B1" s="15"/>
      <c r="C1" s="15"/>
      <c r="D1" s="15"/>
      <c r="E1" s="15"/>
      <c r="F1" s="15"/>
      <c r="G1" s="15"/>
    </row>
    <row r="2" spans="1:14" x14ac:dyDescent="0.2">
      <c r="A2" s="1"/>
      <c r="B2" s="1"/>
      <c r="C2" s="1"/>
      <c r="D2" s="1"/>
      <c r="E2" s="1"/>
      <c r="F2" s="1"/>
      <c r="G2" s="1"/>
    </row>
    <row r="3" spans="1:14" x14ac:dyDescent="0.2">
      <c r="A3" s="16" t="s">
        <v>93</v>
      </c>
      <c r="B3" s="16"/>
      <c r="C3" s="16"/>
      <c r="D3" s="16"/>
      <c r="E3" s="10"/>
      <c r="G3" s="10" t="s">
        <v>103</v>
      </c>
      <c r="H3" s="12">
        <f>SUM(H5:H7)</f>
        <v>27.552022666666666</v>
      </c>
      <c r="I3" t="s">
        <v>0</v>
      </c>
      <c r="N3" s="9"/>
    </row>
    <row r="4" spans="1:14" x14ac:dyDescent="0.2">
      <c r="A4" s="13" t="s">
        <v>1</v>
      </c>
      <c r="B4" s="13" t="s">
        <v>2</v>
      </c>
      <c r="C4" s="13" t="s">
        <v>105</v>
      </c>
      <c r="D4" s="13" t="s">
        <v>4</v>
      </c>
      <c r="E4" s="13" t="s">
        <v>5</v>
      </c>
      <c r="F4" s="13" t="s">
        <v>6</v>
      </c>
      <c r="G4" s="13" t="s">
        <v>95</v>
      </c>
      <c r="H4" s="13" t="s">
        <v>8</v>
      </c>
    </row>
    <row r="5" spans="1:14" x14ac:dyDescent="0.2">
      <c r="A5" s="2" t="s">
        <v>19</v>
      </c>
      <c r="B5" s="2"/>
      <c r="C5" s="2"/>
      <c r="D5" s="2">
        <v>1</v>
      </c>
      <c r="E5" s="2" t="s">
        <v>20</v>
      </c>
      <c r="F5" s="4">
        <f>'S9b Reagents, Solutions'!D3</f>
        <v>2.2715033333333334</v>
      </c>
      <c r="G5" s="2">
        <v>8.1999999999999993</v>
      </c>
      <c r="H5" s="8">
        <f>8.2*1.83/1000</f>
        <v>1.5005999999999999E-2</v>
      </c>
    </row>
    <row r="6" spans="1:14" x14ac:dyDescent="0.2">
      <c r="A6" s="5" t="s">
        <v>28</v>
      </c>
      <c r="B6" s="5" t="s">
        <v>29</v>
      </c>
      <c r="C6" s="5" t="s">
        <v>30</v>
      </c>
      <c r="D6" s="2">
        <v>50</v>
      </c>
      <c r="E6" s="5" t="s">
        <v>31</v>
      </c>
      <c r="F6" s="2">
        <v>278.58</v>
      </c>
      <c r="G6" s="2">
        <v>1</v>
      </c>
      <c r="H6" s="4">
        <f>1*278.58/50</f>
        <v>5.5716000000000001</v>
      </c>
    </row>
    <row r="7" spans="1:14" x14ac:dyDescent="0.2">
      <c r="A7" s="5" t="s">
        <v>104</v>
      </c>
      <c r="B7" s="5"/>
      <c r="C7" s="5"/>
      <c r="D7" s="2" t="s">
        <v>32</v>
      </c>
      <c r="E7" s="2"/>
      <c r="F7" s="2">
        <v>2635.85</v>
      </c>
      <c r="G7" s="2" t="s">
        <v>33</v>
      </c>
      <c r="H7" s="4">
        <f>F7/120</f>
        <v>21.965416666666666</v>
      </c>
    </row>
    <row r="8" spans="1:14" x14ac:dyDescent="0.2">
      <c r="A8" s="2"/>
      <c r="B8" s="2"/>
      <c r="C8" s="2"/>
      <c r="D8" s="2"/>
      <c r="E8" s="2"/>
      <c r="F8" s="2"/>
      <c r="G8" s="2"/>
      <c r="H8" s="2"/>
    </row>
    <row r="9" spans="1:14" x14ac:dyDescent="0.2">
      <c r="A9" s="16" t="s">
        <v>94</v>
      </c>
      <c r="B9" s="16"/>
      <c r="C9" s="16"/>
      <c r="D9" s="16"/>
      <c r="E9" s="10"/>
      <c r="G9" s="10" t="s">
        <v>103</v>
      </c>
      <c r="H9" s="11">
        <f>SUM(H11:H15)</f>
        <v>31.675716666666666</v>
      </c>
    </row>
    <row r="10" spans="1:14" x14ac:dyDescent="0.2">
      <c r="A10" s="13" t="s">
        <v>1</v>
      </c>
      <c r="B10" s="13" t="s">
        <v>2</v>
      </c>
      <c r="C10" s="13" t="s">
        <v>105</v>
      </c>
      <c r="D10" s="13" t="s">
        <v>4</v>
      </c>
      <c r="E10" s="13" t="s">
        <v>5</v>
      </c>
      <c r="F10" s="13" t="s">
        <v>6</v>
      </c>
      <c r="G10" s="13" t="s">
        <v>95</v>
      </c>
      <c r="H10" s="13" t="s">
        <v>8</v>
      </c>
    </row>
    <row r="11" spans="1:14" x14ac:dyDescent="0.2">
      <c r="A11" s="2" t="s">
        <v>34</v>
      </c>
      <c r="B11" s="2" t="s">
        <v>35</v>
      </c>
      <c r="C11" s="2" t="s">
        <v>36</v>
      </c>
      <c r="D11" s="2" t="s">
        <v>37</v>
      </c>
      <c r="E11" s="2" t="s">
        <v>13</v>
      </c>
      <c r="F11" s="2">
        <v>361.7</v>
      </c>
      <c r="G11" s="2">
        <v>2.8</v>
      </c>
      <c r="H11" s="4">
        <f>2.8*361.7/250</f>
        <v>4.0510399999999995</v>
      </c>
    </row>
    <row r="12" spans="1:14" x14ac:dyDescent="0.2">
      <c r="A12" s="2" t="s">
        <v>38</v>
      </c>
      <c r="B12" s="2"/>
      <c r="C12" s="2"/>
      <c r="D12" s="2">
        <v>1</v>
      </c>
      <c r="E12" s="2" t="s">
        <v>20</v>
      </c>
      <c r="F12" s="4">
        <v>22.845437499999999</v>
      </c>
      <c r="G12" s="2">
        <v>0.6</v>
      </c>
      <c r="H12" s="8">
        <f>0.6*22.85/1000</f>
        <v>1.3710000000000002E-2</v>
      </c>
    </row>
    <row r="13" spans="1:14" x14ac:dyDescent="0.2">
      <c r="A13" s="2" t="s">
        <v>39</v>
      </c>
      <c r="B13" s="2"/>
      <c r="C13" s="2"/>
      <c r="D13" s="2">
        <v>1</v>
      </c>
      <c r="E13" s="2" t="s">
        <v>20</v>
      </c>
      <c r="F13" s="4">
        <v>14.7854375</v>
      </c>
      <c r="G13" s="2">
        <v>5</v>
      </c>
      <c r="H13" s="8">
        <f>5*14.79/1000</f>
        <v>7.3949999999999988E-2</v>
      </c>
    </row>
    <row r="14" spans="1:14" x14ac:dyDescent="0.2">
      <c r="A14" s="5" t="s">
        <v>28</v>
      </c>
      <c r="B14" s="5" t="s">
        <v>29</v>
      </c>
      <c r="C14" s="5" t="s">
        <v>30</v>
      </c>
      <c r="D14" s="2">
        <v>50</v>
      </c>
      <c r="E14" s="5" t="s">
        <v>31</v>
      </c>
      <c r="F14" s="2">
        <v>278.58</v>
      </c>
      <c r="G14" s="2">
        <v>1</v>
      </c>
      <c r="H14" s="4">
        <f>1*278.58/50</f>
        <v>5.5716000000000001</v>
      </c>
    </row>
    <row r="15" spans="1:14" x14ac:dyDescent="0.2">
      <c r="A15" s="5" t="s">
        <v>104</v>
      </c>
      <c r="B15" s="5"/>
      <c r="C15" s="5"/>
      <c r="D15" s="2" t="s">
        <v>32</v>
      </c>
      <c r="E15" s="2"/>
      <c r="F15" s="2">
        <v>2635.85</v>
      </c>
      <c r="G15" s="2" t="s">
        <v>33</v>
      </c>
      <c r="H15" s="4">
        <f>F15/120</f>
        <v>21.965416666666666</v>
      </c>
    </row>
    <row r="17" spans="1:9" x14ac:dyDescent="0.2">
      <c r="A17" s="16" t="s">
        <v>97</v>
      </c>
      <c r="B17" s="16"/>
      <c r="C17" s="16"/>
      <c r="D17" s="16"/>
      <c r="E17" s="10"/>
      <c r="G17" s="10" t="s">
        <v>103</v>
      </c>
      <c r="H17" s="11">
        <f>SUM(H19:H24)</f>
        <v>28.998368360849057</v>
      </c>
    </row>
    <row r="18" spans="1:9" x14ac:dyDescent="0.2">
      <c r="A18" s="13" t="s">
        <v>1</v>
      </c>
      <c r="B18" s="13" t="s">
        <v>2</v>
      </c>
      <c r="C18" s="13" t="s">
        <v>105</v>
      </c>
      <c r="D18" s="13" t="s">
        <v>4</v>
      </c>
      <c r="E18" s="13" t="s">
        <v>5</v>
      </c>
      <c r="F18" s="13" t="s">
        <v>6</v>
      </c>
      <c r="G18" s="13" t="s">
        <v>95</v>
      </c>
      <c r="H18" s="13" t="s">
        <v>8</v>
      </c>
    </row>
    <row r="19" spans="1:9" x14ac:dyDescent="0.2">
      <c r="A19" s="2" t="s">
        <v>10</v>
      </c>
      <c r="B19" s="2" t="s">
        <v>11</v>
      </c>
      <c r="C19" s="2" t="s">
        <v>12</v>
      </c>
      <c r="D19" s="2">
        <f>100+113-107</f>
        <v>106</v>
      </c>
      <c r="E19" s="2" t="s">
        <v>13</v>
      </c>
      <c r="F19" s="2">
        <f>562+(562*0.19)</f>
        <v>668.78</v>
      </c>
      <c r="G19" s="2">
        <v>26</v>
      </c>
      <c r="H19" s="4">
        <f>(G19*F19/D19)/10</f>
        <v>16.404037735849055</v>
      </c>
      <c r="I19" t="s">
        <v>14</v>
      </c>
    </row>
    <row r="20" spans="1:9" x14ac:dyDescent="0.2">
      <c r="A20" s="2" t="s">
        <v>15</v>
      </c>
      <c r="B20" s="2">
        <v>7374152</v>
      </c>
      <c r="C20" s="2" t="s">
        <v>16</v>
      </c>
      <c r="D20" s="2">
        <v>4</v>
      </c>
      <c r="E20" s="2" t="s">
        <v>17</v>
      </c>
      <c r="F20" s="4">
        <f>247.5+(247.5*0.19)</f>
        <v>294.52499999999998</v>
      </c>
      <c r="G20" s="2">
        <v>1</v>
      </c>
      <c r="H20" s="4">
        <f>(F20/4)/100</f>
        <v>0.73631249999999993</v>
      </c>
      <c r="I20" t="s">
        <v>18</v>
      </c>
    </row>
    <row r="21" spans="1:9" x14ac:dyDescent="0.2">
      <c r="A21" s="2" t="s">
        <v>19</v>
      </c>
      <c r="B21" s="2"/>
      <c r="C21" s="2"/>
      <c r="D21" s="2">
        <v>1</v>
      </c>
      <c r="E21" s="2" t="s">
        <v>20</v>
      </c>
      <c r="F21" s="4">
        <v>2.16</v>
      </c>
      <c r="G21" s="2">
        <v>191.25</v>
      </c>
      <c r="H21" s="4">
        <v>0.41</v>
      </c>
    </row>
    <row r="22" spans="1:9" x14ac:dyDescent="0.2">
      <c r="A22" s="2" t="s">
        <v>21</v>
      </c>
      <c r="B22" s="2" t="s">
        <v>22</v>
      </c>
      <c r="C22" s="2" t="s">
        <v>23</v>
      </c>
      <c r="D22" s="2">
        <v>96</v>
      </c>
      <c r="E22" s="2" t="s">
        <v>24</v>
      </c>
      <c r="F22" s="2">
        <f>921.57+(921.57*0.19)</f>
        <v>1096.6683</v>
      </c>
      <c r="G22" s="2">
        <v>1</v>
      </c>
      <c r="H22" s="4">
        <f>F22/D22</f>
        <v>11.423628125</v>
      </c>
    </row>
    <row r="23" spans="1:9" x14ac:dyDescent="0.2">
      <c r="A23" s="2" t="s">
        <v>25</v>
      </c>
      <c r="B23" s="2"/>
      <c r="C23" s="2"/>
      <c r="D23" s="2">
        <v>500</v>
      </c>
      <c r="E23" s="2" t="s">
        <v>13</v>
      </c>
      <c r="F23" s="2">
        <v>1.82</v>
      </c>
      <c r="G23" s="2" t="s">
        <v>26</v>
      </c>
      <c r="H23" s="8">
        <f>1.82/500</f>
        <v>3.64E-3</v>
      </c>
    </row>
    <row r="24" spans="1:9" x14ac:dyDescent="0.2">
      <c r="A24" s="2" t="s">
        <v>27</v>
      </c>
      <c r="B24" s="2"/>
      <c r="C24" s="2"/>
      <c r="D24" s="2">
        <v>250</v>
      </c>
      <c r="E24" s="2" t="s">
        <v>13</v>
      </c>
      <c r="F24" s="2">
        <v>0.83</v>
      </c>
      <c r="G24" s="2">
        <v>40</v>
      </c>
      <c r="H24" s="4">
        <f>F24/40</f>
        <v>2.0749999999999998E-2</v>
      </c>
    </row>
    <row r="25" spans="1:9" x14ac:dyDescent="0.2">
      <c r="A25" s="2"/>
      <c r="B25" s="2"/>
      <c r="C25" s="2"/>
      <c r="D25" s="2"/>
      <c r="E25" s="2"/>
      <c r="F25" s="2"/>
      <c r="G25" s="2"/>
      <c r="H25" s="2"/>
    </row>
    <row r="26" spans="1:9" x14ac:dyDescent="0.2">
      <c r="A26" s="16" t="s">
        <v>40</v>
      </c>
      <c r="B26" s="16"/>
      <c r="C26" s="16"/>
      <c r="D26" s="16"/>
      <c r="E26" s="10"/>
      <c r="G26" s="10" t="s">
        <v>103</v>
      </c>
      <c r="H26" s="11">
        <f>SUM(H28:H32)</f>
        <v>42.919108125000001</v>
      </c>
    </row>
    <row r="27" spans="1:9" x14ac:dyDescent="0.2">
      <c r="A27" s="13" t="s">
        <v>1</v>
      </c>
      <c r="B27" s="13" t="s">
        <v>2</v>
      </c>
      <c r="C27" s="13" t="s">
        <v>105</v>
      </c>
      <c r="D27" s="13" t="s">
        <v>4</v>
      </c>
      <c r="E27" s="13" t="s">
        <v>5</v>
      </c>
      <c r="F27" s="13" t="s">
        <v>6</v>
      </c>
      <c r="G27" s="13" t="s">
        <v>95</v>
      </c>
      <c r="H27" s="13" t="s">
        <v>8</v>
      </c>
    </row>
    <row r="28" spans="1:9" x14ac:dyDescent="0.2">
      <c r="A28" s="2" t="s">
        <v>41</v>
      </c>
      <c r="B28" s="2" t="s">
        <v>42</v>
      </c>
      <c r="C28" s="2" t="s">
        <v>43</v>
      </c>
      <c r="D28" s="2">
        <v>2</v>
      </c>
      <c r="E28" s="2" t="s">
        <v>17</v>
      </c>
      <c r="F28" s="2">
        <v>309</v>
      </c>
      <c r="G28" s="2">
        <v>1</v>
      </c>
      <c r="H28" s="2">
        <f>154.5/5</f>
        <v>30.9</v>
      </c>
      <c r="I28" t="s">
        <v>102</v>
      </c>
    </row>
    <row r="29" spans="1:9" x14ac:dyDescent="0.2">
      <c r="A29" s="2" t="s">
        <v>19</v>
      </c>
      <c r="B29" s="2"/>
      <c r="C29" s="2"/>
      <c r="D29" s="2">
        <v>1</v>
      </c>
      <c r="E29" s="2" t="s">
        <v>20</v>
      </c>
      <c r="F29" s="4">
        <f>'S9b Reagents, Solutions'!D3</f>
        <v>2.2715033333333334</v>
      </c>
      <c r="G29" s="2">
        <v>170</v>
      </c>
      <c r="H29" s="4">
        <f>140*1.83/1000</f>
        <v>0.25619999999999998</v>
      </c>
    </row>
    <row r="30" spans="1:9" x14ac:dyDescent="0.2">
      <c r="A30" s="2" t="s">
        <v>21</v>
      </c>
      <c r="B30" s="2" t="s">
        <v>22</v>
      </c>
      <c r="C30" s="2" t="s">
        <v>23</v>
      </c>
      <c r="D30" s="2">
        <v>96</v>
      </c>
      <c r="E30" s="2" t="s">
        <v>24</v>
      </c>
      <c r="F30" s="2">
        <f>921.57+(921.57*0.19)</f>
        <v>1096.6683</v>
      </c>
      <c r="G30" s="2">
        <v>1</v>
      </c>
      <c r="H30" s="4">
        <f>F30/D30</f>
        <v>11.423628125</v>
      </c>
    </row>
    <row r="31" spans="1:9" x14ac:dyDescent="0.2">
      <c r="A31" s="2" t="s">
        <v>25</v>
      </c>
      <c r="B31" s="2"/>
      <c r="C31" s="2"/>
      <c r="D31" s="2">
        <v>500</v>
      </c>
      <c r="E31" s="2" t="s">
        <v>13</v>
      </c>
      <c r="F31" s="2"/>
      <c r="G31" s="2">
        <v>2</v>
      </c>
      <c r="H31" s="8">
        <f>2*1.82/500</f>
        <v>7.28E-3</v>
      </c>
    </row>
    <row r="32" spans="1:9" x14ac:dyDescent="0.2">
      <c r="A32" s="2" t="s">
        <v>27</v>
      </c>
      <c r="B32" s="2"/>
      <c r="C32" s="2"/>
      <c r="D32" s="2">
        <v>250</v>
      </c>
      <c r="E32" s="2" t="s">
        <v>13</v>
      </c>
      <c r="F32" s="2">
        <v>0.83</v>
      </c>
      <c r="G32" s="2">
        <v>100</v>
      </c>
      <c r="H32" s="4">
        <f>100*F32/250</f>
        <v>0.33200000000000002</v>
      </c>
    </row>
    <row r="33" spans="1:9" x14ac:dyDescent="0.2">
      <c r="A33" s="2"/>
      <c r="B33" s="2"/>
      <c r="C33" s="2"/>
      <c r="D33" s="2"/>
      <c r="E33" s="2"/>
      <c r="F33" s="2"/>
      <c r="G33" s="2"/>
      <c r="H33" s="2"/>
    </row>
    <row r="34" spans="1:9" x14ac:dyDescent="0.2">
      <c r="A34" s="16" t="s">
        <v>91</v>
      </c>
      <c r="B34" s="16"/>
      <c r="C34" s="16"/>
      <c r="D34" s="16"/>
      <c r="E34" s="10"/>
      <c r="G34" s="10" t="s">
        <v>103</v>
      </c>
      <c r="H34" s="11">
        <f>SUM(H36:H42)</f>
        <v>10.781416666666667</v>
      </c>
    </row>
    <row r="35" spans="1:9" x14ac:dyDescent="0.2">
      <c r="A35" s="13" t="s">
        <v>1</v>
      </c>
      <c r="B35" s="13" t="s">
        <v>2</v>
      </c>
      <c r="C35" s="13" t="s">
        <v>3</v>
      </c>
      <c r="D35" s="13" t="s">
        <v>4</v>
      </c>
      <c r="E35" s="13" t="s">
        <v>5</v>
      </c>
      <c r="F35" s="13" t="s">
        <v>6</v>
      </c>
      <c r="G35" s="13" t="s">
        <v>95</v>
      </c>
      <c r="H35" s="13" t="s">
        <v>8</v>
      </c>
    </row>
    <row r="36" spans="1:9" x14ac:dyDescent="0.2">
      <c r="A36" s="2" t="s">
        <v>98</v>
      </c>
      <c r="B36" s="6" t="s">
        <v>44</v>
      </c>
      <c r="C36" s="2" t="s">
        <v>36</v>
      </c>
      <c r="D36" s="2">
        <v>10</v>
      </c>
      <c r="E36" s="2" t="s">
        <v>45</v>
      </c>
      <c r="F36" s="2">
        <v>72.12</v>
      </c>
      <c r="G36" s="2"/>
      <c r="H36" s="2">
        <v>0.01</v>
      </c>
    </row>
    <row r="37" spans="1:9" x14ac:dyDescent="0.2">
      <c r="A37" s="2" t="s">
        <v>46</v>
      </c>
      <c r="B37" s="2">
        <v>201154</v>
      </c>
      <c r="C37" s="2" t="s">
        <v>36</v>
      </c>
      <c r="D37" s="2">
        <v>100</v>
      </c>
      <c r="E37" s="2" t="s">
        <v>45</v>
      </c>
      <c r="F37" s="2">
        <v>10.14</v>
      </c>
      <c r="G37" s="2"/>
      <c r="H37" s="2">
        <v>1E-3</v>
      </c>
    </row>
    <row r="38" spans="1:9" x14ac:dyDescent="0.2">
      <c r="A38" s="2" t="s">
        <v>99</v>
      </c>
      <c r="B38" s="6" t="s">
        <v>47</v>
      </c>
      <c r="C38" s="2" t="s">
        <v>48</v>
      </c>
      <c r="D38" s="2">
        <v>30</v>
      </c>
      <c r="E38" s="2" t="s">
        <v>49</v>
      </c>
      <c r="F38" s="2">
        <v>191.59</v>
      </c>
      <c r="G38" s="2">
        <v>0.5</v>
      </c>
      <c r="H38" s="2">
        <f>F38/60</f>
        <v>3.1931666666666669</v>
      </c>
    </row>
    <row r="39" spans="1:9" x14ac:dyDescent="0.2">
      <c r="A39" s="2" t="s">
        <v>100</v>
      </c>
      <c r="B39" s="2">
        <v>4906845001</v>
      </c>
      <c r="C39" s="2" t="s">
        <v>101</v>
      </c>
      <c r="D39" s="2">
        <v>10</v>
      </c>
      <c r="E39" s="2" t="s">
        <v>49</v>
      </c>
      <c r="F39" s="2">
        <v>146.52000000000001</v>
      </c>
      <c r="G39" s="2">
        <v>0.5</v>
      </c>
      <c r="H39" s="2">
        <f>F39/20</f>
        <v>7.3260000000000005</v>
      </c>
    </row>
    <row r="40" spans="1:9" x14ac:dyDescent="0.2">
      <c r="A40" s="2" t="s">
        <v>96</v>
      </c>
      <c r="B40" s="2"/>
      <c r="C40" s="2"/>
      <c r="D40" s="2"/>
      <c r="E40" s="2"/>
      <c r="F40" s="2"/>
      <c r="G40" s="2"/>
      <c r="H40" s="2">
        <v>0.02</v>
      </c>
      <c r="I40" s="4"/>
    </row>
    <row r="41" spans="1:9" x14ac:dyDescent="0.2">
      <c r="A41" s="2" t="s">
        <v>50</v>
      </c>
      <c r="B41" s="2">
        <v>1008070100</v>
      </c>
      <c r="C41" s="2" t="s">
        <v>36</v>
      </c>
      <c r="D41" s="2" t="s">
        <v>51</v>
      </c>
      <c r="E41" s="2" t="s">
        <v>13</v>
      </c>
      <c r="F41" s="2">
        <v>30.25</v>
      </c>
      <c r="G41" s="2" t="s">
        <v>52</v>
      </c>
      <c r="H41" s="4">
        <f>0.5*30.25/100</f>
        <v>0.15125</v>
      </c>
    </row>
    <row r="42" spans="1:9" x14ac:dyDescent="0.2">
      <c r="A42" s="2" t="s">
        <v>53</v>
      </c>
      <c r="B42" s="2"/>
      <c r="C42" s="2"/>
      <c r="D42" s="2" t="s">
        <v>54</v>
      </c>
      <c r="E42" s="2" t="s">
        <v>20</v>
      </c>
      <c r="F42" s="2">
        <v>27</v>
      </c>
      <c r="G42" s="2" t="s">
        <v>55</v>
      </c>
      <c r="H42" s="2">
        <v>0.08</v>
      </c>
    </row>
    <row r="43" spans="1:9" x14ac:dyDescent="0.2">
      <c r="A43" s="2"/>
      <c r="B43" s="2"/>
      <c r="C43" s="2"/>
      <c r="D43" s="2"/>
      <c r="E43" s="2"/>
      <c r="F43" s="2"/>
      <c r="G43" s="2"/>
      <c r="H43" s="2"/>
    </row>
    <row r="44" spans="1:9" x14ac:dyDescent="0.2">
      <c r="A44" s="16" t="s">
        <v>56</v>
      </c>
      <c r="B44" s="16"/>
      <c r="C44" s="16"/>
      <c r="D44" s="16"/>
      <c r="E44" s="10"/>
      <c r="G44" s="10" t="s">
        <v>103</v>
      </c>
      <c r="H44" s="11">
        <f>2.4+2.63</f>
        <v>5.0299999999999994</v>
      </c>
    </row>
    <row r="45" spans="1:9" x14ac:dyDescent="0.2">
      <c r="A45" s="13" t="s">
        <v>1</v>
      </c>
      <c r="B45" s="13" t="s">
        <v>2</v>
      </c>
      <c r="C45" s="13" t="s">
        <v>3</v>
      </c>
      <c r="D45" s="13" t="s">
        <v>4</v>
      </c>
      <c r="E45" s="13" t="s">
        <v>5</v>
      </c>
      <c r="F45" s="13" t="s">
        <v>6</v>
      </c>
      <c r="G45" s="13" t="s">
        <v>95</v>
      </c>
      <c r="H45" s="13" t="s">
        <v>8</v>
      </c>
    </row>
    <row r="46" spans="1:9" x14ac:dyDescent="0.2">
      <c r="A46" s="2" t="s">
        <v>57</v>
      </c>
      <c r="B46" s="6">
        <v>23235</v>
      </c>
      <c r="C46" s="2" t="s">
        <v>48</v>
      </c>
      <c r="D46" s="2">
        <v>500</v>
      </c>
      <c r="E46" s="2" t="s">
        <v>13</v>
      </c>
      <c r="F46" s="2">
        <v>399.84</v>
      </c>
      <c r="G46" s="2" t="s">
        <v>55</v>
      </c>
      <c r="H46" s="4">
        <f>3*399.84/500</f>
        <v>2.3990399999999998</v>
      </c>
    </row>
    <row r="47" spans="1:9" x14ac:dyDescent="0.2">
      <c r="A47" s="2" t="s">
        <v>58</v>
      </c>
      <c r="B47" s="6" t="s">
        <v>59</v>
      </c>
      <c r="C47" s="2" t="s">
        <v>48</v>
      </c>
      <c r="D47" s="2">
        <v>100</v>
      </c>
      <c r="E47" s="2" t="s">
        <v>60</v>
      </c>
      <c r="F47" s="2">
        <v>262.99</v>
      </c>
      <c r="G47" s="2">
        <v>1</v>
      </c>
      <c r="H47" s="2">
        <v>2.63</v>
      </c>
    </row>
    <row r="50" spans="7:8" x14ac:dyDescent="0.2">
      <c r="G50" s="17" t="s">
        <v>92</v>
      </c>
      <c r="H50" s="17"/>
    </row>
    <row r="51" spans="7:8" ht="48" x14ac:dyDescent="0.2">
      <c r="G51" s="7" t="s">
        <v>9</v>
      </c>
      <c r="H51" s="3">
        <f>H9+H17+H34+H44</f>
        <v>76.485501694182389</v>
      </c>
    </row>
    <row r="56" spans="7:8" ht="28.5" customHeight="1" x14ac:dyDescent="0.2"/>
  </sheetData>
  <mergeCells count="8">
    <mergeCell ref="A1:G1"/>
    <mergeCell ref="A17:D17"/>
    <mergeCell ref="G50:H50"/>
    <mergeCell ref="A3:D3"/>
    <mergeCell ref="A9:D9"/>
    <mergeCell ref="A26:D26"/>
    <mergeCell ref="A34:D34"/>
    <mergeCell ref="A44:D44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tabSelected="1" zoomScale="129" zoomScaleNormal="129" workbookViewId="0">
      <selection activeCell="H21" sqref="H21"/>
    </sheetView>
  </sheetViews>
  <sheetFormatPr baseColWidth="10" defaultColWidth="8.6640625" defaultRowHeight="15" x14ac:dyDescent="0.2"/>
  <cols>
    <col min="1" max="1" width="14.5" customWidth="1"/>
    <col min="2" max="2" width="16.1640625" customWidth="1"/>
    <col min="3" max="3" width="13.6640625" customWidth="1"/>
    <col min="7" max="7" width="14" customWidth="1"/>
  </cols>
  <sheetData>
    <row r="1" spans="1:12" x14ac:dyDescent="0.2">
      <c r="A1" s="18" t="s">
        <v>107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3" spans="1:12" x14ac:dyDescent="0.2">
      <c r="A3" s="16" t="s">
        <v>61</v>
      </c>
      <c r="B3" s="16"/>
      <c r="C3" s="16"/>
      <c r="D3" s="11">
        <f>H5+H6</f>
        <v>2.2715033333333334</v>
      </c>
      <c r="E3" s="3"/>
    </row>
    <row r="4" spans="1:12" x14ac:dyDescent="0.2">
      <c r="A4" s="2" t="s">
        <v>1</v>
      </c>
      <c r="B4" s="2" t="s">
        <v>2</v>
      </c>
      <c r="C4" s="2" t="s">
        <v>105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spans="1:12" x14ac:dyDescent="0.2">
      <c r="A5" s="2" t="s">
        <v>62</v>
      </c>
      <c r="B5" s="2">
        <v>70011051</v>
      </c>
      <c r="C5" s="2" t="s">
        <v>63</v>
      </c>
      <c r="D5" s="2">
        <v>1</v>
      </c>
      <c r="E5" s="2" t="s">
        <v>20</v>
      </c>
      <c r="F5" s="4">
        <f>4.68+(4.68*0.19)</f>
        <v>5.5691999999999995</v>
      </c>
      <c r="G5" s="2" t="s">
        <v>51</v>
      </c>
      <c r="H5" s="4">
        <f>F5/10</f>
        <v>0.55691999999999997</v>
      </c>
    </row>
    <row r="6" spans="1:12" x14ac:dyDescent="0.2">
      <c r="A6" s="2" t="s">
        <v>64</v>
      </c>
      <c r="B6" s="2" t="s">
        <v>65</v>
      </c>
      <c r="C6" s="2" t="s">
        <v>66</v>
      </c>
      <c r="D6" s="2">
        <v>12</v>
      </c>
      <c r="E6" s="2" t="s">
        <v>67</v>
      </c>
      <c r="F6" s="4">
        <v>123.45</v>
      </c>
      <c r="G6" s="2">
        <v>1</v>
      </c>
      <c r="H6" s="4">
        <f>(F6/D6)/6</f>
        <v>1.7145833333333333</v>
      </c>
    </row>
    <row r="7" spans="1:12" x14ac:dyDescent="0.2">
      <c r="A7" s="2"/>
      <c r="B7" s="2"/>
      <c r="C7" s="2"/>
      <c r="D7" s="2"/>
      <c r="E7" s="2"/>
      <c r="F7" s="2"/>
      <c r="G7" s="2"/>
      <c r="H7" s="2"/>
    </row>
    <row r="8" spans="1:12" x14ac:dyDescent="0.2">
      <c r="A8" s="16" t="s">
        <v>68</v>
      </c>
      <c r="B8" s="16"/>
      <c r="C8" s="16"/>
      <c r="D8" s="10">
        <f>1.36+0.46</f>
        <v>1.82</v>
      </c>
      <c r="E8" s="14"/>
      <c r="F8" s="2"/>
      <c r="G8" s="2"/>
      <c r="H8" s="2"/>
    </row>
    <row r="9" spans="1:12" x14ac:dyDescent="0.2">
      <c r="A9" s="2" t="s">
        <v>1</v>
      </c>
      <c r="B9" s="2" t="s">
        <v>2</v>
      </c>
      <c r="C9" s="2" t="s">
        <v>105</v>
      </c>
      <c r="D9" s="2" t="s">
        <v>4</v>
      </c>
      <c r="E9" s="2" t="s">
        <v>5</v>
      </c>
      <c r="F9" s="2" t="s">
        <v>6</v>
      </c>
      <c r="G9" s="2" t="s">
        <v>7</v>
      </c>
      <c r="H9" s="2" t="s">
        <v>8</v>
      </c>
    </row>
    <row r="10" spans="1:12" x14ac:dyDescent="0.2">
      <c r="A10" s="2" t="s">
        <v>69</v>
      </c>
      <c r="B10" s="2">
        <v>10528240</v>
      </c>
      <c r="C10" s="2" t="s">
        <v>70</v>
      </c>
      <c r="D10" s="2">
        <v>1</v>
      </c>
      <c r="E10" s="2" t="s">
        <v>20</v>
      </c>
      <c r="F10" s="2">
        <f>4.57+(4.57*0.19)</f>
        <v>5.4382999999999999</v>
      </c>
      <c r="G10" s="2">
        <v>250</v>
      </c>
      <c r="H10" s="4">
        <f>250*5.44/1000</f>
        <v>1.36</v>
      </c>
    </row>
    <row r="11" spans="1:12" x14ac:dyDescent="0.2">
      <c r="A11" s="2" t="s">
        <v>61</v>
      </c>
      <c r="B11" s="2"/>
      <c r="C11" s="2"/>
      <c r="D11" s="2">
        <v>1</v>
      </c>
      <c r="E11" s="2" t="s">
        <v>20</v>
      </c>
      <c r="F11" s="2">
        <v>1.8287325000000001</v>
      </c>
      <c r="G11" s="2">
        <v>250</v>
      </c>
      <c r="H11" s="4">
        <f>250*1.83/1000</f>
        <v>0.45750000000000002</v>
      </c>
    </row>
    <row r="12" spans="1:12" x14ac:dyDescent="0.2">
      <c r="A12" s="2"/>
      <c r="B12" s="2"/>
      <c r="C12" s="2"/>
      <c r="D12" s="2"/>
      <c r="E12" s="2"/>
      <c r="F12" s="2"/>
      <c r="G12" s="2"/>
      <c r="H12" s="2"/>
    </row>
    <row r="13" spans="1:12" x14ac:dyDescent="0.2">
      <c r="A13" s="16" t="s">
        <v>71</v>
      </c>
      <c r="B13" s="16"/>
      <c r="C13" s="16"/>
      <c r="D13" s="11">
        <f>H16+H17</f>
        <v>0.83437500000000009</v>
      </c>
      <c r="E13" s="4"/>
      <c r="F13" s="2"/>
      <c r="G13" s="2"/>
      <c r="H13" s="2"/>
    </row>
    <row r="14" spans="1:12" x14ac:dyDescent="0.2">
      <c r="A14" s="2" t="s">
        <v>1</v>
      </c>
      <c r="B14" s="2" t="s">
        <v>2</v>
      </c>
      <c r="C14" s="2" t="s">
        <v>105</v>
      </c>
      <c r="D14" s="2" t="s">
        <v>4</v>
      </c>
      <c r="E14" s="2" t="s">
        <v>5</v>
      </c>
      <c r="F14" s="2" t="s">
        <v>6</v>
      </c>
      <c r="G14" s="2" t="s">
        <v>7</v>
      </c>
      <c r="H14" s="2" t="s">
        <v>8</v>
      </c>
    </row>
    <row r="15" spans="1:12" x14ac:dyDescent="0.2">
      <c r="A15" s="2" t="s">
        <v>72</v>
      </c>
      <c r="B15" s="2" t="s">
        <v>73</v>
      </c>
      <c r="C15" s="2" t="s">
        <v>74</v>
      </c>
      <c r="D15" s="2">
        <v>100</v>
      </c>
      <c r="E15" s="2" t="s">
        <v>45</v>
      </c>
      <c r="F15" s="2">
        <f>27.88+(27.88*0.19)</f>
        <v>33.177199999999999</v>
      </c>
      <c r="G15" s="2" t="s">
        <v>75</v>
      </c>
      <c r="H15" s="4">
        <f>2/F15*100</f>
        <v>6.0282362586354488</v>
      </c>
    </row>
    <row r="16" spans="1:12" x14ac:dyDescent="0.2">
      <c r="A16" s="2"/>
      <c r="B16" s="2"/>
      <c r="C16" s="2"/>
      <c r="D16" s="2">
        <v>50</v>
      </c>
      <c r="E16" s="2"/>
      <c r="F16" s="2">
        <v>6.03</v>
      </c>
      <c r="G16" s="2">
        <v>3.125</v>
      </c>
      <c r="H16" s="4">
        <f>3.125*6.03/50</f>
        <v>0.37687500000000002</v>
      </c>
    </row>
    <row r="17" spans="1:8" x14ac:dyDescent="0.2">
      <c r="A17" s="2" t="s">
        <v>61</v>
      </c>
      <c r="B17" s="2"/>
      <c r="C17" s="2"/>
      <c r="D17" s="2">
        <v>1</v>
      </c>
      <c r="E17" s="2" t="s">
        <v>20</v>
      </c>
      <c r="F17" s="2">
        <v>1.8287325000000001</v>
      </c>
      <c r="G17" s="2">
        <v>250</v>
      </c>
      <c r="H17" s="4">
        <f>250*1.83/1000</f>
        <v>0.45750000000000002</v>
      </c>
    </row>
    <row r="18" spans="1:8" x14ac:dyDescent="0.2">
      <c r="A18" s="2"/>
      <c r="B18" s="2"/>
      <c r="C18" s="2"/>
      <c r="D18" s="2"/>
      <c r="E18" s="2"/>
      <c r="F18" s="2"/>
      <c r="G18" s="2"/>
      <c r="H18" s="2"/>
    </row>
    <row r="19" spans="1:8" x14ac:dyDescent="0.2">
      <c r="A19" s="16" t="s">
        <v>76</v>
      </c>
      <c r="B19" s="16"/>
      <c r="C19" s="16"/>
      <c r="D19" s="11">
        <f>H21+H22+H23+H24</f>
        <v>24.173750000000002</v>
      </c>
      <c r="E19" s="4"/>
      <c r="F19" s="2"/>
      <c r="G19" s="2"/>
      <c r="H19" s="2"/>
    </row>
    <row r="20" spans="1:8" x14ac:dyDescent="0.2">
      <c r="A20" s="2" t="s">
        <v>1</v>
      </c>
      <c r="B20" s="2" t="s">
        <v>2</v>
      </c>
      <c r="C20" s="2" t="s">
        <v>105</v>
      </c>
      <c r="D20" s="2" t="s">
        <v>4</v>
      </c>
      <c r="E20" s="2" t="s">
        <v>5</v>
      </c>
      <c r="F20" s="2" t="s">
        <v>6</v>
      </c>
      <c r="G20" s="2" t="s">
        <v>7</v>
      </c>
      <c r="H20" s="2" t="s">
        <v>8</v>
      </c>
    </row>
    <row r="21" spans="1:8" x14ac:dyDescent="0.2">
      <c r="A21" s="2" t="s">
        <v>77</v>
      </c>
      <c r="B21" s="2" t="s">
        <v>78</v>
      </c>
      <c r="C21" s="2" t="s">
        <v>36</v>
      </c>
      <c r="D21" s="2">
        <v>1</v>
      </c>
      <c r="E21" s="2" t="s">
        <v>79</v>
      </c>
      <c r="F21" s="2">
        <v>109.37</v>
      </c>
      <c r="G21" s="2" t="s">
        <v>80</v>
      </c>
      <c r="H21" s="2">
        <v>9.35</v>
      </c>
    </row>
    <row r="22" spans="1:8" x14ac:dyDescent="0.2">
      <c r="A22" s="2" t="s">
        <v>81</v>
      </c>
      <c r="B22" s="2" t="s">
        <v>82</v>
      </c>
      <c r="C22" s="2" t="s">
        <v>83</v>
      </c>
      <c r="D22" s="2">
        <v>100</v>
      </c>
      <c r="E22" s="2" t="s">
        <v>13</v>
      </c>
      <c r="F22" s="2">
        <v>66.739999999999995</v>
      </c>
      <c r="G22" s="2" t="s">
        <v>84</v>
      </c>
      <c r="H22" s="2">
        <v>8</v>
      </c>
    </row>
    <row r="23" spans="1:8" x14ac:dyDescent="0.2">
      <c r="A23" s="2" t="s">
        <v>85</v>
      </c>
      <c r="B23" s="2" t="s">
        <v>86</v>
      </c>
      <c r="C23" s="2" t="s">
        <v>36</v>
      </c>
      <c r="D23" s="2">
        <v>1</v>
      </c>
      <c r="E23" s="2" t="s">
        <v>79</v>
      </c>
      <c r="F23" s="2">
        <v>230.72</v>
      </c>
      <c r="G23" s="2" t="s">
        <v>87</v>
      </c>
      <c r="H23" s="2">
        <v>1.68</v>
      </c>
    </row>
    <row r="24" spans="1:8" x14ac:dyDescent="0.2">
      <c r="A24" s="2" t="s">
        <v>64</v>
      </c>
      <c r="B24" s="2" t="s">
        <v>65</v>
      </c>
      <c r="C24" s="2" t="s">
        <v>66</v>
      </c>
      <c r="D24" s="2">
        <v>12</v>
      </c>
      <c r="E24" s="2" t="s">
        <v>67</v>
      </c>
      <c r="F24" s="4">
        <v>123.45</v>
      </c>
      <c r="G24" s="2">
        <v>1</v>
      </c>
      <c r="H24" s="2">
        <f>(F24/12)/2</f>
        <v>5.1437499999999998</v>
      </c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16" t="s">
        <v>88</v>
      </c>
      <c r="B26" s="16"/>
      <c r="C26" s="16"/>
      <c r="D26" s="11">
        <f>SUM(H28:H31)</f>
        <v>16.11375</v>
      </c>
      <c r="E26" s="4"/>
      <c r="F26" s="2"/>
      <c r="G26" s="2"/>
      <c r="H26" s="2"/>
    </row>
    <row r="27" spans="1:8" x14ac:dyDescent="0.2">
      <c r="A27" s="2" t="s">
        <v>1</v>
      </c>
      <c r="B27" s="2" t="s">
        <v>2</v>
      </c>
      <c r="C27" s="2" t="s">
        <v>105</v>
      </c>
      <c r="D27" s="2" t="s">
        <v>4</v>
      </c>
      <c r="E27" s="2" t="s">
        <v>5</v>
      </c>
      <c r="F27" s="2" t="s">
        <v>6</v>
      </c>
      <c r="G27" s="2" t="s">
        <v>7</v>
      </c>
      <c r="H27" s="2" t="s">
        <v>8</v>
      </c>
    </row>
    <row r="28" spans="1:8" x14ac:dyDescent="0.2">
      <c r="A28" s="2" t="s">
        <v>77</v>
      </c>
      <c r="B28" s="2" t="s">
        <v>78</v>
      </c>
      <c r="C28" s="2" t="s">
        <v>36</v>
      </c>
      <c r="D28" s="2">
        <v>1</v>
      </c>
      <c r="E28" s="2" t="s">
        <v>79</v>
      </c>
      <c r="F28" s="2">
        <v>109.37</v>
      </c>
      <c r="G28" s="2" t="s">
        <v>80</v>
      </c>
      <c r="H28" s="2">
        <v>9.35</v>
      </c>
    </row>
    <row r="29" spans="1:8" x14ac:dyDescent="0.2">
      <c r="A29" s="2" t="s">
        <v>81</v>
      </c>
      <c r="B29" s="2" t="s">
        <v>82</v>
      </c>
      <c r="C29" s="2" t="s">
        <v>83</v>
      </c>
      <c r="D29" s="2">
        <v>100</v>
      </c>
      <c r="E29" s="2" t="s">
        <v>13</v>
      </c>
      <c r="F29" s="2">
        <v>66.739999999999995</v>
      </c>
      <c r="G29" s="2" t="s">
        <v>89</v>
      </c>
      <c r="H29" s="2">
        <v>1.34</v>
      </c>
    </row>
    <row r="30" spans="1:8" x14ac:dyDescent="0.2">
      <c r="A30" s="2" t="s">
        <v>85</v>
      </c>
      <c r="B30" s="2" t="s">
        <v>86</v>
      </c>
      <c r="C30" s="2" t="s">
        <v>36</v>
      </c>
      <c r="D30" s="2">
        <v>1</v>
      </c>
      <c r="E30" s="2" t="s">
        <v>79</v>
      </c>
      <c r="F30" s="2">
        <v>230.72</v>
      </c>
      <c r="G30" s="2" t="s">
        <v>90</v>
      </c>
      <c r="H30" s="2">
        <v>0.28000000000000003</v>
      </c>
    </row>
    <row r="31" spans="1:8" x14ac:dyDescent="0.2">
      <c r="A31" s="2" t="s">
        <v>64</v>
      </c>
      <c r="B31" s="2" t="s">
        <v>65</v>
      </c>
      <c r="C31" s="2" t="s">
        <v>66</v>
      </c>
      <c r="D31" s="2">
        <v>12</v>
      </c>
      <c r="E31" s="2" t="s">
        <v>67</v>
      </c>
      <c r="F31" s="4">
        <v>123.45</v>
      </c>
      <c r="G31" s="2">
        <v>1</v>
      </c>
      <c r="H31" s="2">
        <f>(F31/12)/2</f>
        <v>5.1437499999999998</v>
      </c>
    </row>
  </sheetData>
  <mergeCells count="6">
    <mergeCell ref="A19:C19"/>
    <mergeCell ref="A26:C26"/>
    <mergeCell ref="A3:C3"/>
    <mergeCell ref="A8:C8"/>
    <mergeCell ref="A13:C13"/>
    <mergeCell ref="A1:L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S9a Cost summary</vt:lpstr>
      <vt:lpstr>S9b Reagents, Solutions</vt:lpstr>
    </vt:vector>
  </TitlesOfParts>
  <Company>MEDMA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Clemm von Hohenberg, Katharina</dc:creator>
  <dc:description/>
  <cp:lastModifiedBy>Microsoft Office User</cp:lastModifiedBy>
  <cp:revision>0</cp:revision>
  <dcterms:created xsi:type="dcterms:W3CDTF">2024-08-26T07:37:44Z</dcterms:created>
  <dcterms:modified xsi:type="dcterms:W3CDTF">2025-01-06T05:01:08Z</dcterms:modified>
  <dc:language>en-US</dc:language>
</cp:coreProperties>
</file>