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atica\Desktop\"/>
    </mc:Choice>
  </mc:AlternateContent>
  <bookViews>
    <workbookView xWindow="0" yWindow="0" windowWidth="28770" windowHeight="12000" tabRatio="598" firstSheet="2" activeTab="6"/>
  </bookViews>
  <sheets>
    <sheet name="3D Bony Sample" sheetId="1" r:id="rId1"/>
    <sheet name="3D Membranous Sample" sheetId="2" r:id="rId2"/>
    <sheet name="2D Membranous Sample" sheetId="3" r:id="rId3"/>
    <sheet name="TMI" sheetId="7" r:id="rId4"/>
    <sheet name="PSLR Estimations of Fossils" sheetId="4" r:id="rId5"/>
    <sheet name="PLS Regressions 2D set" sheetId="5" r:id="rId6"/>
    <sheet name="Regresssions for common length" sheetId="6"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0" i="5" l="1"/>
  <c r="H59" i="5" s="1"/>
  <c r="G50" i="5"/>
  <c r="H49" i="5" s="1"/>
  <c r="G40" i="5"/>
  <c r="H39" i="5" s="1"/>
  <c r="B39" i="5"/>
  <c r="C38" i="5" s="1"/>
  <c r="G30" i="5"/>
  <c r="H29" i="5" s="1"/>
  <c r="C30" i="5"/>
  <c r="B26" i="5"/>
  <c r="C25" i="5" s="1"/>
  <c r="G20" i="5"/>
  <c r="H19" i="5" s="1"/>
  <c r="V15" i="5"/>
  <c r="W11" i="5" s="1"/>
  <c r="Q14" i="5"/>
  <c r="R13" i="5" s="1"/>
  <c r="L14" i="5"/>
  <c r="M3" i="5" s="1"/>
  <c r="B13" i="5"/>
  <c r="C12" i="5" s="1"/>
  <c r="G10" i="5"/>
  <c r="H6" i="5" s="1"/>
  <c r="Q7" i="5"/>
  <c r="R6" i="5" s="1"/>
  <c r="C31" i="5" l="1"/>
  <c r="C34" i="5"/>
  <c r="H15" i="5"/>
  <c r="H5" i="5"/>
  <c r="H33" i="5"/>
  <c r="C36" i="5"/>
  <c r="C24" i="5"/>
  <c r="C37" i="5"/>
  <c r="H14" i="5"/>
  <c r="R5" i="5"/>
  <c r="W9" i="5"/>
  <c r="W13" i="5"/>
  <c r="H17" i="5"/>
  <c r="H37" i="5"/>
  <c r="W8" i="5"/>
  <c r="W5" i="5"/>
  <c r="C18" i="5"/>
  <c r="C9" i="5"/>
  <c r="W6" i="5"/>
  <c r="W10" i="5"/>
  <c r="C19" i="5"/>
  <c r="R3" i="5"/>
  <c r="C11" i="5"/>
  <c r="C33" i="5"/>
  <c r="H46" i="5"/>
  <c r="W3" i="5"/>
  <c r="W7" i="5"/>
  <c r="M11" i="5"/>
  <c r="W14" i="5"/>
  <c r="C21" i="5"/>
  <c r="W4" i="5"/>
  <c r="W12" i="5"/>
  <c r="C17" i="5"/>
  <c r="C4" i="5"/>
  <c r="M8" i="5"/>
  <c r="H23" i="5"/>
  <c r="H3" i="5"/>
  <c r="M5" i="5"/>
  <c r="H8" i="5"/>
  <c r="M10" i="5"/>
  <c r="H13" i="5"/>
  <c r="H16" i="5"/>
  <c r="C23" i="5"/>
  <c r="C29" i="5"/>
  <c r="C35" i="5"/>
  <c r="H45" i="5"/>
  <c r="H25" i="5"/>
  <c r="H53" i="5"/>
  <c r="H4" i="5"/>
  <c r="H7" i="5"/>
  <c r="H9" i="5"/>
  <c r="H18" i="5"/>
  <c r="C32" i="5"/>
  <c r="H54" i="5"/>
  <c r="M4" i="5"/>
  <c r="M7" i="5"/>
  <c r="M9" i="5"/>
  <c r="M12" i="5"/>
  <c r="H26" i="5"/>
  <c r="H55" i="5"/>
  <c r="H27" i="5"/>
  <c r="H56" i="5"/>
  <c r="H28" i="5"/>
  <c r="H44" i="5"/>
  <c r="C7" i="5"/>
  <c r="R10" i="5"/>
  <c r="R12" i="5"/>
  <c r="C22" i="5"/>
  <c r="H36" i="5"/>
  <c r="H43" i="5"/>
  <c r="C3" i="5"/>
  <c r="R4" i="5"/>
  <c r="R11" i="5"/>
  <c r="M13" i="5"/>
  <c r="H24" i="5"/>
  <c r="H34" i="5"/>
  <c r="H38" i="5"/>
  <c r="H47" i="5"/>
  <c r="H57" i="5"/>
  <c r="M6" i="5"/>
  <c r="C8" i="5"/>
  <c r="C10" i="5"/>
  <c r="C16" i="5"/>
  <c r="C20" i="5"/>
  <c r="H48" i="5"/>
  <c r="H58" i="5"/>
  <c r="C6" i="5"/>
  <c r="C5" i="5"/>
  <c r="H35" i="5"/>
  <c r="AD21" i="3" l="1"/>
  <c r="AE21" i="3"/>
  <c r="AG21" i="3"/>
  <c r="AG38" i="3" l="1"/>
  <c r="AE38" i="3"/>
  <c r="AD38" i="3"/>
  <c r="AF38" i="3" s="1"/>
  <c r="AG37" i="3"/>
  <c r="AE37" i="3"/>
  <c r="AD37" i="3"/>
  <c r="AG35" i="3"/>
  <c r="AE35" i="3"/>
  <c r="AD35" i="3"/>
  <c r="AG34" i="3"/>
  <c r="AE34" i="3"/>
  <c r="AD34" i="3"/>
  <c r="AF34" i="3" s="1"/>
  <c r="AG33" i="3"/>
  <c r="AE33" i="3"/>
  <c r="AD33" i="3"/>
  <c r="AF33" i="3" s="1"/>
  <c r="AG32" i="3"/>
  <c r="AE32" i="3"/>
  <c r="AD32" i="3"/>
  <c r="AG31" i="3"/>
  <c r="AE31" i="3"/>
  <c r="AD31" i="3"/>
  <c r="AG27" i="3"/>
  <c r="AE27" i="3"/>
  <c r="AD27" i="3"/>
  <c r="AG26" i="3"/>
  <c r="AE26" i="3"/>
  <c r="AD26" i="3"/>
  <c r="AF26" i="3" s="1"/>
  <c r="AG41" i="3"/>
  <c r="AE41" i="3"/>
  <c r="AD41" i="3"/>
  <c r="I34" i="3"/>
  <c r="M34" i="3" s="1"/>
  <c r="AQ34" i="3" l="1"/>
  <c r="AF27" i="3"/>
  <c r="AH27" i="3" s="1"/>
  <c r="AF41" i="3"/>
  <c r="Q34" i="3"/>
  <c r="AF35" i="3"/>
  <c r="AH35" i="3" s="1"/>
  <c r="AH33" i="3"/>
  <c r="AF37" i="3"/>
  <c r="AH37" i="3" s="1"/>
  <c r="AF31" i="3"/>
  <c r="AH31" i="3" s="1"/>
  <c r="AH38" i="3"/>
  <c r="AH26" i="3"/>
  <c r="AF32" i="3"/>
  <c r="AH32" i="3" s="1"/>
  <c r="AH34" i="3"/>
  <c r="AH41" i="3"/>
  <c r="AQ37" i="3"/>
  <c r="AQ19" i="3"/>
  <c r="Q37" i="3"/>
  <c r="Q19" i="3"/>
  <c r="M37" i="3"/>
  <c r="M19" i="3"/>
  <c r="AQ6" i="3" l="1"/>
  <c r="AF10" i="3"/>
  <c r="AF5" i="3"/>
  <c r="AF4" i="3"/>
  <c r="AF3" i="3"/>
  <c r="I14" i="3"/>
  <c r="J14" i="3" s="1"/>
  <c r="G14" i="3"/>
  <c r="H14" i="3" s="1"/>
  <c r="E14" i="3"/>
  <c r="F14" i="3" s="1"/>
  <c r="I13" i="3"/>
  <c r="J13" i="3" s="1"/>
  <c r="G13" i="3"/>
  <c r="H13" i="3" s="1"/>
  <c r="E13" i="3"/>
  <c r="F13" i="3" s="1"/>
  <c r="I11" i="3"/>
  <c r="J11" i="3" s="1"/>
  <c r="G11" i="3"/>
  <c r="H11" i="3" s="1"/>
  <c r="Y11" i="3" s="1"/>
  <c r="E11" i="3"/>
  <c r="F11" i="3" s="1"/>
  <c r="I9" i="3"/>
  <c r="J9" i="3" s="1"/>
  <c r="G9" i="3"/>
  <c r="H9" i="3" s="1"/>
  <c r="E9" i="3"/>
  <c r="I8" i="3"/>
  <c r="G8" i="3"/>
  <c r="E8" i="3"/>
  <c r="F8" i="3" s="1"/>
  <c r="I7" i="3"/>
  <c r="G7" i="3"/>
  <c r="H7" i="3" s="1"/>
  <c r="E7" i="3"/>
  <c r="F7" i="3" s="1"/>
  <c r="I5" i="3"/>
  <c r="J5" i="3" s="1"/>
  <c r="G5" i="3"/>
  <c r="H5" i="3" s="1"/>
  <c r="E5" i="3"/>
  <c r="F5" i="3" s="1"/>
  <c r="I4" i="3"/>
  <c r="J4" i="3" s="1"/>
  <c r="G4" i="3"/>
  <c r="H4" i="3" s="1"/>
  <c r="E4" i="3"/>
  <c r="F4" i="3" s="1"/>
  <c r="I3" i="3"/>
  <c r="J3" i="3" s="1"/>
  <c r="G3" i="3"/>
  <c r="H3" i="3" s="1"/>
  <c r="E3" i="3"/>
  <c r="F3" i="3" s="1"/>
  <c r="AH25" i="3"/>
  <c r="AF25" i="3"/>
  <c r="AH24" i="3"/>
  <c r="AF24" i="3"/>
  <c r="AH23" i="3"/>
  <c r="AF23" i="3"/>
  <c r="AH14" i="3"/>
  <c r="AF14" i="3"/>
  <c r="AH13" i="3"/>
  <c r="AF13" i="3"/>
  <c r="AH12" i="3"/>
  <c r="AF12" i="3"/>
  <c r="AH11" i="3"/>
  <c r="AF11" i="3"/>
  <c r="AH10" i="3"/>
  <c r="AH9" i="3"/>
  <c r="AF9" i="3"/>
  <c r="AH8" i="3"/>
  <c r="AF8" i="3"/>
  <c r="AH7" i="3"/>
  <c r="AF7" i="3"/>
  <c r="AH6" i="3"/>
  <c r="AF6" i="3"/>
  <c r="AH5" i="3"/>
  <c r="AH4" i="3"/>
  <c r="AH3" i="3"/>
  <c r="AF2" i="3"/>
  <c r="AH2" i="3" s="1"/>
  <c r="Z14" i="3" l="1"/>
  <c r="X13" i="3"/>
  <c r="Z4" i="3"/>
  <c r="Z9" i="3"/>
  <c r="J7" i="3"/>
  <c r="Z7" i="3" s="1"/>
  <c r="J8" i="3"/>
  <c r="Z8" i="3" s="1"/>
  <c r="Y7" i="3"/>
  <c r="X11" i="3"/>
  <c r="H8" i="3"/>
  <c r="Y8" i="3" s="1"/>
  <c r="X8" i="3"/>
  <c r="Z11" i="3"/>
  <c r="X3" i="3"/>
  <c r="Y3" i="3"/>
  <c r="X5" i="3"/>
  <c r="Y13" i="3"/>
  <c r="F9" i="3"/>
  <c r="X9" i="3" s="1"/>
  <c r="Z3" i="3"/>
  <c r="Y5" i="3"/>
  <c r="Z13" i="3"/>
  <c r="X4" i="3"/>
  <c r="Z5" i="3"/>
  <c r="Y9" i="3"/>
  <c r="X14" i="3"/>
  <c r="Y4" i="3"/>
  <c r="X7" i="3"/>
  <c r="Y14" i="3"/>
  <c r="AX46" i="2"/>
  <c r="AY46" i="2"/>
  <c r="AZ46" i="2"/>
  <c r="AX47" i="2"/>
  <c r="AY47" i="2"/>
  <c r="AZ47" i="2"/>
  <c r="AX48" i="2"/>
  <c r="AY48" i="2"/>
  <c r="AZ48" i="2"/>
  <c r="AX49" i="2"/>
  <c r="AY49" i="2"/>
  <c r="AZ49" i="2"/>
  <c r="AX50" i="2"/>
  <c r="AY50" i="2"/>
  <c r="AZ50" i="2"/>
  <c r="AX51" i="2"/>
  <c r="AY51" i="2"/>
  <c r="AZ51" i="2"/>
  <c r="AZ45" i="2"/>
  <c r="AY45" i="2"/>
  <c r="AU45" i="2" l="1"/>
  <c r="AX45" i="2" s="1"/>
  <c r="W48" i="2" l="1"/>
  <c r="W49" i="2"/>
  <c r="W50" i="2"/>
  <c r="T51" i="2"/>
  <c r="U51" i="2"/>
  <c r="V51" i="2"/>
  <c r="W51" i="2"/>
  <c r="BD48" i="2" l="1"/>
  <c r="BD45" i="2"/>
  <c r="BE45" i="2"/>
  <c r="BF45" i="2"/>
  <c r="BD46" i="2"/>
  <c r="BE46" i="2"/>
  <c r="BF46" i="2"/>
  <c r="BD47" i="2"/>
  <c r="BE47" i="2"/>
  <c r="BF47" i="2"/>
  <c r="BE48" i="2"/>
  <c r="BF48" i="2"/>
  <c r="BD49" i="2"/>
  <c r="BE49" i="2"/>
  <c r="BF49" i="2"/>
  <c r="BD50" i="2"/>
  <c r="BE50" i="2"/>
  <c r="BF50" i="2"/>
  <c r="BD51" i="2"/>
  <c r="BE51" i="2"/>
  <c r="BF51" i="2"/>
  <c r="BA45" i="2"/>
  <c r="BB45" i="2"/>
  <c r="BC45" i="2"/>
  <c r="BA46" i="2"/>
  <c r="BB46" i="2"/>
  <c r="BC46" i="2"/>
  <c r="BC47" i="2"/>
  <c r="BA48" i="2"/>
  <c r="BB48" i="2"/>
  <c r="BC48" i="2"/>
  <c r="BA49" i="2"/>
  <c r="BB49" i="2"/>
  <c r="BC49" i="2"/>
  <c r="BA50" i="2"/>
  <c r="BB50" i="2"/>
  <c r="BC50" i="2"/>
  <c r="G47" i="2"/>
  <c r="R47" i="2" s="1"/>
  <c r="E47" i="2"/>
  <c r="BA47" i="2" s="1"/>
  <c r="J51" i="2"/>
  <c r="I51" i="2"/>
  <c r="H51" i="2"/>
  <c r="G51" i="2"/>
  <c r="BB51" i="2" s="1"/>
  <c r="F51" i="2"/>
  <c r="E51" i="2"/>
  <c r="Y51" i="2"/>
  <c r="X51" i="2"/>
  <c r="Y50" i="2"/>
  <c r="X50" i="2"/>
  <c r="Y49" i="2"/>
  <c r="X49" i="2"/>
  <c r="Y48" i="2"/>
  <c r="X48" i="2"/>
  <c r="S50" i="2"/>
  <c r="R50" i="2"/>
  <c r="Q50" i="2"/>
  <c r="P50" i="2"/>
  <c r="O50" i="2"/>
  <c r="N50" i="2"/>
  <c r="S49" i="2"/>
  <c r="R49" i="2"/>
  <c r="Q49" i="2"/>
  <c r="P49" i="2"/>
  <c r="O49" i="2"/>
  <c r="N49" i="2"/>
  <c r="S48" i="2"/>
  <c r="R48" i="2"/>
  <c r="Q48" i="2"/>
  <c r="P48" i="2"/>
  <c r="O48" i="2"/>
  <c r="N48" i="2"/>
  <c r="S47" i="2"/>
  <c r="P47" i="2"/>
  <c r="S46" i="2"/>
  <c r="R46" i="2"/>
  <c r="Q46" i="2"/>
  <c r="P46" i="2"/>
  <c r="O46" i="2"/>
  <c r="N46" i="2"/>
  <c r="S45" i="2"/>
  <c r="R45" i="2"/>
  <c r="Q45" i="2"/>
  <c r="P45" i="2"/>
  <c r="O45" i="2"/>
  <c r="N45" i="2"/>
  <c r="BC51" i="2" l="1"/>
  <c r="N47" i="2"/>
  <c r="Q51" i="2"/>
  <c r="BB47" i="2"/>
  <c r="BA51" i="2"/>
  <c r="Q47" i="2"/>
  <c r="N51" i="2"/>
  <c r="S51" i="2"/>
  <c r="R51" i="2"/>
  <c r="O47" i="2"/>
  <c r="P51" i="2"/>
  <c r="O51" i="2"/>
  <c r="AH44" i="2" l="1"/>
  <c r="AG44" i="2"/>
  <c r="AF44" i="2"/>
  <c r="AH43" i="2"/>
  <c r="AG43" i="2"/>
  <c r="AF43" i="2"/>
  <c r="AH38" i="2"/>
  <c r="AG38" i="2"/>
  <c r="AF38" i="2"/>
  <c r="AH36" i="2"/>
  <c r="AG36" i="2"/>
  <c r="AF36" i="2"/>
  <c r="AH35" i="2"/>
  <c r="AG35" i="2"/>
  <c r="AF35" i="2"/>
  <c r="AH34" i="2"/>
  <c r="AG34" i="2"/>
  <c r="AF34" i="2"/>
  <c r="AH32" i="2"/>
  <c r="AG32" i="2"/>
  <c r="AF32" i="2"/>
  <c r="AH27" i="2"/>
  <c r="AG27" i="2"/>
  <c r="AF27" i="2"/>
  <c r="AH23" i="2"/>
  <c r="AG23" i="2"/>
  <c r="AF23" i="2"/>
  <c r="AH22" i="2"/>
  <c r="AG22" i="2"/>
  <c r="AF22" i="2"/>
  <c r="AH20" i="2"/>
  <c r="AG20" i="2"/>
  <c r="AF20" i="2"/>
  <c r="AH15" i="2"/>
  <c r="AG15" i="2"/>
  <c r="AF15" i="2"/>
  <c r="AH14" i="2"/>
  <c r="AG14" i="2"/>
  <c r="AF14" i="2"/>
  <c r="AH13" i="2"/>
  <c r="AG13" i="2"/>
  <c r="AF13" i="2"/>
  <c r="AH12" i="2"/>
  <c r="AG12" i="2"/>
  <c r="AF12" i="2"/>
  <c r="AH9" i="2"/>
  <c r="AG9" i="2"/>
  <c r="AF9" i="2"/>
  <c r="AH8" i="2"/>
  <c r="AG8" i="2"/>
  <c r="AF8" i="2"/>
  <c r="AH7" i="2"/>
  <c r="AG7" i="2"/>
  <c r="AF7" i="2"/>
  <c r="AH6" i="2"/>
  <c r="AG6" i="2"/>
  <c r="AF6" i="2"/>
  <c r="AH5" i="2"/>
  <c r="AG5" i="2"/>
  <c r="AF5" i="2"/>
  <c r="AH3" i="2"/>
  <c r="AG3" i="2"/>
  <c r="AF3" i="2"/>
  <c r="AH2" i="2"/>
  <c r="AG2" i="2"/>
  <c r="AF2" i="2"/>
  <c r="G22" i="3" l="1"/>
  <c r="H22" i="3"/>
  <c r="I22" i="3"/>
  <c r="F22" i="3"/>
  <c r="E22" i="3"/>
  <c r="AG22" i="3"/>
  <c r="AE22" i="3"/>
  <c r="AD22" i="3"/>
  <c r="H21" i="3"/>
  <c r="G21" i="3"/>
  <c r="F21" i="3"/>
  <c r="E21" i="3"/>
  <c r="I21" i="3"/>
  <c r="J20" i="3"/>
  <c r="I20" i="3"/>
  <c r="H20" i="3"/>
  <c r="G20" i="3"/>
  <c r="F20" i="3"/>
  <c r="E20" i="3"/>
  <c r="AG20" i="3"/>
  <c r="AE20" i="3"/>
  <c r="AD20" i="3"/>
  <c r="H19" i="3"/>
  <c r="G19" i="3"/>
  <c r="F19" i="3"/>
  <c r="E19" i="3"/>
  <c r="AG19" i="3"/>
  <c r="AE19" i="3"/>
  <c r="AD19" i="3"/>
  <c r="J18" i="3"/>
  <c r="I18" i="3"/>
  <c r="H18" i="3"/>
  <c r="G18" i="3"/>
  <c r="F18" i="3"/>
  <c r="E18" i="3"/>
  <c r="AG18" i="3"/>
  <c r="AE18" i="3"/>
  <c r="AD18" i="3"/>
  <c r="S17" i="3"/>
  <c r="H17" i="3"/>
  <c r="G17" i="3"/>
  <c r="I17" i="3"/>
  <c r="F17" i="3"/>
  <c r="E17" i="3"/>
  <c r="AG17" i="3"/>
  <c r="AE17" i="3"/>
  <c r="AD17" i="3"/>
  <c r="AP21" i="3" l="1"/>
  <c r="L22" i="3"/>
  <c r="AO20" i="3"/>
  <c r="AO19" i="3"/>
  <c r="AO22" i="3"/>
  <c r="AO21" i="3"/>
  <c r="AF21" i="3"/>
  <c r="AH21" i="3" s="1"/>
  <c r="M17" i="3"/>
  <c r="AQ17" i="3"/>
  <c r="Q17" i="3"/>
  <c r="AQ21" i="3"/>
  <c r="Q21" i="3"/>
  <c r="M21" i="3"/>
  <c r="AF19" i="3"/>
  <c r="AH19" i="3" s="1"/>
  <c r="AQ22" i="3"/>
  <c r="M22" i="3"/>
  <c r="Q22" i="3"/>
  <c r="AF17" i="3"/>
  <c r="AH17" i="3" s="1"/>
  <c r="AF22" i="3"/>
  <c r="AH22" i="3" s="1"/>
  <c r="AF18" i="3"/>
  <c r="AH18" i="3" s="1"/>
  <c r="AQ18" i="3"/>
  <c r="AF20" i="3"/>
  <c r="AH20" i="3" s="1"/>
  <c r="AP22" i="3"/>
  <c r="AP18" i="3"/>
  <c r="AP20" i="3"/>
  <c r="Q20" i="3"/>
  <c r="O17" i="3"/>
  <c r="AO18" i="3"/>
  <c r="AQ20" i="3"/>
  <c r="O21" i="3"/>
  <c r="K21" i="3"/>
  <c r="P18" i="3"/>
  <c r="L17" i="3"/>
  <c r="M18" i="3"/>
  <c r="M20" i="3"/>
  <c r="P17" i="3"/>
  <c r="L20" i="3"/>
  <c r="P20" i="3"/>
  <c r="K17" i="3"/>
  <c r="P22" i="3"/>
  <c r="K18" i="3"/>
  <c r="Q18" i="3"/>
  <c r="K19" i="3"/>
  <c r="K20" i="3"/>
  <c r="L21" i="3"/>
  <c r="K22" i="3"/>
  <c r="O18" i="3"/>
  <c r="AP17" i="3"/>
  <c r="O20" i="3"/>
  <c r="P21" i="3"/>
  <c r="O22" i="3"/>
  <c r="AO17" i="3"/>
  <c r="L18" i="3"/>
  <c r="AP19" i="3"/>
  <c r="L19" i="3"/>
  <c r="P19" i="3"/>
  <c r="O19" i="3"/>
  <c r="H16" i="3"/>
  <c r="G16" i="3"/>
  <c r="I16" i="3"/>
  <c r="F16" i="3"/>
  <c r="E16" i="3"/>
  <c r="AO16" i="3" s="1"/>
  <c r="N22" i="3" l="1"/>
  <c r="N21" i="3"/>
  <c r="AQ16" i="3"/>
  <c r="M16" i="3"/>
  <c r="Q16" i="3"/>
  <c r="N19" i="3"/>
  <c r="N17" i="3"/>
  <c r="AP16" i="3"/>
  <c r="N20" i="3"/>
  <c r="N18" i="3"/>
  <c r="L16" i="3"/>
  <c r="K16" i="3"/>
  <c r="O16" i="3"/>
  <c r="P16" i="3"/>
  <c r="AG16" i="3"/>
  <c r="AE16" i="3"/>
  <c r="AD16" i="3"/>
  <c r="H15" i="3"/>
  <c r="G15" i="3"/>
  <c r="F15" i="3"/>
  <c r="E15" i="3"/>
  <c r="I15" i="3"/>
  <c r="AG15" i="3"/>
  <c r="AE15" i="3"/>
  <c r="AD15" i="3"/>
  <c r="I41" i="3"/>
  <c r="Y41" i="3"/>
  <c r="S41" i="3"/>
  <c r="H41" i="3"/>
  <c r="G41" i="3"/>
  <c r="X41" i="3"/>
  <c r="R41" i="3"/>
  <c r="F41" i="3"/>
  <c r="E41" i="3"/>
  <c r="S40" i="3"/>
  <c r="H40" i="3"/>
  <c r="G40" i="3"/>
  <c r="I40" i="3"/>
  <c r="F40" i="3"/>
  <c r="E40" i="3"/>
  <c r="AG40" i="3"/>
  <c r="AE40" i="3"/>
  <c r="AD40" i="3"/>
  <c r="J39" i="3"/>
  <c r="I39" i="3"/>
  <c r="Y39" i="3"/>
  <c r="H39" i="3"/>
  <c r="G39" i="3"/>
  <c r="T39" i="3"/>
  <c r="S39" i="3"/>
  <c r="F39" i="3"/>
  <c r="E39" i="3"/>
  <c r="AG39" i="3"/>
  <c r="AE39" i="3"/>
  <c r="AD39" i="3"/>
  <c r="J38" i="3"/>
  <c r="I38" i="3"/>
  <c r="F38" i="3"/>
  <c r="E38" i="3"/>
  <c r="Y38" i="3"/>
  <c r="H38" i="3"/>
  <c r="G38" i="3"/>
  <c r="H37" i="3"/>
  <c r="G37" i="3"/>
  <c r="F37" i="3"/>
  <c r="E37" i="3"/>
  <c r="J36" i="3"/>
  <c r="I36" i="3"/>
  <c r="F36" i="3"/>
  <c r="E36" i="3"/>
  <c r="T36" i="3"/>
  <c r="S36" i="3"/>
  <c r="R36" i="3"/>
  <c r="H36" i="3"/>
  <c r="G36" i="3"/>
  <c r="AG36" i="3"/>
  <c r="AE36" i="3"/>
  <c r="AD36" i="3"/>
  <c r="F35" i="3"/>
  <c r="E35" i="3"/>
  <c r="T35" i="3"/>
  <c r="S35" i="3"/>
  <c r="R35" i="3"/>
  <c r="I35" i="3"/>
  <c r="H35" i="3"/>
  <c r="G35" i="3"/>
  <c r="H34" i="3"/>
  <c r="G34" i="3"/>
  <c r="F34" i="3"/>
  <c r="E34" i="3"/>
  <c r="S34" i="3"/>
  <c r="T34" i="3"/>
  <c r="I33" i="3"/>
  <c r="J33" i="3"/>
  <c r="F33" i="3"/>
  <c r="T33" i="3"/>
  <c r="H33" i="3"/>
  <c r="S33" i="3"/>
  <c r="R33" i="3"/>
  <c r="G33" i="3"/>
  <c r="E33" i="3"/>
  <c r="T32" i="3"/>
  <c r="R32" i="3"/>
  <c r="F32" i="3"/>
  <c r="J32" i="3"/>
  <c r="I32" i="3"/>
  <c r="H32" i="3"/>
  <c r="G32" i="3"/>
  <c r="E32" i="3"/>
  <c r="J31" i="3"/>
  <c r="F31" i="3"/>
  <c r="S31" i="3"/>
  <c r="T31" i="3"/>
  <c r="R31" i="3"/>
  <c r="I31" i="3"/>
  <c r="G31" i="3"/>
  <c r="Y31" i="3" s="1"/>
  <c r="E31" i="3"/>
  <c r="H30" i="3"/>
  <c r="G30" i="3"/>
  <c r="I30" i="3"/>
  <c r="S30" i="3"/>
  <c r="R30" i="3"/>
  <c r="F30" i="3"/>
  <c r="E30" i="3"/>
  <c r="AG30" i="3"/>
  <c r="AE30" i="3"/>
  <c r="AD30" i="3"/>
  <c r="J29" i="3"/>
  <c r="I29" i="3"/>
  <c r="H29" i="3"/>
  <c r="G29" i="3"/>
  <c r="T29" i="3"/>
  <c r="S29" i="3"/>
  <c r="R29" i="3"/>
  <c r="F29" i="3"/>
  <c r="E29" i="3"/>
  <c r="AG29" i="3"/>
  <c r="AE29" i="3"/>
  <c r="AD29" i="3"/>
  <c r="G28" i="3"/>
  <c r="I28" i="3"/>
  <c r="R28" i="3"/>
  <c r="AG28" i="3"/>
  <c r="AE28" i="3"/>
  <c r="AD28" i="3"/>
  <c r="X28" i="3"/>
  <c r="F28" i="3"/>
  <c r="E28" i="3"/>
  <c r="Z27" i="3"/>
  <c r="J27" i="3"/>
  <c r="I27" i="3"/>
  <c r="H27" i="3"/>
  <c r="G27" i="3"/>
  <c r="X27" i="3"/>
  <c r="F27" i="3"/>
  <c r="E27" i="3"/>
  <c r="T27" i="3"/>
  <c r="S27" i="3"/>
  <c r="R27" i="3"/>
  <c r="Z26" i="3"/>
  <c r="J26" i="3"/>
  <c r="I26" i="3"/>
  <c r="Y26" i="3"/>
  <c r="H26" i="3"/>
  <c r="G26" i="3"/>
  <c r="T26" i="3"/>
  <c r="R26" i="3"/>
  <c r="S26" i="3"/>
  <c r="X26" i="3"/>
  <c r="F26" i="3"/>
  <c r="E26" i="3"/>
  <c r="N2" i="3"/>
  <c r="AQ25" i="3"/>
  <c r="AP25" i="3"/>
  <c r="AO25" i="3"/>
  <c r="AQ24" i="3"/>
  <c r="AP24" i="3"/>
  <c r="AO24" i="3"/>
  <c r="AQ23" i="3"/>
  <c r="AP23" i="3"/>
  <c r="AO23" i="3"/>
  <c r="AQ12" i="3"/>
  <c r="AP12" i="3"/>
  <c r="AO12" i="3"/>
  <c r="AQ10" i="3"/>
  <c r="AP10" i="3"/>
  <c r="AO10" i="3"/>
  <c r="AP6" i="3"/>
  <c r="AO6" i="3"/>
  <c r="Q24" i="3"/>
  <c r="P24" i="3"/>
  <c r="O24" i="3"/>
  <c r="Q25" i="3"/>
  <c r="P25" i="3"/>
  <c r="O25" i="3"/>
  <c r="Q23" i="3"/>
  <c r="P23" i="3"/>
  <c r="O23" i="3"/>
  <c r="Q12" i="3"/>
  <c r="P12" i="3"/>
  <c r="O12" i="3"/>
  <c r="Q10" i="3"/>
  <c r="P10" i="3"/>
  <c r="O10" i="3"/>
  <c r="Q6" i="3"/>
  <c r="P6" i="3"/>
  <c r="O6" i="3"/>
  <c r="M25" i="3"/>
  <c r="L25" i="3"/>
  <c r="K25" i="3"/>
  <c r="M24" i="3"/>
  <c r="L24" i="3"/>
  <c r="K24" i="3"/>
  <c r="M23" i="3"/>
  <c r="L23" i="3"/>
  <c r="K23" i="3"/>
  <c r="M12" i="3"/>
  <c r="L12" i="3"/>
  <c r="K12" i="3"/>
  <c r="M10" i="3"/>
  <c r="L10" i="3"/>
  <c r="K10" i="3"/>
  <c r="M6" i="3"/>
  <c r="L6" i="3"/>
  <c r="K6" i="3"/>
  <c r="AG25" i="3"/>
  <c r="AG24" i="3"/>
  <c r="AG14" i="3"/>
  <c r="AG11" i="3"/>
  <c r="AG13" i="3"/>
  <c r="AG9" i="3"/>
  <c r="AG8" i="3"/>
  <c r="AG7" i="3"/>
  <c r="AG23" i="3"/>
  <c r="AG6" i="3"/>
  <c r="AG12" i="3"/>
  <c r="J2" i="3"/>
  <c r="I2" i="3"/>
  <c r="H2" i="3"/>
  <c r="G2" i="3"/>
  <c r="F2" i="3"/>
  <c r="E2" i="3"/>
  <c r="Z2" i="3"/>
  <c r="X2" i="3"/>
  <c r="P35" i="3" l="1"/>
  <c r="AF36" i="3"/>
  <c r="L39" i="3"/>
  <c r="O34" i="3"/>
  <c r="M31" i="3"/>
  <c r="AF30" i="3"/>
  <c r="AH30" i="3" s="1"/>
  <c r="AF39" i="3"/>
  <c r="AH39" i="3" s="1"/>
  <c r="AQ28" i="3"/>
  <c r="Q28" i="3"/>
  <c r="M28" i="3"/>
  <c r="O37" i="3"/>
  <c r="L40" i="3"/>
  <c r="AF15" i="3"/>
  <c r="AH15" i="3" s="1"/>
  <c r="AF16" i="3"/>
  <c r="AH16" i="3" s="1"/>
  <c r="AF29" i="3"/>
  <c r="AH29" i="3" s="1"/>
  <c r="AF40" i="3"/>
  <c r="AH40" i="3" s="1"/>
  <c r="AO41" i="3"/>
  <c r="M35" i="3"/>
  <c r="AQ35" i="3"/>
  <c r="Q35" i="3"/>
  <c r="AP40" i="3"/>
  <c r="M15" i="3"/>
  <c r="AQ15" i="3"/>
  <c r="Q15" i="3"/>
  <c r="AQ30" i="3"/>
  <c r="Q30" i="3"/>
  <c r="M30" i="3"/>
  <c r="L28" i="3"/>
  <c r="AP28" i="3"/>
  <c r="P28" i="3"/>
  <c r="AF28" i="3"/>
  <c r="AH28" i="3" s="1"/>
  <c r="AQ29" i="3"/>
  <c r="P31" i="3"/>
  <c r="L31" i="3"/>
  <c r="P34" i="3"/>
  <c r="P36" i="3"/>
  <c r="AP33" i="3"/>
  <c r="N16" i="3"/>
  <c r="O35" i="3"/>
  <c r="M40" i="3"/>
  <c r="Q40" i="3"/>
  <c r="AQ40" i="3"/>
  <c r="O41" i="3"/>
  <c r="M41" i="3"/>
  <c r="AQ41" i="3"/>
  <c r="Q41" i="3"/>
  <c r="AH36" i="3"/>
  <c r="Q32" i="3"/>
  <c r="L41" i="3"/>
  <c r="L35" i="3"/>
  <c r="K36" i="3"/>
  <c r="Q33" i="3"/>
  <c r="O40" i="3"/>
  <c r="L38" i="3"/>
  <c r="AP39" i="3"/>
  <c r="AO32" i="3"/>
  <c r="M39" i="3"/>
  <c r="O33" i="3"/>
  <c r="AP37" i="3"/>
  <c r="P40" i="3"/>
  <c r="P39" i="3"/>
  <c r="AQ31" i="3"/>
  <c r="M32" i="3"/>
  <c r="K33" i="3"/>
  <c r="K29" i="3"/>
  <c r="K39" i="3"/>
  <c r="AQ39" i="3"/>
  <c r="AP41" i="3"/>
  <c r="AP34" i="3"/>
  <c r="Q36" i="3"/>
  <c r="O30" i="3"/>
  <c r="AO31" i="3"/>
  <c r="L32" i="3"/>
  <c r="M38" i="3"/>
  <c r="P41" i="3"/>
  <c r="L15" i="3"/>
  <c r="AP38" i="3"/>
  <c r="AP32" i="3"/>
  <c r="AO33" i="3"/>
  <c r="P38" i="3"/>
  <c r="O39" i="3"/>
  <c r="AP15" i="3"/>
  <c r="K41" i="3"/>
  <c r="P27" i="3"/>
  <c r="Q29" i="3"/>
  <c r="P37" i="3"/>
  <c r="Q39" i="3"/>
  <c r="P15" i="3"/>
  <c r="AO30" i="3"/>
  <c r="M29" i="3"/>
  <c r="O31" i="3"/>
  <c r="L36" i="3"/>
  <c r="AQ36" i="3"/>
  <c r="O38" i="3"/>
  <c r="AO39" i="3"/>
  <c r="K40" i="3"/>
  <c r="AO40" i="3"/>
  <c r="AO15" i="3"/>
  <c r="L33" i="3"/>
  <c r="K15" i="3"/>
  <c r="AP30" i="3"/>
  <c r="AO35" i="3"/>
  <c r="Q38" i="3"/>
  <c r="O15" i="3"/>
  <c r="L34" i="3"/>
  <c r="K31" i="3"/>
  <c r="AQ32" i="3"/>
  <c r="P33" i="3"/>
  <c r="AO38" i="3"/>
  <c r="AO37" i="3"/>
  <c r="AP36" i="3"/>
  <c r="P32" i="3"/>
  <c r="AO34" i="3"/>
  <c r="O36" i="3"/>
  <c r="K37" i="3"/>
  <c r="K38" i="3"/>
  <c r="AQ38" i="3"/>
  <c r="K35" i="3"/>
  <c r="P26" i="3"/>
  <c r="L30" i="3"/>
  <c r="Q31" i="3"/>
  <c r="K34" i="3"/>
  <c r="AP35" i="3"/>
  <c r="AO36" i="3"/>
  <c r="L37" i="3"/>
  <c r="P30" i="3"/>
  <c r="O32" i="3"/>
  <c r="M36" i="3"/>
  <c r="AP26" i="3"/>
  <c r="Q27" i="3"/>
  <c r="M33" i="3"/>
  <c r="AQ33" i="3"/>
  <c r="K32" i="3"/>
  <c r="K30" i="3"/>
  <c r="AO26" i="3"/>
  <c r="O26" i="3"/>
  <c r="M27" i="3"/>
  <c r="L29" i="3"/>
  <c r="AO2" i="3"/>
  <c r="N6" i="3"/>
  <c r="AO29" i="3"/>
  <c r="N23" i="3"/>
  <c r="Q26" i="3"/>
  <c r="AO27" i="3"/>
  <c r="AQ27" i="3"/>
  <c r="O29" i="3"/>
  <c r="AP29" i="3"/>
  <c r="P29" i="3"/>
  <c r="K26" i="3"/>
  <c r="AP27" i="3"/>
  <c r="AO28" i="3"/>
  <c r="L26" i="3"/>
  <c r="L27" i="3"/>
  <c r="N10" i="3"/>
  <c r="N12" i="3"/>
  <c r="AQ26" i="3"/>
  <c r="O27" i="3"/>
  <c r="O28" i="3"/>
  <c r="N25" i="3"/>
  <c r="K27" i="3"/>
  <c r="K28" i="3"/>
  <c r="M26" i="3"/>
  <c r="N24" i="3"/>
  <c r="AP2" i="3"/>
  <c r="AQ2" i="3"/>
  <c r="N41" i="3" l="1"/>
  <c r="N31" i="3"/>
  <c r="N15" i="3"/>
  <c r="N37" i="3"/>
  <c r="N28" i="3"/>
  <c r="N34" i="3"/>
  <c r="N40" i="3"/>
  <c r="N30" i="3"/>
  <c r="N35" i="3"/>
  <c r="N36" i="3"/>
  <c r="N33" i="3"/>
  <c r="N39" i="3"/>
  <c r="N32" i="3"/>
  <c r="N29" i="3"/>
  <c r="N38" i="3"/>
  <c r="N27" i="3"/>
  <c r="N26" i="3"/>
  <c r="V19" i="2"/>
  <c r="BF19" i="2" s="1"/>
  <c r="U19" i="2"/>
  <c r="BE19" i="2" s="1"/>
  <c r="T19" i="2"/>
  <c r="BD19" i="2" s="1"/>
  <c r="X19" i="2"/>
  <c r="Y19" i="2"/>
  <c r="W19" i="2"/>
  <c r="N20" i="2"/>
  <c r="J19" i="2"/>
  <c r="I19" i="2"/>
  <c r="S19" i="2" s="1"/>
  <c r="H19" i="2"/>
  <c r="G19" i="2"/>
  <c r="F19" i="2"/>
  <c r="E19" i="2"/>
  <c r="BD3" i="2"/>
  <c r="BE3" i="2"/>
  <c r="BF3" i="2"/>
  <c r="BD4" i="2"/>
  <c r="BE4" i="2"/>
  <c r="BF4" i="2"/>
  <c r="BD5" i="2"/>
  <c r="BE5" i="2"/>
  <c r="BF5" i="2"/>
  <c r="BD6" i="2"/>
  <c r="BE6" i="2"/>
  <c r="BF6" i="2"/>
  <c r="BD7" i="2"/>
  <c r="BE7" i="2"/>
  <c r="BF7" i="2"/>
  <c r="BD8" i="2"/>
  <c r="BE8" i="2"/>
  <c r="BF8" i="2"/>
  <c r="BD9" i="2"/>
  <c r="BE9" i="2"/>
  <c r="BF9" i="2"/>
  <c r="BD10" i="2"/>
  <c r="BE10" i="2"/>
  <c r="BF10" i="2"/>
  <c r="BD11" i="2"/>
  <c r="BE11" i="2"/>
  <c r="BF11" i="2"/>
  <c r="BD12" i="2"/>
  <c r="BE12" i="2"/>
  <c r="BF12" i="2"/>
  <c r="BD13" i="2"/>
  <c r="BE13" i="2"/>
  <c r="BF13" i="2"/>
  <c r="BD14" i="2"/>
  <c r="BE14" i="2"/>
  <c r="BF14" i="2"/>
  <c r="BD15" i="2"/>
  <c r="BE15" i="2"/>
  <c r="BF15" i="2"/>
  <c r="BD16" i="2"/>
  <c r="BE16" i="2"/>
  <c r="BF16" i="2"/>
  <c r="BD17" i="2"/>
  <c r="BE17" i="2"/>
  <c r="BF17" i="2"/>
  <c r="BD18" i="2"/>
  <c r="BE18" i="2"/>
  <c r="BF18" i="2"/>
  <c r="BD20" i="2"/>
  <c r="BE20" i="2"/>
  <c r="BF20" i="2"/>
  <c r="BD21" i="2"/>
  <c r="BE21" i="2"/>
  <c r="BF21" i="2"/>
  <c r="BD22" i="2"/>
  <c r="BE22" i="2"/>
  <c r="BF22" i="2"/>
  <c r="BD23" i="2"/>
  <c r="BE23" i="2"/>
  <c r="BF23" i="2"/>
  <c r="BD24" i="2"/>
  <c r="BE24" i="2"/>
  <c r="BF24" i="2"/>
  <c r="BD25" i="2"/>
  <c r="BE25" i="2"/>
  <c r="BF25" i="2"/>
  <c r="BD26" i="2"/>
  <c r="BE26" i="2"/>
  <c r="BF26" i="2"/>
  <c r="BD27" i="2"/>
  <c r="BE27" i="2"/>
  <c r="BF27" i="2"/>
  <c r="BD28" i="2"/>
  <c r="BE28" i="2"/>
  <c r="BF28" i="2"/>
  <c r="BD29" i="2"/>
  <c r="BE29" i="2"/>
  <c r="BF29" i="2"/>
  <c r="BD30" i="2"/>
  <c r="BE30" i="2"/>
  <c r="BF30" i="2"/>
  <c r="BD31" i="2"/>
  <c r="BE31" i="2"/>
  <c r="BF31" i="2"/>
  <c r="BD32" i="2"/>
  <c r="BE32" i="2"/>
  <c r="BF32" i="2"/>
  <c r="BD33" i="2"/>
  <c r="BE33" i="2"/>
  <c r="BF33" i="2"/>
  <c r="BD34" i="2"/>
  <c r="BE34" i="2"/>
  <c r="BF34" i="2"/>
  <c r="BD35" i="2"/>
  <c r="BE35" i="2"/>
  <c r="BF35" i="2"/>
  <c r="BD36" i="2"/>
  <c r="BE36" i="2"/>
  <c r="BF36" i="2"/>
  <c r="BD37" i="2"/>
  <c r="BE37" i="2"/>
  <c r="BF37" i="2"/>
  <c r="BD38" i="2"/>
  <c r="BE38" i="2"/>
  <c r="BF38" i="2"/>
  <c r="BD39" i="2"/>
  <c r="BE39" i="2"/>
  <c r="BF39" i="2"/>
  <c r="BD40" i="2"/>
  <c r="BE40" i="2"/>
  <c r="BF40" i="2"/>
  <c r="BD41" i="2"/>
  <c r="BE41" i="2"/>
  <c r="BF41" i="2"/>
  <c r="BD42" i="2"/>
  <c r="BE42" i="2"/>
  <c r="BF42" i="2"/>
  <c r="BD43" i="2"/>
  <c r="BE43" i="2"/>
  <c r="BF43" i="2"/>
  <c r="BD44" i="2"/>
  <c r="BE44" i="2"/>
  <c r="BF44" i="2"/>
  <c r="BE2" i="2"/>
  <c r="BF2" i="2"/>
  <c r="BD2" i="2"/>
  <c r="BA3" i="2"/>
  <c r="BB3" i="2"/>
  <c r="BC3" i="2"/>
  <c r="BA4" i="2"/>
  <c r="BB4" i="2"/>
  <c r="BC4" i="2"/>
  <c r="BA5" i="2"/>
  <c r="BB5" i="2"/>
  <c r="BC5" i="2"/>
  <c r="BA6" i="2"/>
  <c r="BB6" i="2"/>
  <c r="BC6" i="2"/>
  <c r="BA7" i="2"/>
  <c r="BB7" i="2"/>
  <c r="BC7" i="2"/>
  <c r="BA8" i="2"/>
  <c r="BB8" i="2"/>
  <c r="BC8" i="2"/>
  <c r="BA9" i="2"/>
  <c r="BB9" i="2"/>
  <c r="BC9" i="2"/>
  <c r="BA10" i="2"/>
  <c r="BB10" i="2"/>
  <c r="BC10" i="2"/>
  <c r="BA11" i="2"/>
  <c r="BB11" i="2"/>
  <c r="BC11" i="2"/>
  <c r="BA12" i="2"/>
  <c r="BB12" i="2"/>
  <c r="BC12" i="2"/>
  <c r="BA13" i="2"/>
  <c r="BB13" i="2"/>
  <c r="BC13" i="2"/>
  <c r="BA14" i="2"/>
  <c r="BB14" i="2"/>
  <c r="BC14" i="2"/>
  <c r="BA15" i="2"/>
  <c r="BB15" i="2"/>
  <c r="BC15" i="2"/>
  <c r="BA16" i="2"/>
  <c r="BB16" i="2"/>
  <c r="BC16" i="2"/>
  <c r="BA17" i="2"/>
  <c r="BB17" i="2"/>
  <c r="BC17" i="2"/>
  <c r="BA18" i="2"/>
  <c r="BB18" i="2"/>
  <c r="BC18" i="2"/>
  <c r="BA20" i="2"/>
  <c r="BB20" i="2"/>
  <c r="BC20" i="2"/>
  <c r="BA21" i="2"/>
  <c r="BB21" i="2"/>
  <c r="BC21" i="2"/>
  <c r="BA22" i="2"/>
  <c r="BB22" i="2"/>
  <c r="BC22" i="2"/>
  <c r="BA23" i="2"/>
  <c r="BB23" i="2"/>
  <c r="BC23" i="2"/>
  <c r="BA24" i="2"/>
  <c r="BB24" i="2"/>
  <c r="BC24" i="2"/>
  <c r="BA25" i="2"/>
  <c r="BB25" i="2"/>
  <c r="BC25" i="2"/>
  <c r="BA26" i="2"/>
  <c r="BB26" i="2"/>
  <c r="BC26" i="2"/>
  <c r="BA27" i="2"/>
  <c r="BB27" i="2"/>
  <c r="BC27" i="2"/>
  <c r="BA28" i="2"/>
  <c r="BB28" i="2"/>
  <c r="BC28" i="2"/>
  <c r="BA29" i="2"/>
  <c r="BB29" i="2"/>
  <c r="BC29" i="2"/>
  <c r="BA30" i="2"/>
  <c r="BB30" i="2"/>
  <c r="BC30" i="2"/>
  <c r="BA31" i="2"/>
  <c r="BB31" i="2"/>
  <c r="BC31" i="2"/>
  <c r="BA32" i="2"/>
  <c r="BB32" i="2"/>
  <c r="BC32" i="2"/>
  <c r="BA33" i="2"/>
  <c r="BB33" i="2"/>
  <c r="BC33" i="2"/>
  <c r="BA34" i="2"/>
  <c r="BB34" i="2"/>
  <c r="BC34" i="2"/>
  <c r="BA35" i="2"/>
  <c r="BB35" i="2"/>
  <c r="BC35" i="2"/>
  <c r="BA36" i="2"/>
  <c r="BB36" i="2"/>
  <c r="BC36" i="2"/>
  <c r="BA37" i="2"/>
  <c r="BB37" i="2"/>
  <c r="BC37" i="2"/>
  <c r="BA38" i="2"/>
  <c r="BB38" i="2"/>
  <c r="BC38" i="2"/>
  <c r="BA39" i="2"/>
  <c r="BB39" i="2"/>
  <c r="BC39" i="2"/>
  <c r="BA40" i="2"/>
  <c r="BB40" i="2"/>
  <c r="BC40" i="2"/>
  <c r="BA41" i="2"/>
  <c r="BB41" i="2"/>
  <c r="BC41" i="2"/>
  <c r="BA42" i="2"/>
  <c r="BB42" i="2"/>
  <c r="BC42" i="2"/>
  <c r="BA43" i="2"/>
  <c r="BB43" i="2"/>
  <c r="BC43" i="2"/>
  <c r="BA44" i="2"/>
  <c r="BB44" i="2"/>
  <c r="BC44" i="2"/>
  <c r="BC2" i="2"/>
  <c r="BB2" i="2"/>
  <c r="BA2" i="2"/>
  <c r="Z308" i="1"/>
  <c r="Y308" i="1"/>
  <c r="X308" i="1"/>
  <c r="Z296" i="1"/>
  <c r="Y296" i="1"/>
  <c r="X296" i="1"/>
  <c r="T296" i="1"/>
  <c r="S296" i="1"/>
  <c r="R296" i="1"/>
  <c r="Q296" i="1"/>
  <c r="P296" i="1"/>
  <c r="O296" i="1"/>
  <c r="Z279" i="1"/>
  <c r="Y279" i="1"/>
  <c r="X279" i="1"/>
  <c r="T279" i="1"/>
  <c r="S279" i="1"/>
  <c r="R279" i="1"/>
  <c r="Q279" i="1"/>
  <c r="P279" i="1"/>
  <c r="O279" i="1"/>
  <c r="Z88" i="1"/>
  <c r="Y88" i="1"/>
  <c r="X88" i="1"/>
  <c r="T88" i="1"/>
  <c r="S88" i="1"/>
  <c r="R88" i="1"/>
  <c r="Q88" i="1"/>
  <c r="P88" i="1"/>
  <c r="O88" i="1"/>
  <c r="T29" i="1"/>
  <c r="S29" i="1"/>
  <c r="R29" i="1"/>
  <c r="Q29" i="1"/>
  <c r="P29" i="1"/>
  <c r="O29" i="1"/>
  <c r="O19" i="2" l="1"/>
  <c r="BA19" i="2"/>
  <c r="R19" i="2"/>
  <c r="Q19" i="2"/>
  <c r="N19" i="2"/>
  <c r="BC19" i="2"/>
  <c r="P19" i="2"/>
  <c r="BB19" i="2"/>
  <c r="W3" i="2"/>
  <c r="X3" i="2"/>
  <c r="Y3" i="2"/>
  <c r="W4" i="2"/>
  <c r="X4" i="2"/>
  <c r="Y4" i="2"/>
  <c r="W5" i="2"/>
  <c r="X5" i="2"/>
  <c r="Y5" i="2"/>
  <c r="W6" i="2"/>
  <c r="X6" i="2"/>
  <c r="Y6" i="2"/>
  <c r="W7" i="2"/>
  <c r="X7" i="2"/>
  <c r="Y7" i="2"/>
  <c r="W8" i="2"/>
  <c r="X8" i="2"/>
  <c r="Y8" i="2"/>
  <c r="W9" i="2"/>
  <c r="X9" i="2"/>
  <c r="Y9" i="2"/>
  <c r="W10" i="2"/>
  <c r="X10" i="2"/>
  <c r="Y10" i="2"/>
  <c r="W11" i="2"/>
  <c r="X11" i="2"/>
  <c r="Y11" i="2"/>
  <c r="W12" i="2"/>
  <c r="X12" i="2"/>
  <c r="Y12" i="2"/>
  <c r="W13" i="2"/>
  <c r="X13" i="2"/>
  <c r="Y13" i="2"/>
  <c r="W14" i="2"/>
  <c r="X14" i="2"/>
  <c r="Y14" i="2"/>
  <c r="W15" i="2"/>
  <c r="X15" i="2"/>
  <c r="Y15" i="2"/>
  <c r="W16" i="2"/>
  <c r="X16" i="2"/>
  <c r="Y16" i="2"/>
  <c r="W20" i="2"/>
  <c r="X20" i="2"/>
  <c r="Y20" i="2"/>
  <c r="W22" i="2"/>
  <c r="X22" i="2"/>
  <c r="Y22" i="2"/>
  <c r="W23" i="2"/>
  <c r="X23" i="2"/>
  <c r="Y23" i="2"/>
  <c r="W24" i="2"/>
  <c r="X24" i="2"/>
  <c r="Y24" i="2"/>
  <c r="W25" i="2"/>
  <c r="X25" i="2"/>
  <c r="Y25" i="2"/>
  <c r="W26" i="2"/>
  <c r="X26" i="2"/>
  <c r="Y26" i="2"/>
  <c r="W27" i="2"/>
  <c r="X27" i="2"/>
  <c r="Y27" i="2"/>
  <c r="W28" i="2"/>
  <c r="X28" i="2"/>
  <c r="Y28" i="2"/>
  <c r="W29" i="2"/>
  <c r="X29" i="2"/>
  <c r="Y29" i="2"/>
  <c r="W30" i="2"/>
  <c r="X30" i="2"/>
  <c r="Y30" i="2"/>
  <c r="W31" i="2"/>
  <c r="X31" i="2"/>
  <c r="Y31" i="2"/>
  <c r="W32" i="2"/>
  <c r="X32" i="2"/>
  <c r="Y32" i="2"/>
  <c r="W33" i="2"/>
  <c r="X33" i="2"/>
  <c r="Y33" i="2"/>
  <c r="W34" i="2"/>
  <c r="X34" i="2"/>
  <c r="Y34" i="2"/>
  <c r="W35" i="2"/>
  <c r="X35" i="2"/>
  <c r="Y35" i="2"/>
  <c r="W36" i="2"/>
  <c r="X36" i="2"/>
  <c r="Y36" i="2"/>
  <c r="W37" i="2"/>
  <c r="X37" i="2"/>
  <c r="Y37" i="2"/>
  <c r="W38" i="2"/>
  <c r="X38" i="2"/>
  <c r="Y38" i="2"/>
  <c r="W39" i="2"/>
  <c r="X39" i="2"/>
  <c r="Y39" i="2"/>
  <c r="W40" i="2"/>
  <c r="X40" i="2"/>
  <c r="Y40" i="2"/>
  <c r="W41" i="2"/>
  <c r="X41" i="2"/>
  <c r="Y41" i="2"/>
  <c r="W42" i="2"/>
  <c r="X42" i="2"/>
  <c r="Y42" i="2"/>
  <c r="W43" i="2"/>
  <c r="X43" i="2"/>
  <c r="Y43" i="2"/>
  <c r="W44" i="2"/>
  <c r="X44" i="2"/>
  <c r="Y44" i="2"/>
  <c r="Y2" i="2"/>
  <c r="X2" i="2"/>
  <c r="W2" i="2"/>
  <c r="W238" i="1" l="1"/>
  <c r="V238" i="1"/>
  <c r="U238" i="1"/>
  <c r="Z245" i="1"/>
  <c r="Y245" i="1"/>
  <c r="X245" i="1"/>
  <c r="Y238" i="1"/>
  <c r="Z238" i="1"/>
  <c r="X238" i="1"/>
  <c r="T245" i="1"/>
  <c r="S245" i="1"/>
  <c r="R245" i="1"/>
  <c r="Q245" i="1"/>
  <c r="P245" i="1"/>
  <c r="O245" i="1"/>
  <c r="K238" i="1"/>
  <c r="T238" i="1" s="1"/>
  <c r="J238" i="1"/>
  <c r="I238" i="1"/>
  <c r="H238" i="1"/>
  <c r="G238" i="1"/>
  <c r="F238" i="1"/>
  <c r="R238" i="1" s="1"/>
  <c r="AA238" i="1"/>
  <c r="Q238" i="1" l="1"/>
  <c r="P238" i="1"/>
  <c r="O238" i="1"/>
  <c r="S238" i="1"/>
  <c r="T210" i="1"/>
  <c r="S210" i="1"/>
  <c r="R210" i="1"/>
  <c r="Q210" i="1"/>
  <c r="P210" i="1"/>
  <c r="O210" i="1"/>
  <c r="T209" i="1"/>
  <c r="S209" i="1"/>
  <c r="R209" i="1"/>
  <c r="Q209" i="1"/>
  <c r="P209" i="1"/>
  <c r="O209" i="1"/>
  <c r="X210" i="1"/>
  <c r="Y210" i="1"/>
  <c r="Z210" i="1"/>
  <c r="Y209" i="1"/>
  <c r="Z209" i="1"/>
  <c r="X209" i="1"/>
  <c r="T152" i="1"/>
  <c r="S152" i="1"/>
  <c r="R152" i="1"/>
  <c r="Q152" i="1"/>
  <c r="P152" i="1"/>
  <c r="O152" i="1"/>
  <c r="T151" i="1"/>
  <c r="S151" i="1"/>
  <c r="R151" i="1"/>
  <c r="Q151" i="1"/>
  <c r="P151" i="1"/>
  <c r="O151" i="1"/>
  <c r="X152" i="1"/>
  <c r="Y152" i="1"/>
  <c r="Z152" i="1"/>
  <c r="Y151" i="1"/>
  <c r="Z151" i="1"/>
  <c r="X151" i="1"/>
</calcChain>
</file>

<file path=xl/sharedStrings.xml><?xml version="1.0" encoding="utf-8"?>
<sst xmlns="http://schemas.openxmlformats.org/spreadsheetml/2006/main" count="6223" uniqueCount="1865">
  <si>
    <t>Genus</t>
  </si>
  <si>
    <t>Species</t>
  </si>
  <si>
    <t>Specimen</t>
  </si>
  <si>
    <t>Maj_a_B (mm)</t>
  </si>
  <si>
    <t>Min_a_B  (mm)</t>
  </si>
  <si>
    <t>R_a_B (mm)</t>
  </si>
  <si>
    <t>e_a_B</t>
  </si>
  <si>
    <t>Maj_p_B  (mm)</t>
  </si>
  <si>
    <t>Min_p_B  (mm)</t>
  </si>
  <si>
    <t>R_p_B (mm)</t>
  </si>
  <si>
    <t>e_p_B</t>
  </si>
  <si>
    <t>Maj_l_B  (mm)</t>
  </si>
  <si>
    <t>Min_l_B (mm)</t>
  </si>
  <si>
    <t>R_l_B (mm)</t>
  </si>
  <si>
    <t>e_l_B</t>
  </si>
  <si>
    <t>LS_a_B (mm)</t>
  </si>
  <si>
    <t>LS_p_B (mm)</t>
  </si>
  <si>
    <t>LS_l_B (mm)</t>
  </si>
  <si>
    <t>dS_a_B (mm)</t>
  </si>
  <si>
    <t>dS_p_B (mm)</t>
  </si>
  <si>
    <t>dS_l_B (mm)</t>
  </si>
  <si>
    <t>CBL (mm)</t>
  </si>
  <si>
    <t>CAOL (mm)</t>
  </si>
  <si>
    <t>BM (g)</t>
  </si>
  <si>
    <t>BT ( C)</t>
  </si>
  <si>
    <t>Caecilia</t>
  </si>
  <si>
    <t>tentaculata</t>
  </si>
  <si>
    <t>Kuh 175441</t>
  </si>
  <si>
    <t>Pelodytes</t>
  </si>
  <si>
    <t>caucasicus</t>
  </si>
  <si>
    <t>CAS-H-94059</t>
  </si>
  <si>
    <t>Lissotriton</t>
  </si>
  <si>
    <t>vulgaris</t>
  </si>
  <si>
    <t>UF38991</t>
  </si>
  <si>
    <t>Proteus</t>
  </si>
  <si>
    <t>anguinus</t>
  </si>
  <si>
    <t>MVZ-Herps-244076</t>
  </si>
  <si>
    <t>Diadectes</t>
  </si>
  <si>
    <t>sideropelicus </t>
  </si>
  <si>
    <t>FMNH UR 27</t>
  </si>
  <si>
    <t>-</t>
  </si>
  <si>
    <t>Captorhinus</t>
  </si>
  <si>
    <t>aguti</t>
  </si>
  <si>
    <t>TMM 40882-41</t>
  </si>
  <si>
    <t>Labidosaurus</t>
  </si>
  <si>
    <t>hamatus</t>
  </si>
  <si>
    <t>FMNH UR 161</t>
  </si>
  <si>
    <t>Youngina</t>
  </si>
  <si>
    <t>capensis</t>
  </si>
  <si>
    <t>BPI/1/375</t>
  </si>
  <si>
    <t>Chelydra</t>
  </si>
  <si>
    <t>serpentina</t>
  </si>
  <si>
    <t>UF22159</t>
  </si>
  <si>
    <t>Kinosternon</t>
  </si>
  <si>
    <t>hirpites</t>
  </si>
  <si>
    <t>Uf Herp 45035</t>
  </si>
  <si>
    <t>Chelonia</t>
  </si>
  <si>
    <t>mydas</t>
  </si>
  <si>
    <t>YPM HERR 004058</t>
  </si>
  <si>
    <t>Sacalia</t>
  </si>
  <si>
    <t>quadriocellata</t>
  </si>
  <si>
    <t>NCSM 76496</t>
  </si>
  <si>
    <t>Graptemys</t>
  </si>
  <si>
    <t>sp.</t>
  </si>
  <si>
    <t>Uf Herp 61899</t>
  </si>
  <si>
    <t>Prolacerta</t>
  </si>
  <si>
    <t>broomi</t>
  </si>
  <si>
    <t>BP/1/3575</t>
  </si>
  <si>
    <t>Alligator</t>
  </si>
  <si>
    <t>mississipiensis</t>
  </si>
  <si>
    <t>TMM M-983</t>
  </si>
  <si>
    <t>Caiman</t>
  </si>
  <si>
    <t>crocodilus</t>
  </si>
  <si>
    <t>FMNH 73711</t>
  </si>
  <si>
    <t>Tomistoma</t>
  </si>
  <si>
    <t>schlegelii</t>
  </si>
  <si>
    <t>Gavialis</t>
  </si>
  <si>
    <t>gangeticus</t>
  </si>
  <si>
    <t>MNHN A-5312</t>
  </si>
  <si>
    <t>Crocodylus</t>
  </si>
  <si>
    <t>johnstoni</t>
  </si>
  <si>
    <t>OUVC 10425</t>
  </si>
  <si>
    <t>niloticus</t>
  </si>
  <si>
    <t>UCL X183</t>
  </si>
  <si>
    <t>moreletii</t>
  </si>
  <si>
    <t>TMM M-4980</t>
  </si>
  <si>
    <t>intermedius</t>
  </si>
  <si>
    <t>FMNH 75662</t>
  </si>
  <si>
    <t>acutus</t>
  </si>
  <si>
    <t>FMNH 59071</t>
  </si>
  <si>
    <t>Struthio</t>
  </si>
  <si>
    <t>camelus</t>
  </si>
  <si>
    <t>Apteryx</t>
  </si>
  <si>
    <t>haastii</t>
  </si>
  <si>
    <t>NHMUK S/1972.1.21</t>
  </si>
  <si>
    <t>Dromaius</t>
  </si>
  <si>
    <t>novaehollandiae</t>
  </si>
  <si>
    <t>NHMUK  S/2001.50.1</t>
  </si>
  <si>
    <t>Casuarius</t>
  </si>
  <si>
    <t>casuarius</t>
  </si>
  <si>
    <t>NHMUK  1939.12.9.964</t>
  </si>
  <si>
    <t>Rhynchotus</t>
  </si>
  <si>
    <t>rufescens</t>
  </si>
  <si>
    <t>NMS Z.1890.28.9</t>
  </si>
  <si>
    <t>Meleagris</t>
  </si>
  <si>
    <t>gallopavo</t>
  </si>
  <si>
    <t>Gallus</t>
  </si>
  <si>
    <t>gallus</t>
  </si>
  <si>
    <t>NMS Z.1931.43_Gallus</t>
  </si>
  <si>
    <t>Lophura</t>
  </si>
  <si>
    <t>diardi</t>
  </si>
  <si>
    <t>MNHN unvouchered</t>
  </si>
  <si>
    <t>Phasianus</t>
  </si>
  <si>
    <t>colchicus</t>
  </si>
  <si>
    <t>NMS Z.1931.43_Phasanius</t>
  </si>
  <si>
    <t>Coturnix</t>
  </si>
  <si>
    <t>coturnix</t>
  </si>
  <si>
    <t>NMS Z.1931.43_Coturnix</t>
  </si>
  <si>
    <t>Cygnus</t>
  </si>
  <si>
    <t>olor</t>
  </si>
  <si>
    <t>NHMUK S/1995.11.1</t>
  </si>
  <si>
    <t>Anas</t>
  </si>
  <si>
    <t>undulata</t>
  </si>
  <si>
    <t>Tachyeres</t>
  </si>
  <si>
    <t>brachypterus</t>
  </si>
  <si>
    <t>NHMUK S/2004.7.1</t>
  </si>
  <si>
    <t>Aythya</t>
  </si>
  <si>
    <t>fuligula</t>
  </si>
  <si>
    <t>NHMUK S/1987.27.1</t>
  </si>
  <si>
    <t>Apus</t>
  </si>
  <si>
    <t>apus</t>
  </si>
  <si>
    <t>Selasphorus</t>
  </si>
  <si>
    <t>rufus</t>
  </si>
  <si>
    <t>NMS Z.2002.108.2</t>
  </si>
  <si>
    <t>Thalurania</t>
  </si>
  <si>
    <t>furcata</t>
  </si>
  <si>
    <t>MNHN 2000-463</t>
  </si>
  <si>
    <t>Steatornis</t>
  </si>
  <si>
    <t>caripensis</t>
  </si>
  <si>
    <t>NHMUK S/1869.6.20.1</t>
  </si>
  <si>
    <t>Podargus</t>
  </si>
  <si>
    <t>strigoides</t>
  </si>
  <si>
    <t>NHMUK S/1969.4.41</t>
  </si>
  <si>
    <t>Caprimulgus</t>
  </si>
  <si>
    <t>europaeus</t>
  </si>
  <si>
    <t>NMS Z. unvouchered, cat. num. 27</t>
  </si>
  <si>
    <t>Columba</t>
  </si>
  <si>
    <t>palumbus</t>
  </si>
  <si>
    <t>Cuculus</t>
  </si>
  <si>
    <t>canorus</t>
  </si>
  <si>
    <t>NMS unvouchered</t>
  </si>
  <si>
    <t>Grus</t>
  </si>
  <si>
    <t>grus</t>
  </si>
  <si>
    <t>Spheniscus</t>
  </si>
  <si>
    <t>demersus</t>
  </si>
  <si>
    <t>UF 21341</t>
  </si>
  <si>
    <t>Pelagodroma</t>
  </si>
  <si>
    <t>marina</t>
  </si>
  <si>
    <t>NMS Z.1898.30</t>
  </si>
  <si>
    <t>Diomedea</t>
  </si>
  <si>
    <t>exulans</t>
  </si>
  <si>
    <t>NMS Z.1921.143.1630</t>
  </si>
  <si>
    <t>Fulmarus</t>
  </si>
  <si>
    <t>glacialis</t>
  </si>
  <si>
    <t>NMS Z.2003.181.2</t>
  </si>
  <si>
    <t>Gavia</t>
  </si>
  <si>
    <t>immer</t>
  </si>
  <si>
    <t>Ardea</t>
  </si>
  <si>
    <t>cinerea</t>
  </si>
  <si>
    <t>NMS Z.2002.64</t>
  </si>
  <si>
    <t>Phalacrocorax</t>
  </si>
  <si>
    <t>harrisi</t>
  </si>
  <si>
    <t>NHMUK S/1973.1.10</t>
  </si>
  <si>
    <t>Fregata</t>
  </si>
  <si>
    <t>magnificens</t>
  </si>
  <si>
    <t>NMS Z.2000.111.2</t>
  </si>
  <si>
    <t>Phaethon</t>
  </si>
  <si>
    <t>lepturus</t>
  </si>
  <si>
    <t>NHMUK S/1884.2.29.10</t>
  </si>
  <si>
    <t>Balaeniceps</t>
  </si>
  <si>
    <t>rex</t>
  </si>
  <si>
    <t>Ciconia</t>
  </si>
  <si>
    <t>ciconia</t>
  </si>
  <si>
    <t>NHMUK 1859.9.6.393</t>
  </si>
  <si>
    <t>nigra</t>
  </si>
  <si>
    <t>NHMUK S/1952.1.103</t>
  </si>
  <si>
    <t>Phoenicopterus</t>
  </si>
  <si>
    <t>ruber</t>
  </si>
  <si>
    <t>NMS Z.2000.193.1</t>
  </si>
  <si>
    <t>Podiceps</t>
  </si>
  <si>
    <t>cristatus</t>
  </si>
  <si>
    <t>NMS Z.1990.74</t>
  </si>
  <si>
    <t>Haematopus</t>
  </si>
  <si>
    <t>ostralegus</t>
  </si>
  <si>
    <t>NMS Z.1998.7.3</t>
  </si>
  <si>
    <t>Scolopax</t>
  </si>
  <si>
    <t>rusticola</t>
  </si>
  <si>
    <t>NMS Z.1939.30.6</t>
  </si>
  <si>
    <t>Actitis</t>
  </si>
  <si>
    <t>hypoleucos</t>
  </si>
  <si>
    <t>NMS Z.1931.43</t>
  </si>
  <si>
    <t>Alca</t>
  </si>
  <si>
    <t>torda</t>
  </si>
  <si>
    <t>NMS Z.2000.08.105</t>
  </si>
  <si>
    <t>Gelochelidon</t>
  </si>
  <si>
    <t>nilotica</t>
  </si>
  <si>
    <t>Creagrus</t>
  </si>
  <si>
    <t>furcatus</t>
  </si>
  <si>
    <t>NHMUK S/1967.19.6</t>
  </si>
  <si>
    <t>Larus</t>
  </si>
  <si>
    <t>argentatus</t>
  </si>
  <si>
    <t>Opisthocomus</t>
  </si>
  <si>
    <t>hoazin</t>
  </si>
  <si>
    <t>NHMUK S/1892.7.11.1</t>
  </si>
  <si>
    <t>Athene</t>
  </si>
  <si>
    <t>cunicularia</t>
  </si>
  <si>
    <t>NHMUK S/1986.75.13</t>
  </si>
  <si>
    <t>Tyto</t>
  </si>
  <si>
    <t>alba</t>
  </si>
  <si>
    <t>NHMUK S/1981.39.1</t>
  </si>
  <si>
    <t>Alcedo</t>
  </si>
  <si>
    <t>atthis</t>
  </si>
  <si>
    <t>Coracias</t>
  </si>
  <si>
    <t>garrulus</t>
  </si>
  <si>
    <t>NMS Z.1994.44</t>
  </si>
  <si>
    <t>Ramphastos</t>
  </si>
  <si>
    <t>dicolorus</t>
  </si>
  <si>
    <t>NMS Z.1931.43_Rhamphastos</t>
  </si>
  <si>
    <t>Pteroglossus</t>
  </si>
  <si>
    <t>bailloni</t>
  </si>
  <si>
    <t>Dendrocopos</t>
  </si>
  <si>
    <t>medius</t>
  </si>
  <si>
    <t>Sagittarius</t>
  </si>
  <si>
    <t>serpentarius</t>
  </si>
  <si>
    <t>NMS Z.1931.120.7</t>
  </si>
  <si>
    <t>Pandion</t>
  </si>
  <si>
    <t>haliaetus</t>
  </si>
  <si>
    <t>NMS Z.1995.35</t>
  </si>
  <si>
    <t>Circus</t>
  </si>
  <si>
    <t>cyaneus</t>
  </si>
  <si>
    <t>NMS Z.1995.188</t>
  </si>
  <si>
    <t>Aquila</t>
  </si>
  <si>
    <t>chrysaetos</t>
  </si>
  <si>
    <t>NMS Z.1997.29</t>
  </si>
  <si>
    <t>Buteo</t>
  </si>
  <si>
    <t>buteo</t>
  </si>
  <si>
    <t>NHMUK S/2007.139.12</t>
  </si>
  <si>
    <t>Vultur</t>
  </si>
  <si>
    <t>gryphus</t>
  </si>
  <si>
    <t>NMS Z.1879.8.38</t>
  </si>
  <si>
    <t>Falco</t>
  </si>
  <si>
    <t>subbuteo</t>
  </si>
  <si>
    <t>Melopsittacus</t>
  </si>
  <si>
    <t>undulatus</t>
  </si>
  <si>
    <t>Ara</t>
  </si>
  <si>
    <t>macao</t>
  </si>
  <si>
    <t>NMS Z.1931.43_Ara</t>
  </si>
  <si>
    <t>Psittacus</t>
  </si>
  <si>
    <t>erithacus</t>
  </si>
  <si>
    <t>NHMUK S/1973.66.109</t>
  </si>
  <si>
    <t>Dicrurus</t>
  </si>
  <si>
    <t>paradiseus</t>
  </si>
  <si>
    <t>NHMUK S/1969.1.163</t>
  </si>
  <si>
    <t>Corvus</t>
  </si>
  <si>
    <t>corax</t>
  </si>
  <si>
    <t>NHMUK S/1979.66.160</t>
  </si>
  <si>
    <t>Taeniopygia</t>
  </si>
  <si>
    <t>guttata</t>
  </si>
  <si>
    <t>NHMUK S/2002.46.1</t>
  </si>
  <si>
    <t>Passer</t>
  </si>
  <si>
    <t>domesticus</t>
  </si>
  <si>
    <t>Carduelis</t>
  </si>
  <si>
    <t>chloris</t>
  </si>
  <si>
    <t>Bangsia</t>
  </si>
  <si>
    <t>arcaei</t>
  </si>
  <si>
    <t>Hirundo</t>
  </si>
  <si>
    <t>rustica</t>
  </si>
  <si>
    <t>Regulus</t>
  </si>
  <si>
    <t>regulus</t>
  </si>
  <si>
    <t>NHM Unregistered Palaeontology Comparative Collection (6)9</t>
  </si>
  <si>
    <t>Luscinia</t>
  </si>
  <si>
    <t>megarhynchos</t>
  </si>
  <si>
    <t>NHMUK S/1968.4.14</t>
  </si>
  <si>
    <t>Turdus</t>
  </si>
  <si>
    <t>merula</t>
  </si>
  <si>
    <t>Sphenodon</t>
  </si>
  <si>
    <t>punctatus</t>
  </si>
  <si>
    <t>Average (YPM 9194, LDUCZ x036)</t>
  </si>
  <si>
    <t>Delma</t>
  </si>
  <si>
    <t>borea</t>
  </si>
  <si>
    <t>USNM 128679</t>
  </si>
  <si>
    <t>Nephrurus</t>
  </si>
  <si>
    <t>levis</t>
  </si>
  <si>
    <t>YPM 12868</t>
  </si>
  <si>
    <t>Hemitheconyx</t>
  </si>
  <si>
    <t>caudicinctus</t>
  </si>
  <si>
    <t>YPM 14381</t>
  </si>
  <si>
    <t>Eublepharis</t>
  </si>
  <si>
    <t>macularius</t>
  </si>
  <si>
    <t>CMNH 67524</t>
  </si>
  <si>
    <t>Teratoscincus</t>
  </si>
  <si>
    <t>przewalskii</t>
  </si>
  <si>
    <t>CAS 171013</t>
  </si>
  <si>
    <t>Ptyodactylus</t>
  </si>
  <si>
    <t>hasselquistii</t>
  </si>
  <si>
    <t>NHMUK 1900.9.22.15</t>
  </si>
  <si>
    <t>Gekko</t>
  </si>
  <si>
    <t>gecko</t>
  </si>
  <si>
    <t>FMNH 186818</t>
  </si>
  <si>
    <t>Gymnodactylus</t>
  </si>
  <si>
    <t>geckoides</t>
  </si>
  <si>
    <t>NHMUK 1978.346</t>
  </si>
  <si>
    <t>Smaug</t>
  </si>
  <si>
    <t>warreni mossambicus</t>
  </si>
  <si>
    <t>YPM 12670</t>
  </si>
  <si>
    <t>Lepidophyma</t>
  </si>
  <si>
    <t>smithii</t>
  </si>
  <si>
    <t>LACM 136359</t>
  </si>
  <si>
    <t>Cricosaura</t>
  </si>
  <si>
    <t>typica</t>
  </si>
  <si>
    <t>USNM 547842</t>
  </si>
  <si>
    <t>Tribolonotus</t>
  </si>
  <si>
    <t>gracilis</t>
  </si>
  <si>
    <t>NHMUK 1938.5.7.59</t>
  </si>
  <si>
    <t>Tiliqua</t>
  </si>
  <si>
    <t>rugosa</t>
  </si>
  <si>
    <t>NHMUK 29a</t>
  </si>
  <si>
    <t>Eumeces</t>
  </si>
  <si>
    <t>schneideri</t>
  </si>
  <si>
    <t>YPM 12668</t>
  </si>
  <si>
    <t>Feylinia</t>
  </si>
  <si>
    <t>polylepis</t>
  </si>
  <si>
    <t>FMNH 120968</t>
  </si>
  <si>
    <t>Chalcides</t>
  </si>
  <si>
    <t>ocellatus</t>
  </si>
  <si>
    <t>YPM 12690</t>
  </si>
  <si>
    <t>Tupinambis</t>
  </si>
  <si>
    <t>teguixin</t>
  </si>
  <si>
    <t>FMNH 22416</t>
  </si>
  <si>
    <t>Salvator</t>
  </si>
  <si>
    <t>merianae</t>
  </si>
  <si>
    <t>FMNH 10694</t>
  </si>
  <si>
    <t>Diplometopon</t>
  </si>
  <si>
    <t>zarudnyi</t>
  </si>
  <si>
    <t>FMNH 64429</t>
  </si>
  <si>
    <t>Bipes</t>
  </si>
  <si>
    <t>biporus</t>
  </si>
  <si>
    <t>CAS 126478</t>
  </si>
  <si>
    <t>Lacerta</t>
  </si>
  <si>
    <t>viridis</t>
  </si>
  <si>
    <t>YPM 12858</t>
  </si>
  <si>
    <t>Podarcis</t>
  </si>
  <si>
    <t>wagleriana</t>
  </si>
  <si>
    <t>siculus</t>
  </si>
  <si>
    <t>NHMUK 1978.1441</t>
  </si>
  <si>
    <t>Typhlops</t>
  </si>
  <si>
    <t>jamaicensis</t>
  </si>
  <si>
    <t>USNM 12378</t>
  </si>
  <si>
    <t>Tropidophis</t>
  </si>
  <si>
    <t>haetianus</t>
  </si>
  <si>
    <t>TNHC 64040</t>
  </si>
  <si>
    <t>Boa</t>
  </si>
  <si>
    <t>constrictor</t>
  </si>
  <si>
    <t>Uropeltis</t>
  </si>
  <si>
    <t>melanogaster</t>
  </si>
  <si>
    <t>FMNH 167048</t>
  </si>
  <si>
    <t>Anomochilus</t>
  </si>
  <si>
    <t>leonardi</t>
  </si>
  <si>
    <t>FRIM0026</t>
  </si>
  <si>
    <t>Cylindrophis</t>
  </si>
  <si>
    <t>ruffus</t>
  </si>
  <si>
    <t>FMNH 60958</t>
  </si>
  <si>
    <t>Casarea</t>
  </si>
  <si>
    <t>dussumieri</t>
  </si>
  <si>
    <t>UMMZ 190285</t>
  </si>
  <si>
    <t>Xenopeltis</t>
  </si>
  <si>
    <t>unicolor</t>
  </si>
  <si>
    <t>FMNH 148900</t>
  </si>
  <si>
    <t>Morelia</t>
  </si>
  <si>
    <t>spilota</t>
  </si>
  <si>
    <t>FMNH 218598</t>
  </si>
  <si>
    <t>Python</t>
  </si>
  <si>
    <t>molurus</t>
  </si>
  <si>
    <t>TNHC 62769</t>
  </si>
  <si>
    <t>Acrochordus</t>
  </si>
  <si>
    <t>granulatus</t>
  </si>
  <si>
    <t>FMNH 201350</t>
  </si>
  <si>
    <t>Xenodermus</t>
  </si>
  <si>
    <t>javanicus</t>
  </si>
  <si>
    <t>FMNH 158613</t>
  </si>
  <si>
    <t>Cerastes</t>
  </si>
  <si>
    <t>NHMUK 1930.5.8.952</t>
  </si>
  <si>
    <t>Ahaetulla</t>
  </si>
  <si>
    <t>nasuta</t>
  </si>
  <si>
    <t>NHMUK 1930.5.8.725</t>
  </si>
  <si>
    <t>Chrysopelea</t>
  </si>
  <si>
    <t>paradisi</t>
  </si>
  <si>
    <t>FMNH 71626</t>
  </si>
  <si>
    <t>Aparallactus</t>
  </si>
  <si>
    <t>werneri</t>
  </si>
  <si>
    <t>FMNH 250439</t>
  </si>
  <si>
    <t>Naja</t>
  </si>
  <si>
    <t>naja</t>
  </si>
  <si>
    <t>NHMUK 59.9.21.2</t>
  </si>
  <si>
    <t>Laticauda</t>
  </si>
  <si>
    <t>colubrina</t>
  </si>
  <si>
    <t>FMNH 202810</t>
  </si>
  <si>
    <t>Heloderma</t>
  </si>
  <si>
    <t>horridum</t>
  </si>
  <si>
    <t>TNHC 64380</t>
  </si>
  <si>
    <t>suspectum</t>
  </si>
  <si>
    <t>TNHC 62766</t>
  </si>
  <si>
    <t>Ophisaurus</t>
  </si>
  <si>
    <t>apodus</t>
  </si>
  <si>
    <t>YPM 12870</t>
  </si>
  <si>
    <t>Gerrhonotus</t>
  </si>
  <si>
    <t>infernalis</t>
  </si>
  <si>
    <t>YPM 14379</t>
  </si>
  <si>
    <t>Elgaria</t>
  </si>
  <si>
    <t>coerulea</t>
  </si>
  <si>
    <t>NHMUK 1964.1829</t>
  </si>
  <si>
    <t>Lanthanotus</t>
  </si>
  <si>
    <t>borneensis</t>
  </si>
  <si>
    <t>Average (YPM 6057, FMNH 148589)</t>
  </si>
  <si>
    <t>Varanus</t>
  </si>
  <si>
    <t>UCMZ R.9586</t>
  </si>
  <si>
    <t>exanthematicus</t>
  </si>
  <si>
    <t>NHMUK 1932.6.1.12</t>
  </si>
  <si>
    <t>salvator</t>
  </si>
  <si>
    <t>FMNH 35144</t>
  </si>
  <si>
    <t>jobiensis</t>
  </si>
  <si>
    <t>giganteus</t>
  </si>
  <si>
    <t>NHMUK 97.5.31.1</t>
  </si>
  <si>
    <t>Chamaeleo</t>
  </si>
  <si>
    <t>senegalensis laevigatus</t>
  </si>
  <si>
    <t>FMNH 47572</t>
  </si>
  <si>
    <t>Brookesia</t>
  </si>
  <si>
    <t>brygooi</t>
  </si>
  <si>
    <t>FMNH 260015</t>
  </si>
  <si>
    <t>Draco</t>
  </si>
  <si>
    <t>quinquefasciatus</t>
  </si>
  <si>
    <t>FMNH 221322</t>
  </si>
  <si>
    <t>Uromastyx</t>
  </si>
  <si>
    <t>hardwickii</t>
  </si>
  <si>
    <t>UCA.5</t>
  </si>
  <si>
    <t>Saara</t>
  </si>
  <si>
    <t>aegyptia</t>
  </si>
  <si>
    <t>FMNH 78661</t>
  </si>
  <si>
    <t>Sceloporus</t>
  </si>
  <si>
    <t>variabilis</t>
  </si>
  <si>
    <t>FMNH 122866</t>
  </si>
  <si>
    <t>Leiocephalus</t>
  </si>
  <si>
    <t>barahonensis</t>
  </si>
  <si>
    <t>USNM 260564</t>
  </si>
  <si>
    <t>Morunasaurus</t>
  </si>
  <si>
    <t>annularis</t>
  </si>
  <si>
    <t>USNM 200767</t>
  </si>
  <si>
    <t>Gambelia</t>
  </si>
  <si>
    <t>wislizenii</t>
  </si>
  <si>
    <t>NHMUK 1792.568</t>
  </si>
  <si>
    <t>Basiliscus</t>
  </si>
  <si>
    <t xml:space="preserve">basiliscus barbouri </t>
  </si>
  <si>
    <t>FMNH 165622</t>
  </si>
  <si>
    <t>Liolaemus</t>
  </si>
  <si>
    <t>chilensis</t>
  </si>
  <si>
    <t>NHMUK 1970.1.20.135</t>
  </si>
  <si>
    <t>bellii</t>
  </si>
  <si>
    <t>MVZ 125659</t>
  </si>
  <si>
    <t>Anolis</t>
  </si>
  <si>
    <t>sagrei</t>
  </si>
  <si>
    <t>NHMUK 1964.179</t>
  </si>
  <si>
    <t>grahami</t>
  </si>
  <si>
    <t>NHMUK 1964.1782</t>
  </si>
  <si>
    <t>Eothyris</t>
  </si>
  <si>
    <t>parkeri</t>
  </si>
  <si>
    <t>MCZ 1161</t>
  </si>
  <si>
    <t>Dimetrodon</t>
  </si>
  <si>
    <t>FMNH PR 4976 (probably MCZ9560)</t>
  </si>
  <si>
    <t>Hipposaurus</t>
  </si>
  <si>
    <t>boonstrai</t>
  </si>
  <si>
    <t>CG WB123</t>
  </si>
  <si>
    <t>Lemurosaurus</t>
  </si>
  <si>
    <t>pricei</t>
  </si>
  <si>
    <t>Average (BP/1/816, NMQR 1702)</t>
  </si>
  <si>
    <t>Leucocephalus</t>
  </si>
  <si>
    <t>wewersi</t>
  </si>
  <si>
    <t>SAM-PK-K11112</t>
  </si>
  <si>
    <t>Herpetoskylax</t>
  </si>
  <si>
    <t>hopsoni</t>
  </si>
  <si>
    <t>BP/1/3924</t>
  </si>
  <si>
    <t>Moschops</t>
  </si>
  <si>
    <t>AM 6556</t>
  </si>
  <si>
    <t>Patranomodon</t>
  </si>
  <si>
    <t>nyaphulii</t>
  </si>
  <si>
    <t xml:space="preserve"> NMQR 3000</t>
  </si>
  <si>
    <t>Eodicynodon</t>
  </si>
  <si>
    <t>oosthuizeni</t>
  </si>
  <si>
    <t>NMQR 2978</t>
  </si>
  <si>
    <t>Diictodon</t>
  </si>
  <si>
    <t>feliceps</t>
  </si>
  <si>
    <t>GPIT/RE/9275</t>
  </si>
  <si>
    <t>Pristerodon</t>
  </si>
  <si>
    <t>mackayi  </t>
  </si>
  <si>
    <t>NHCC LB355</t>
  </si>
  <si>
    <t>Niassodon</t>
  </si>
  <si>
    <t>mfumukasi</t>
  </si>
  <si>
    <t>ML1620</t>
  </si>
  <si>
    <t>Endothiodon</t>
  </si>
  <si>
    <t>bathystoma</t>
  </si>
  <si>
    <t>Average (MTA/ACL001 , MTA/ACL002 , MTA/ACL003)</t>
  </si>
  <si>
    <t>tolani</t>
  </si>
  <si>
    <t>Average (NHCC LB648 , NMT RB162)</t>
  </si>
  <si>
    <t>Abajudon</t>
  </si>
  <si>
    <t>kaayai</t>
  </si>
  <si>
    <t>NHCC LB314</t>
  </si>
  <si>
    <t>Dicynodontoides</t>
  </si>
  <si>
    <t>cf. recurvidens</t>
  </si>
  <si>
    <t>NHCC LB117</t>
  </si>
  <si>
    <t>Kembawacela</t>
  </si>
  <si>
    <t>kitchingi</t>
  </si>
  <si>
    <t>NHCC LB18</t>
  </si>
  <si>
    <t>Kawingasaurus</t>
  </si>
  <si>
    <t>fossilis</t>
  </si>
  <si>
    <t>GPIT/RE/9272</t>
  </si>
  <si>
    <t>Oudenodon</t>
  </si>
  <si>
    <t>bainii </t>
  </si>
  <si>
    <t>NHCC LB631</t>
  </si>
  <si>
    <t>Aulacephalodon</t>
  </si>
  <si>
    <t>NHCC LB335</t>
  </si>
  <si>
    <t>Lystrosaurus</t>
  </si>
  <si>
    <t>declivis</t>
  </si>
  <si>
    <t>NMQR 815</t>
  </si>
  <si>
    <t>murrayi</t>
  </si>
  <si>
    <t>NMQR 3593</t>
  </si>
  <si>
    <t>Sangusaurus</t>
  </si>
  <si>
    <t>parringtonii </t>
  </si>
  <si>
    <t>NMT RB42</t>
  </si>
  <si>
    <t>Scylacocephalus</t>
  </si>
  <si>
    <t>BP/1/216</t>
  </si>
  <si>
    <t>Lycaenops</t>
  </si>
  <si>
    <t>NHCC LB178</t>
  </si>
  <si>
    <t>Dixeya</t>
  </si>
  <si>
    <t>GPIT/RE/7119</t>
  </si>
  <si>
    <t>Gorgonsopsia indet</t>
  </si>
  <si>
    <t>BP/1/155</t>
  </si>
  <si>
    <t>"Aloposaurus"</t>
  </si>
  <si>
    <t>GPIT/RE/7124</t>
  </si>
  <si>
    <t>Oliveirosuchus</t>
  </si>
  <si>
    <t>parringtoni </t>
  </si>
  <si>
    <t>BP/1/3849</t>
  </si>
  <si>
    <t>Euchambersia</t>
  </si>
  <si>
    <t>mirabilis</t>
  </si>
  <si>
    <t>Average (NHMUK 5696, BP/1/4009)</t>
  </si>
  <si>
    <t>Ictidosuchoides</t>
  </si>
  <si>
    <t>NHCC LB387</t>
  </si>
  <si>
    <t>Mupashi</t>
  </si>
  <si>
    <t>migrator</t>
  </si>
  <si>
    <t>NHCC LB44</t>
  </si>
  <si>
    <t>Microgomphodon</t>
  </si>
  <si>
    <t>oligocynus</t>
  </si>
  <si>
    <t>SAM-PK-10160</t>
  </si>
  <si>
    <t>Choerosaurus</t>
  </si>
  <si>
    <t>dejageri</t>
  </si>
  <si>
    <t>SAM-PK-K8797</t>
  </si>
  <si>
    <t>Procynosuchus</t>
  </si>
  <si>
    <t>delaharpeae </t>
  </si>
  <si>
    <t>NHMUK R37054</t>
  </si>
  <si>
    <t>Cynosaurus</t>
  </si>
  <si>
    <t>suppostus</t>
  </si>
  <si>
    <t>Average (BP/1/1563, BP/1/3926)</t>
  </si>
  <si>
    <t>Galesaurus</t>
  </si>
  <si>
    <t>planiceps</t>
  </si>
  <si>
    <t>NMQR 860</t>
  </si>
  <si>
    <t>Thrinaxodon</t>
  </si>
  <si>
    <t>liorhinus</t>
  </si>
  <si>
    <t>Average (BP/1/4263, BP/1/7199)</t>
  </si>
  <si>
    <t>Trirachodon</t>
  </si>
  <si>
    <t>berryi </t>
  </si>
  <si>
    <t>BP/1/4658</t>
  </si>
  <si>
    <t>Cricodon</t>
  </si>
  <si>
    <t>kannemeyeri</t>
  </si>
  <si>
    <t>AM 461</t>
  </si>
  <si>
    <t>Scalenodon</t>
  </si>
  <si>
    <t>angustifrons</t>
  </si>
  <si>
    <t>NMT RB581</t>
  </si>
  <si>
    <t>Massethognathus</t>
  </si>
  <si>
    <t>pascuali</t>
  </si>
  <si>
    <t>BP/1/4245</t>
  </si>
  <si>
    <t>Luangwa</t>
  </si>
  <si>
    <t>drysdalli</t>
  </si>
  <si>
    <t>NHMUK R36995</t>
  </si>
  <si>
    <t>Lumkuia</t>
  </si>
  <si>
    <t>fuzzi </t>
  </si>
  <si>
    <t>BP/1/2669</t>
  </si>
  <si>
    <t>Chiniquodon</t>
  </si>
  <si>
    <t>theotenicus </t>
  </si>
  <si>
    <t>MCZ 3778</t>
  </si>
  <si>
    <t>Riograndia</t>
  </si>
  <si>
    <t>guaibensis</t>
  </si>
  <si>
    <t>UFRGS PV833T</t>
  </si>
  <si>
    <t>Tritylodon</t>
  </si>
  <si>
    <t>longaevus </t>
  </si>
  <si>
    <t>Average (BP/1/5088, BP/1/4778)</t>
  </si>
  <si>
    <t>Oligokyphus</t>
  </si>
  <si>
    <t>major</t>
  </si>
  <si>
    <t>NHMUK 7090</t>
  </si>
  <si>
    <t>Pseudotherium</t>
  </si>
  <si>
    <t>argentinus</t>
  </si>
  <si>
    <t>PVSJ 882</t>
  </si>
  <si>
    <t>Brasilodon</t>
  </si>
  <si>
    <t>quadrangularis</t>
  </si>
  <si>
    <t>UFRGS PV1043</t>
  </si>
  <si>
    <t>Megazostrodon</t>
  </si>
  <si>
    <t>rudnerae</t>
  </si>
  <si>
    <t>BP/1/4983</t>
  </si>
  <si>
    <t>Morganucodon</t>
  </si>
  <si>
    <t>oehleri</t>
  </si>
  <si>
    <t>Average (IVPP V8685, BMNH 2858)</t>
  </si>
  <si>
    <t>Haldanodon</t>
  </si>
  <si>
    <t>exspectatus</t>
  </si>
  <si>
    <t>Hadrocodium</t>
  </si>
  <si>
    <t>wui</t>
  </si>
  <si>
    <t>IVPP V8275</t>
  </si>
  <si>
    <t>Tachyglossus</t>
  </si>
  <si>
    <t>aculeatus</t>
  </si>
  <si>
    <t>MS86</t>
  </si>
  <si>
    <t>Ornithorhynchus</t>
  </si>
  <si>
    <t>anatinus</t>
  </si>
  <si>
    <t>Dryolestes</t>
  </si>
  <si>
    <t>leiriensis</t>
  </si>
  <si>
    <t>MG 6807 (Gui Mam 2/81)</t>
  </si>
  <si>
    <t>Dasyurus</t>
  </si>
  <si>
    <t>viverrinus</t>
  </si>
  <si>
    <t>Isoodon</t>
  </si>
  <si>
    <t>obesulus</t>
  </si>
  <si>
    <t>CEB 130085</t>
  </si>
  <si>
    <t>Phascolarctos</t>
  </si>
  <si>
    <t>cinereus</t>
  </si>
  <si>
    <t>CEB 130095</t>
  </si>
  <si>
    <t>Monodelphis</t>
  </si>
  <si>
    <t>domestica</t>
  </si>
  <si>
    <t>TMM-M-7599</t>
  </si>
  <si>
    <t>Didelphis</t>
  </si>
  <si>
    <t>virginiana</t>
  </si>
  <si>
    <t>TMM-M-2517</t>
  </si>
  <si>
    <t>Dasypus</t>
  </si>
  <si>
    <t>novemcinctus</t>
  </si>
  <si>
    <t>TMM-M-1885</t>
  </si>
  <si>
    <t>Procavia</t>
  </si>
  <si>
    <t xml:space="preserve">capensis </t>
  </si>
  <si>
    <t>Elephas</t>
  </si>
  <si>
    <t>maximus</t>
  </si>
  <si>
    <t>Dugong</t>
  </si>
  <si>
    <t>dugon</t>
  </si>
  <si>
    <t>UM N-170</t>
  </si>
  <si>
    <t>Trichechus</t>
  </si>
  <si>
    <t xml:space="preserve">manatus </t>
  </si>
  <si>
    <t>MSW03156</t>
  </si>
  <si>
    <t>Orycteropus</t>
  </si>
  <si>
    <t xml:space="preserve">afer </t>
  </si>
  <si>
    <t>AMNH51909</t>
  </si>
  <si>
    <t>Chrysochloris</t>
  </si>
  <si>
    <t>AMNH82372</t>
  </si>
  <si>
    <t>Hemicentetes</t>
  </si>
  <si>
    <t xml:space="preserve">semispinosus </t>
  </si>
  <si>
    <t>AMNH161535</t>
  </si>
  <si>
    <t>Elephantulus</t>
  </si>
  <si>
    <t>MNHN.AC.ZM.1930-92</t>
  </si>
  <si>
    <t>Macroscelides</t>
  </si>
  <si>
    <t xml:space="preserve">proboscideus </t>
  </si>
  <si>
    <t>Cavia</t>
  </si>
  <si>
    <t>porcellus</t>
  </si>
  <si>
    <t>TMM-M-7283</t>
  </si>
  <si>
    <t>Sciurus</t>
  </si>
  <si>
    <t>Mus</t>
  </si>
  <si>
    <t xml:space="preserve">musculus </t>
  </si>
  <si>
    <t>TMM-M-3196</t>
  </si>
  <si>
    <t>Lepus</t>
  </si>
  <si>
    <t xml:space="preserve">californicus </t>
  </si>
  <si>
    <t>TMM-M-7500</t>
  </si>
  <si>
    <t>Sylvilagus</t>
  </si>
  <si>
    <t>floridanus</t>
  </si>
  <si>
    <t>TMM-M-2689</t>
  </si>
  <si>
    <t>Oryctolagus</t>
  </si>
  <si>
    <t>cuniculus</t>
  </si>
  <si>
    <t>Tupaia</t>
  </si>
  <si>
    <t>javanica</t>
  </si>
  <si>
    <t>glis</t>
  </si>
  <si>
    <t>TMM-M-2256</t>
  </si>
  <si>
    <t>Cynocephalus</t>
  </si>
  <si>
    <t xml:space="preserve">volans </t>
  </si>
  <si>
    <t>AMNH187859</t>
  </si>
  <si>
    <t>Nycticebus</t>
  </si>
  <si>
    <t>coucang</t>
  </si>
  <si>
    <t>Euoticus</t>
  </si>
  <si>
    <t>elegantulus</t>
  </si>
  <si>
    <t>Microcebus</t>
  </si>
  <si>
    <t>Lemur</t>
  </si>
  <si>
    <t>catta</t>
  </si>
  <si>
    <t>Saimiri</t>
  </si>
  <si>
    <t>sciureus</t>
  </si>
  <si>
    <t>Callithrix</t>
  </si>
  <si>
    <t>jacchus</t>
  </si>
  <si>
    <t>Papio</t>
  </si>
  <si>
    <t>hamadryas</t>
  </si>
  <si>
    <t>Macaca</t>
  </si>
  <si>
    <t>mulatta</t>
  </si>
  <si>
    <t>fascicularis</t>
  </si>
  <si>
    <t>Hylobates</t>
  </si>
  <si>
    <t>lar</t>
  </si>
  <si>
    <t>Pongo</t>
  </si>
  <si>
    <t>abelii</t>
  </si>
  <si>
    <t>Homo</t>
  </si>
  <si>
    <t>sapiens</t>
  </si>
  <si>
    <t>Pan</t>
  </si>
  <si>
    <t>paniscus</t>
  </si>
  <si>
    <t>Sorex</t>
  </si>
  <si>
    <t xml:space="preserve">monticolus </t>
  </si>
  <si>
    <t>unvouchered</t>
  </si>
  <si>
    <t>Atelerix</t>
  </si>
  <si>
    <t xml:space="preserve">albiventris </t>
  </si>
  <si>
    <t>Nycteris</t>
  </si>
  <si>
    <t>grandis</t>
  </si>
  <si>
    <t>AMNH 268369</t>
  </si>
  <si>
    <t>Tadarida</t>
  </si>
  <si>
    <t>brasiliensis</t>
  </si>
  <si>
    <t>TMM-M-3030</t>
  </si>
  <si>
    <t>Carollia</t>
  </si>
  <si>
    <t>perspicillata</t>
  </si>
  <si>
    <t>Rhinolophus</t>
  </si>
  <si>
    <t>ferrumequinum</t>
  </si>
  <si>
    <t>AMNH245591</t>
  </si>
  <si>
    <t>Pteropus</t>
  </si>
  <si>
    <t>lylei</t>
  </si>
  <si>
    <t>AMNH237593</t>
  </si>
  <si>
    <t>rodricensis</t>
  </si>
  <si>
    <t>Manis</t>
  </si>
  <si>
    <t>tricuspis</t>
  </si>
  <si>
    <t>AMNH53896</t>
  </si>
  <si>
    <t>Cynictis</t>
  </si>
  <si>
    <t>penicillata</t>
  </si>
  <si>
    <t>Felis</t>
  </si>
  <si>
    <t>catus</t>
  </si>
  <si>
    <t>Canis</t>
  </si>
  <si>
    <t>lupus familiaris</t>
  </si>
  <si>
    <t>Nasua</t>
  </si>
  <si>
    <t>nasua</t>
  </si>
  <si>
    <t>Eumetopias</t>
  </si>
  <si>
    <t>jubatus</t>
  </si>
  <si>
    <t> TMM M-171 </t>
  </si>
  <si>
    <t>Phoca</t>
  </si>
  <si>
    <t>UM PV 251212</t>
  </si>
  <si>
    <t>Equus</t>
  </si>
  <si>
    <t>ferus caballus</t>
  </si>
  <si>
    <t>Rhinoceros</t>
  </si>
  <si>
    <t>sondaicus</t>
  </si>
  <si>
    <t>UM N 785V</t>
  </si>
  <si>
    <t>Tapirus</t>
  </si>
  <si>
    <t>terrestris</t>
  </si>
  <si>
    <t>UM N-671</t>
  </si>
  <si>
    <t>Lama</t>
  </si>
  <si>
    <t>guanicoe</t>
  </si>
  <si>
    <t>UM N- 228</t>
  </si>
  <si>
    <t>Vicugna</t>
  </si>
  <si>
    <t>pacos</t>
  </si>
  <si>
    <t>Doliochoerus</t>
  </si>
  <si>
    <t>quercyi</t>
  </si>
  <si>
    <t>MNHN Qu1</t>
  </si>
  <si>
    <t>Tayassu</t>
  </si>
  <si>
    <t>pecari</t>
  </si>
  <si>
    <t>UM N 03</t>
  </si>
  <si>
    <t>Babyrousa</t>
  </si>
  <si>
    <t>babyrussa</t>
  </si>
  <si>
    <t>AMNH M 2238</t>
  </si>
  <si>
    <t>Sus</t>
  </si>
  <si>
    <t>scrofa domesticus</t>
  </si>
  <si>
    <t>Hylochoerus</t>
  </si>
  <si>
    <t>meinertzhageni</t>
  </si>
  <si>
    <t>AMNH M 53672</t>
  </si>
  <si>
    <t>Potamochoerus</t>
  </si>
  <si>
    <t>porcus</t>
  </si>
  <si>
    <t>AMNH MO-294</t>
  </si>
  <si>
    <t>Phacochoerus</t>
  </si>
  <si>
    <t>aethiopicus</t>
  </si>
  <si>
    <t>AMNH MO-159</t>
  </si>
  <si>
    <t>Tursiops</t>
  </si>
  <si>
    <t>truncatus</t>
  </si>
  <si>
    <t>SDNHM21212</t>
  </si>
  <si>
    <t>Hippopotamus</t>
  </si>
  <si>
    <t>amphibius</t>
  </si>
  <si>
    <t>AMNH M 24289</t>
  </si>
  <si>
    <t>Choeropsis</t>
  </si>
  <si>
    <t>liberiensis</t>
  </si>
  <si>
    <t>UCR 3116</t>
  </si>
  <si>
    <t>Diplobune</t>
  </si>
  <si>
    <t>minor</t>
  </si>
  <si>
    <t>UM ITD  1080</t>
  </si>
  <si>
    <t>Bachitherium</t>
  </si>
  <si>
    <t>UM PDS 3360</t>
  </si>
  <si>
    <t>Moschiola</t>
  </si>
  <si>
    <t>meminna </t>
  </si>
  <si>
    <t>UM 58V</t>
  </si>
  <si>
    <t>Rangifer</t>
  </si>
  <si>
    <t>tarandus</t>
  </si>
  <si>
    <t>UPPal ART-12-020</t>
  </si>
  <si>
    <t>Giraffa</t>
  </si>
  <si>
    <t>camelopardalis antiquorum</t>
  </si>
  <si>
    <t>RMCA 83,001-M-0014</t>
  </si>
  <si>
    <t>Bos</t>
  </si>
  <si>
    <t>primigenius taurus</t>
  </si>
  <si>
    <t>Maj_a_B</t>
  </si>
  <si>
    <t>: Semi-major axis of the anterior bony semicircular canal</t>
  </si>
  <si>
    <t>Min_a_B</t>
  </si>
  <si>
    <t>: Semi-minor axis of the anterior bony semicircular canal</t>
  </si>
  <si>
    <t>R_a_B</t>
  </si>
  <si>
    <t>: Radius of curvature of the anterior bony semicircular canal</t>
  </si>
  <si>
    <t>: Eccentricity of the anterior bony semicircular canal</t>
  </si>
  <si>
    <t>Maj_p_B</t>
  </si>
  <si>
    <t>: Semi-major axis of the posterior bony semicircular canal</t>
  </si>
  <si>
    <t>Min_p_B</t>
  </si>
  <si>
    <t>: Semi-minor axis of the posterior bony semicircular canal</t>
  </si>
  <si>
    <t>R_p_B</t>
  </si>
  <si>
    <t>: Radius of curvature of the posterior bony semicircular canal</t>
  </si>
  <si>
    <t>: Eccentricity of the posterior bony semicircular canal</t>
  </si>
  <si>
    <t>Maj_l_B</t>
  </si>
  <si>
    <t>: Semi-major axis of the lateral bony semicircular canal</t>
  </si>
  <si>
    <t>Min_l_B</t>
  </si>
  <si>
    <t>: Semi-minor axis of the lateral bony semicircular canal</t>
  </si>
  <si>
    <t>R_l_B</t>
  </si>
  <si>
    <t>: Radius of curvature of the lateral bony semicircular canal</t>
  </si>
  <si>
    <t>: Eccentricity of the lateral bony semicircular canal</t>
  </si>
  <si>
    <t>LS_a_B</t>
  </si>
  <si>
    <t>: External length of the slender part of the anterior bony semicircular canal</t>
  </si>
  <si>
    <t>LS_p_B</t>
  </si>
  <si>
    <t>: External length of the slender part of the posterior bony semicircular canal</t>
  </si>
  <si>
    <t>LS_l_B</t>
  </si>
  <si>
    <t>: External length of the slender part of the lateral bony semicircular canal</t>
  </si>
  <si>
    <t>dS_a_B</t>
  </si>
  <si>
    <t>: Average transverse diameter of the lumen of the slender part of the anterior bony semicircular canal</t>
  </si>
  <si>
    <t>dS_p_B</t>
  </si>
  <si>
    <t>: Average transverse diameter of the lumen of the slender part of the posterior bony semicircular canal</t>
  </si>
  <si>
    <t>dS_l_B</t>
  </si>
  <si>
    <t>: Average transverse diameter of the lumen of the slender part of the lateral bony semicircular canal</t>
  </si>
  <si>
    <t>CBL</t>
  </si>
  <si>
    <t>Predicted missing measurements are shown in blue</t>
  </si>
  <si>
    <t>Caclulated values based on predicted measurements are shown in green</t>
  </si>
  <si>
    <t>TR</t>
  </si>
  <si>
    <t>VR</t>
  </si>
  <si>
    <t>rS_a_B (mm)</t>
  </si>
  <si>
    <t>rS_p_B (mm)</t>
  </si>
  <si>
    <t>rS_l_B (mm)</t>
  </si>
  <si>
    <t>rS_a_B</t>
  </si>
  <si>
    <t>rS_p_B</t>
  </si>
  <si>
    <t>rS_l_B</t>
  </si>
  <si>
    <t>: Average transverse radius of the lumen of the slender part of the anterior bony semicircular canal</t>
  </si>
  <si>
    <t>: Average transverse radius of the lumen of the slender part of the posterior bony semicircular canal</t>
  </si>
  <si>
    <t>: Average transverse radius of the lumen of the slender part of the lateral bony semicircular canal</t>
  </si>
  <si>
    <t>: Condylobasal length</t>
  </si>
  <si>
    <t>CAOL</t>
  </si>
  <si>
    <t>: Condylo-anteroorbital length</t>
  </si>
  <si>
    <t>BM</t>
  </si>
  <si>
    <t>: Body mass</t>
  </si>
  <si>
    <t>BT</t>
  </si>
  <si>
    <t>: Body temperature</t>
  </si>
  <si>
    <t>: Thermic regime</t>
  </si>
  <si>
    <t>: Viscosity relative to water</t>
  </si>
  <si>
    <t>Ectotherm</t>
  </si>
  <si>
    <t>Unknown</t>
  </si>
  <si>
    <t>Endotherm</t>
  </si>
  <si>
    <t>This is the maximum exposed length of the specimen. The snout is not fully exposed in the block of sediment, though, so it is an understimate of the original length.</t>
  </si>
  <si>
    <t>Based on Kühne 1956 reconstruction</t>
  </si>
  <si>
    <t>Source of CBL</t>
  </si>
  <si>
    <t>Estimated from L. helveticus (0.855, but here for L. italicus 0.8cm)</t>
  </si>
  <si>
    <t>J. Janečka, K. Helgen, N. Lim, M. Baba, M. Izawa, Boeadi, W. Murphy. Evidence for multiple species of Sunda colugo. Current Biology 18(21), R1001-R1002</t>
  </si>
  <si>
    <t>Ruf, I., Luo, Z.X. and Martin, T., 2013. Reinvestigation of the basicranium of Haldanodon exspectatus (Mammaliaformes, Docodonta). Journal of Vertebrate Paleontology, 33(2), pp.382-400.</t>
  </si>
  <si>
    <t>Brunner, S., 2002. Geographic variation in skull morphology of adult Steller sea lions (Eumetopias jubatus). Marine Mammal Science, 18(1), pp.206-222.</t>
  </si>
  <si>
    <t>Orliac, M.J., Araújo, R. and Lihoreau, F., 2017. The petrosal and bony labyrinth of Diplobune minor, an enigmatic Artiodactyla from the Oligocene of Western Europe. Journal of Morphology, 278(9), pp.1168-1184.</t>
  </si>
  <si>
    <t>Measured on a 20cm skeleton</t>
  </si>
  <si>
    <t>Measured on TMM-M-628</t>
  </si>
  <si>
    <t>Measured on TMM-M-171</t>
  </si>
  <si>
    <t>Source of CAOL</t>
  </si>
  <si>
    <t>Source of BM</t>
  </si>
  <si>
    <r>
      <t xml:space="preserve">GJW, W. and Messel, H., 1978. Morphometric analysis of Crocodylus porosus from the north coast of Arnhem Land, northern Australia. Australian Journal of Zoology, 26(1), pp.1-27.   Scaled based on CBL to BM proportions on </t>
    </r>
    <r>
      <rPr>
        <i/>
        <sz val="11"/>
        <color theme="1"/>
        <rFont val="Calibri"/>
        <family val="2"/>
        <scheme val="minor"/>
      </rPr>
      <t>C. porosus</t>
    </r>
  </si>
  <si>
    <t>Taken as average from http://animaldiversity.ummz.umich.edu/accounts/Struthio_camelus/</t>
  </si>
  <si>
    <t>Taken as average from http://animaldiversity.ummz.umich.edu/accounts/Apteryx_haastii/</t>
  </si>
  <si>
    <t>Taken as average from http://animaldiversity.ummz.umich.edu/accounts/Dromaius_novaehollandiae/</t>
  </si>
  <si>
    <t>Taken as average from http://animaldiversity.ummz.umich.edu/accounts/Casuarius_casuarius/</t>
  </si>
  <si>
    <t>Taken as average from http://animaldiversity.ummz.umich.edu/accounts/Meleagris_gallopavo/</t>
  </si>
  <si>
    <t>Pike and Maitland 2004. Scaling of bird claws. Journal of Zoology 262: 73-81</t>
  </si>
  <si>
    <t>Taken as average from http://animaldiversity.ummz.umich.edu/accounts/Coturnix_coturnix/</t>
  </si>
  <si>
    <t>Taken as average from http://animaldiversity.ummz.umich.edu/accounts/Cygnus_olor/</t>
  </si>
  <si>
    <t>Welhun, C.V., 1994. Flight speeds of migrating birds: a test of maximum range speed predictions from three aerodynamic equations. Behavioral Ecology, 5(1), pp.1-8.</t>
  </si>
  <si>
    <t>Taken as average from http://animaldiversity.ummz.umich.edu/accounts/Selasphorus_rufus/</t>
  </si>
  <si>
    <t>Taken as average from http://animaldiversity.ummz.umich.edu/accounts/Caprimulgus_europaeus/</t>
  </si>
  <si>
    <t>Taken as average from http://animaldiversity.ummz.umich.edu/accounts/Cuculus_canorus/</t>
  </si>
  <si>
    <t>Symonds MRE, Tattersall GJ (2010) Geographical variation in bill size across bird species provides evidence for Allen’s rule. American Naturalist 176: 188-197. doi:10.1086/653666</t>
  </si>
  <si>
    <t>Taken as average from http://animaldiversity.ummz.umich.edu/accounts/Diomedea_exulans/</t>
  </si>
  <si>
    <t>Dunning 2014 CRC Handbook of Avian body masses.</t>
  </si>
  <si>
    <t>Taken as average from http://animaldiversity.ummz.umich.edu/accounts/Ardea_cinerea/</t>
  </si>
  <si>
    <t>Taken as average from http://animaldiversity.ummz.umich.edu/accounts/Fregata_magnificens/</t>
  </si>
  <si>
    <t>Taken as average from http://animaldiversity.ummz.umich.edu/accounts/Ciconia_ciconia/</t>
  </si>
  <si>
    <t>Taken as average from http://animaldiversity.ummz.umich.edu/accounts/Ciconia_nigra/</t>
  </si>
  <si>
    <t>Taken as average from https://animaldiversity.org/accounts/Actitis_hypoleucos/</t>
  </si>
  <si>
    <t>Taken as average from http://animaldiversity.ummz.umich.edu/accounts/Alca_torda/</t>
  </si>
  <si>
    <t>Taken as average from http://animaldiversity.ummz.umich.edu/accounts/Alcedo_atthis/</t>
  </si>
  <si>
    <t>de Barros Leite, A., Brancalion, P.H., Guevara, R. and Galetti, M., 2012. Differential seed germination of a keystone palm (Euterpe edulis) dispersed by avian frugivores. Journal of Tropical Ecology, 28(6), pp.615-618.</t>
  </si>
  <si>
    <t>Taken as average from http://animaldiversity.ummz.umich.edu/accounts/Sagittarius_serpentarius/</t>
  </si>
  <si>
    <t>Taken as average from http://animaldiversity.ummz.umich.edu/accounts/Pandion_haliaetus/</t>
  </si>
  <si>
    <t>Taken as average from http://animaldiversity.ummz.umich.edu/accounts/Vultur_gryphus/</t>
  </si>
  <si>
    <t>Taken as average from http://animaldiversity.ummz.umich.edu/accounts/Psittacus_erithacus/</t>
  </si>
  <si>
    <t>Taken as average from http://animaldiversity.ummz.umich.edu/accounts/Dicrurus_paradiseus/</t>
  </si>
  <si>
    <t>Ekman, J. &amp; Hake, M. 1990. Monitoring starvation risk: adjustments of body reserves in greenfinches (Carduelis chloris L.) during periods of unpredictable foraging succes. Behavioral Ecology, 1:62-67.</t>
  </si>
  <si>
    <t>Taken from http://genomics.senescence.info/species/entry.php?species=Regulus_regulus</t>
  </si>
  <si>
    <t>Taken as average from http://animaldiversity.ummz.umich.edu/accounts/Luscinia_megarhynchos/</t>
  </si>
  <si>
    <t>Macleod, R., Barnett, P., Clark, J. A. &amp; Cresswell, W. 2005. Body mass change strategies in blackbirds Turdus merula: the starvation-predation risk trade-off. Journal of Animal Ecology, 74:292-302.</t>
  </si>
  <si>
    <t>Meiri, S. 2010. Length-weight allometries in lizards. Journal of Zoology, 281:218-224</t>
  </si>
  <si>
    <t>Meiri, S., 2010. Length–weight allometries in lizards. Journal of Zoology, 281(3), pp.218-226.</t>
  </si>
  <si>
    <t>Meiri, S. 2010. Length-weight allometries in lizards. Journal of Zoology, 281:218-224   Average of all Cordylus species</t>
  </si>
  <si>
    <t>Meiri, S. 2010. Length-weight allometries in lizards. Journal of Zoology, 281:218-225</t>
  </si>
  <si>
    <t>Measured on Delma tincta specimens FMNH 97148, FMNH 97151, FMNH 97152, average scaled using CBLs (square root of body mass was used for scaling)</t>
  </si>
  <si>
    <t>Measured on FMNH 178326, scaled using CBLs   (square root of body mass was used for scaling)</t>
  </si>
  <si>
    <t>Measured on FMNH 11874, scaled using CBLs   (square root of body mass was used for scaling)</t>
  </si>
  <si>
    <t>Measured on FMNH 165532, FMNH 165531, FMNH 165533, average scaled using CBLs  (square root of body mass was used for scaling)</t>
  </si>
  <si>
    <t>Measured on specimen (scan)</t>
  </si>
  <si>
    <t>Calculated from ratio against CBL Measured on photograph of another specimen</t>
  </si>
  <si>
    <t>Measured on specimen</t>
  </si>
  <si>
    <t>Measured on TMM M-6807</t>
  </si>
  <si>
    <t>Measured on the skull in http://www.ucl.ac.uk/museums-static/obl4he/vertebratepalaeo/18_crocodylus.html</t>
  </si>
  <si>
    <t>Measured on TMM M-4826</t>
  </si>
  <si>
    <t>Measured on skull on Skullsite</t>
  </si>
  <si>
    <t>Calculated from ratio against CBL Measured on photograph of the specimen</t>
  </si>
  <si>
    <t>Measured on another adult specimen</t>
  </si>
  <si>
    <t>Measured on DKY_2677</t>
  </si>
  <si>
    <t>Measured on CM 82972</t>
  </si>
  <si>
    <t>Measured on Digimorph specimen</t>
  </si>
  <si>
    <t>Measured on FMNH 10694, scaled using CBLs   (square root of body mass was used for scaling)</t>
  </si>
  <si>
    <t>Taken from https://www.zoobrno.cz/en/our-animals/animals-kept/reptiles/lacerta-viridis</t>
  </si>
  <si>
    <t>Meiri, S. 2010. Length-weight allometries in lizards. Journal of Zoology, 281:218-225 Average of all Podarcis</t>
  </si>
  <si>
    <t>Taken from http://genomics.senescence.info/species/entry.php?species=Boa_constrictor</t>
  </si>
  <si>
    <t>Feldman, A., Pyron, R. A., Sabath, N., Mayrose, I. and Meiri, S. Body-sizes and diversification rates of lizards, snakes, amphisbaenians and the tuatara. Global Ecology and Biogeography </t>
  </si>
  <si>
    <t>Measured on FMNH 20682, FMNH 35000, FMNH 74870, average scaled using CBLs  (square root of body mass was used for scaling)</t>
  </si>
  <si>
    <t>cerastes</t>
  </si>
  <si>
    <t>Measured on FMNH 117861, scaled using CBLs   (square root of body mass was used for scaling)</t>
  </si>
  <si>
    <t>Measured on FMNH 121197, scaled using CBLs   (square root of body mass was used for scaling)</t>
  </si>
  <si>
    <t>García-Bastida, M., Lazcano, D., McBrayer, L.D. and Mercado-Hernández, R., 2013. Sexual dimorphism in the alligator lizard Gerrhonotus infernalis (Sauria: Anguidae): implications for sexual selection. The Southwestern Naturalist, 58(2), pp.202-208.</t>
  </si>
  <si>
    <t>Measured on FMNH 148589</t>
  </si>
  <si>
    <t>Spoor, F., Garland, T., Krovitz, G., Ryan, T.M., Silcox, M.T. and Walker, A., 2007. The primate semicircular canal system and locomotion. Proceedings of the National Academy of Sciences, 104(26), pp.10808-10812.</t>
  </si>
  <si>
    <t>Kate E. Jones, Jon Bielby, Marcel Cardillo, Susanne A. Fritz, Justin O'Dell, C. David L. Orme, Kamran Safi, Wes Sechrest, Elizabeth H. Boakes, Chris Carbone, Christina Connolly, Michael J. Cutts, Janine K. Foster, Richard Grenyer, Michael Habib, Christopher A. Plaster, Samantha A. Price, Elizabeth A. Rigby, Janna Rist, Amber Teacher, Olaf R. P. Bininda-Emonds, John L. Gittleman, Georgina M. Mace, and Andy Purvis. 2009. PanTHERIA: a species-level database of life history, ecology, and geography of extant and recently extinct mammals. Ecology 90:2648.</t>
  </si>
  <si>
    <t>Lukas, D. and Clutton-Brock, T. 2014. Costs of mating competition limit male lifetime breeding success in polygynous mammals. Proceedings of the Royal Society B, 281 20140418 doi:10.1098/rspb.2014.0418</t>
  </si>
  <si>
    <t>Cavallini, P. and Nel, J.A.J., 1995. Comparative behaviour and ecology of two sympatric mongoose species (Cynictis penicillata and Galerella pulverulenta). South African Journal of Zoology, 30(2), pp.46-49.</t>
  </si>
  <si>
    <t>Kate E. Jones, Jon Bielby, Marcel Cardillo, Susanne A. Fritz, Justin O'Dell, C. David L. Orme, Kamran Safi, Wes Sechrest, Elizabeth H. Boakes, Chris Carbone, Christina Connolly, Michael J. Cutts, Janine K. Foster, Richard Grenyer, Michael Habib, Christopher A. Plaster, Samantha A. Price, Elizabeth A. Rigby, Janna Rist, Amber Teacher, Olaf R. P. Bininda-Emonds, John L. Gittleman, Georgina M. Mace, and Andy Purvis. 2009. PanTHERIA: a species-level database of life history, ecology, and geography of extant and recently extinct mammals. Ecology 90:2648.    Adult average for Elephantulus fuscipes</t>
  </si>
  <si>
    <t>Dittmann, M.T., Runge, U., Lang, R.A., Moser, D., Galeffi, C., Kreuzer, M. and Clauss, M., 2014. Methane emission by camelids. PLoS One, 9(4), p.e94363.</t>
  </si>
  <si>
    <t>S. K. Morgan Ernest. 2003. Life history characteristics of placental non-volant mammals. Ecology 84:3402.</t>
  </si>
  <si>
    <t>Predicted from CBL and CAOL using an allometric regression computed in this study</t>
  </si>
  <si>
    <t>O’Gorman EJ, Hone DWE (2012) Body Size Distribution of the Dinosaurs. PLoS ONE 7(12): e51925. doi:10.1371/journal.pone.0051925  Average of male and female</t>
  </si>
  <si>
    <t>Ekdale EG (2013) Comparative Anatomy of the Bony Labyrinth (Inner Ear) of Placental Mammals. PLoS ONE 8(6): e66624.</t>
  </si>
  <si>
    <t>Smith, F.A., Lyons, S.K., Ernest, S.K.M., Jones, K.E., Kaufman, D.M., Dayan, T., Marquet, P.A., Brown, J.H. and Haskell, J.P. (2003), BODY MASS OF LATE QUATERNARY MAMMALS. Ecology, 84: 3403-3403.</t>
  </si>
  <si>
    <t>Source of BT</t>
  </si>
  <si>
    <t>Benjamin Tapley, Zoe Bryant, Sebastian Grant, Grant Kother, Yedra Feltrer, Nic Masters, Taina Strike, Iri Gill, Mark Wilkinson &amp; David J Gower  Towards evidence-based husbandry for caecilian amphibians:Substrate preference in Geotrypetes seraphini (Amphibia: Gymnophiona: Dermophiidae) The Herpetological Bulletin 129, 2014: 15-18      Based on Geotrypetes seraphini. Common average temperature to keep caecilians in captivity.</t>
  </si>
  <si>
    <t>Esteban, M., Sánchez-Herráiz, S., Barbadillo, L.J., Castanet, J. &amp; Márquez, R. (2002). Effects of age, size and temperature on the advertisement calls of two Spanish populations of Pelodytes punctatus. Amphibia–Reptilia 23, 249–258.</t>
  </si>
  <si>
    <t>Balogová M, Gvoždík L (2015) Can Newts Cope with the Heat? Disparate Thermoregulatory Strategies of Two Sympatric Species in Water. PLoS ONE 10(5): e0128155. doi:10.1371/journal. pone.0128155</t>
  </si>
  <si>
    <t>Sket, B. (1997). ''Distribution of Proteus (Amphibia: Urodela: Proteidae) and its possible explanation.'' Journal of Biogeography, 24, 263-280.</t>
  </si>
  <si>
    <t>Schuett, G. W. and R. E Jr Gatten . 1980. Thermal preference in snapping turtles (Chelydra serpentina). Copeia 1980:149–152.</t>
  </si>
  <si>
    <t>Mahmoud, I. Y. (1969). Comparative ecology of the kinosternid turtles of Oklahoma. Southwestern Naturalist 14, 31–66.   Average of K.subrubrum and K.flavescens</t>
  </si>
  <si>
    <t>Heath, M. E. &amp; McGinnis, S. M. (1980). Body temperature and heat transfer in green sea turtles, Chelonia mydas. Copeia 1980, 767–773.</t>
  </si>
  <si>
    <t>Bulté G and Blouin-Demers G. 2008. Northern map turtles (Graptemys geographica) derive energy from the pelagic pathway through predation on zebra mussels (Dreissena polymorpha). Freshwater Biol 53: 497–508.</t>
  </si>
  <si>
    <t>Markwick, P. 1998. Fossil crocodilians as indicators of Late Cretaceous and Cenozoic climates: implications for using palaeontological data in reconstructing palaeoclimate. Palaeogeography, Palaeoclimatology, Palaeoecology, 137:205-271.</t>
  </si>
  <si>
    <t>Markwick, P. 1998. Fossil crocodilians as indicators of Late Cretaceous and Cenozoic climates: implications for using palaeontological data in reconstructing palaeoclimate. Palaeogeography, Palaeoclimatology, Palaeoecology, 137:205-271.    Optimal zoo water temperature.</t>
  </si>
  <si>
    <t>Amiot R, et al. (2007) Oxygen isotope fractionation between crocodilian phosphate and water. Palaeogeogr Palaeoclimatol Palaeoecol 243:412–420.</t>
  </si>
  <si>
    <t>McNab, B. 1966. An Analysis of the Body Temperatures of Birds. The Condor, 68:47-55.</t>
  </si>
  <si>
    <t>Bergtold, William Harry. A Study of the Incubation Periods of Birds; What Determines Their Lengths,. Denver, Col.: Kendrick-Bellamy, 1917.</t>
  </si>
  <si>
    <t>Westerskov K, 1956. Incubation temperatures of the pheasant, Phasianus colchicus. Emu 56: 405-420.</t>
  </si>
  <si>
    <t>Nomoto, S., Rautenberg, W. &amp; Iriki, M. Temperature regulation during exercise in the Japanese quail (Coturnix coturnix japonica). J Comp Physiol B 149, 519–525 (1983).</t>
  </si>
  <si>
    <t>McNab, B. 1966. An Analysis of the Body Temperatures of Birds. The Condor, 68:47-55. Temperature data for Cygnus buccinator</t>
  </si>
  <si>
    <t>Morrison, P. 1962. Modification of body temperature by activity in Brazilian hummingbirds.Condor64: 315–323.</t>
  </si>
  <si>
    <t>Thomas, D.W., Bosque, C., and Arends, A. 1993. Development ofthermoregulation and the energetics of oilbirds (Steatorniscaripensis). Physiol. Zool. 66: 322–348.</t>
  </si>
  <si>
    <t>Bech, C. &amp; Nicol, S. C. (1999). Thermoregulation and ventilation in the tawny frogmouth, Podargus strigoides: a low‐metabolic avian species. Australian Journal of Zoology 47, 143– 153.</t>
  </si>
  <si>
    <t xml:space="preserve">Peiponen V. A. (1970) Body temperature fluctuations in the nightjar (Caprimulgus e. europaeus) in light conditions of Southern Finland. Ann. Zool. Fennici 7, 239-250. </t>
  </si>
  <si>
    <t>McNab, B. 1966. An Analysis of the Body Temperatures of Birds. The Condor, 68:47-55.   Temperature data for Grus canadensis</t>
  </si>
  <si>
    <t>McNab, B. 1966. An Analysis of the Body Temperatures of Birds. The Condor, 68:47-55.   Temperature data for Aythya affinis</t>
  </si>
  <si>
    <t>Wilson, R.P. &amp; Grémillet, D. (1996) Body temperatures of free‐living African penguins (Spheniscus demersus) and bank cormorants (Phalacrocorax neglectus). Journal of Experimental Biology, 199, 2215– 2223.</t>
  </si>
  <si>
    <t>Gabrielsen GW, Mehlum F (1989) Thermoregulation and energetics of Arctic seabirds. In: Bech C, Reinertsen RE (eds) Physiology of cold adaption in birds. Plenum Press, New York, pp 137–145</t>
  </si>
  <si>
    <t>McNab, B. 1966. An Analysis of the Body Temperatures of Birds. The Condor, 68:47-55.    Temperature data for Ardea herodias</t>
  </si>
  <si>
    <t>McNab, B. 1966. An Analysis of the Body Temperatures of Birds. The Condor, 68:47-55.    Temperature data for Phalacrocorax carbo</t>
  </si>
  <si>
    <t>Hart et al., 2016 L.A. Hart, C.T. Downs, M. Brown Hot footing eggs: thermal imaging reveals foot mediated incubation in white-tailed tropicbirds, Phaethon lepturus J. Ornithol., 157 (2016), pp. 635-640</t>
  </si>
  <si>
    <t>Tortosa, F. S. and Castro, F.. 2003. Development of thermoregulatory ability during ontogeny in the white stork Ciconia ciconia. Ardeola 50: 39– 45.</t>
  </si>
  <si>
    <t>McNab, B. 1966. An Analysis of the Body Temperatures of Birds. The Condor, 68:47-55.    Temperature data for Phoenicopterus antiquorum</t>
  </si>
  <si>
    <t>McNab, B. 1966. An Analysis of the Body Temperatures of Birds. The Condor, 68:47-55.    Temperature data for Podiceps caspicus</t>
  </si>
  <si>
    <t>Carlos A Valle, Catalina Ulloa, Cristina Regalado, Juan-Pablo Muñoz-Pérez, Juan Garcia, Britta Denise Hardesty, Alice Skehel, Diane Deresienski, Ronald K Passingham, Gregory A Lewbart, Baseline haematology, biochemistry, blood gas values and health status of the Galapagos swallow-tailed gull (Creagrus furcatus), Conservation Physiology, Volume 8, Issue 1, 2020</t>
  </si>
  <si>
    <t>Grajal, A., 1991. Nutritional ecology and digestive physiology of the hoatzin, Opisthocomus hoazin, a folivorous bird with foregut fermentation. PhD Dissertation, University of Florida, Gainesville, FL.</t>
  </si>
  <si>
    <t>Kilgore, D. L., Boggs, D. F., Kilgore, T. J., Colby, C., Williams, B. R. and Bavis, R. W. (2007). Ventilatory and metabolic responses of burrowing owls, Athene cunicularia, to moderate and extreme hypoxia: analysis of the hypoxic ventilatory threshold vs. hemoglobin oxygen affinity relationship in birds. Comp. Biochem. Physiol. A doi:10.1016/j.cbpa.2007.04.014.</t>
  </si>
  <si>
    <t>Mama KR, Phillips LG, Pascoe PJ: Use of propofol forinduction and maintenance of anesthesia in a barnowl (Tyto alba) undergoing tracheal resection. J ZooWildl Med 27:397-401, 1996</t>
  </si>
  <si>
    <t>R. Václav, et al. Ectoparasite load is linked to ontogeny and cell-mediated immunity in an avian host system with pronounced hatching asynchrony Biol. J. Linn. Soc., 94 (3) (2008), pp. 463-473</t>
  </si>
  <si>
    <t>McNab B.K. 2001 Energetics of toucans, barbets and a hornbill: implications for avian frugivory. Auk. 118, 916–933.</t>
  </si>
  <si>
    <t xml:space="preserve">McNab B.K. 2001 Energetics of toucans, barbets and a hornbill: implications for avian frugivory. Auk. 118, 916–933.   Temperature data for Pteroglossus aracari </t>
  </si>
  <si>
    <t>Wasser J.S. 1986. The relationship of energetics of falconiform birds to body mass and climate. Condor 88:57–62.</t>
  </si>
  <si>
    <t>Steven Rudeen and Leon R. Powers Body Temperature of a Nestling Golden Eagle The Condor Vol. 80, No. 4 (Winter, 1978), pp. 447-449</t>
  </si>
  <si>
    <t>Kilic N, Pasa S. Cardiopulmonary effects of propofol compared with those of a medetomidine-ketamine combination in the common buzzards (Buteo buteo) Rev. Med. Vet. 2009;160(3):154–159.  Cloacal baseline body temperature</t>
  </si>
  <si>
    <t>Weathers, W. &amp; Schoenbaechler, D. 1976. Regulation of body temperature in the Budherygah, Melopsittacus undulatus. Australian Journal of Zoology, 24:39-47.</t>
  </si>
  <si>
    <t>Anufriev AI, Solomonov NG, Isayev AP et al (2008) Changes in the body temperature during the annual cycle and metabolic rate in the raven Corvus corax at winter ambient temperatures. Dokl Biol Sci 422:339–341.   Annual average body temperature</t>
  </si>
  <si>
    <t>Saarela, S., B. Klapper, and G. Heldmaier. 1991. Seasonal changes in circadian rhythm of thermoregulation in Greenfinches and Siskins at different ambient temperatures. D. 573-579. In E. Riklis [ed.], Photobiology. Plenum Press, New York.</t>
  </si>
  <si>
    <t>Moller AP. Body temperature and fever in a free-living bird. Comp Biochem Physiol B Biochem Mol Biol. 2010;156(1):68–74.   Annual average body temperature</t>
  </si>
  <si>
    <t>H Saint Girons, B.D Bell, D.G Newman Observations on the activity and thermoregulation of the tuatara, Sphenodon punctatus (Reptilia : Rhynchocephalia), on Stephens Island New Zealand J. Zool., 7 (1980), pp. 551-556   Night average; but they still bask during the day</t>
  </si>
  <si>
    <t>Hays, Brenton J; Bidwell, Joseph R and Dittmer, Drew E. An assessment of thermal preference of two species of Knob-tailed Geckos, 'Nephrurus levis' and 'N. laevissimus', at Uluru Kata-Tjuta National Park [online]. Northern Territory Naturalist, Vol. 29, Oct 2019: [40]-53.    Night average; but they still bask during the day</t>
  </si>
  <si>
    <t xml:space="preserve">Dial, B. E. y L. L. Grismer. 1992. A phylogenetic analysis of physiological-ecological character evolution in the lizard genus Coleonyx and its implications for historical biogeographic reconstruction. Systematic Biology 41: 178-195. </t>
  </si>
  <si>
    <t>Autumn, K., Weinstein, R.B., Full, R.J., 1994. Low cost of locomotion increases performance at low temperature in a nocturnal lizard. Physiol. Zool. 67, 238–262</t>
  </si>
  <si>
    <t>Werner YL, Goldblatt A. Body temperature in a basking gekkonid lizard, Ptyodactylus hasselquistii (Reptilia, Lacertilia, Gekkonidae). J Herpetol. 1978;12:408–11.</t>
  </si>
  <si>
    <t>Sievert LM, Hutchison VH (1988) Light versus heat: thermoregulatory behaviour in a nocturnal lizard Gekko gecko. Herpetologica 44:266–273</t>
  </si>
  <si>
    <t>Algar, A. C., Morley, K., &amp; Boyd, D. S. (2018). Remote sensing restores predictability of ectotherm body temperature in the world’s forests. Global Ecology and Biogeography, 27, 1412– 1425.</t>
  </si>
  <si>
    <t>Taken from http://www.reptile-care.de/species/Scincoidea/Cordylidae/Smaug-depressus.html    Average of lower temperature and spot temperature.</t>
  </si>
  <si>
    <t>Arenas-Moreno DM, Santos-Bibiano R, Muñoz-Nolasco FJ, Charruau P, Méndez-De La Cruz FR. Thermal ecology and activity patterns of six species of tropical night lizards (Squamata: Xantusiidae: Lepidophyma) from Mexico. J Therm Biol. 2018;75:97-105.</t>
  </si>
  <si>
    <t>Algar, A. C., Morley, K., &amp; Boyd, D. S. (2018). Remote sensing restores predictability of ectotherm body temperature in the world’s forests. Global Ecology and Biogeography, 27, 1412– 1425.   Based on Tiliqua scincoides.</t>
  </si>
  <si>
    <t>Dauf EF, Andrews RM 1993. The effect of pregnancy on thermoregulatory behavior of the viviparous lizard Chalcides ocellatus. Journal of Herpetology 27: 6–13.</t>
  </si>
  <si>
    <t>King D,  Green B,  Herrera E. Thermoregulation in a large Teiid lizard, Tupinambis teguixin, in Venezuela, Copeia, 1994, vol. 3 (pg. 806-808)</t>
  </si>
  <si>
    <t>Lucas A.Zena Danielle Dillon Kathleen E.Hunt Carlos A.Navas C. Loren Buck Kênia C.Bícego Hormonal correlates of the annual cycle of activity and body temperature in the South-American tegu lizard (Salvator merianae) General and Comparative Endocrinology Volume 285, 1 January 2020, 113295</t>
  </si>
  <si>
    <t>Seligmann H, Labra A. (2013). Tetracoding increases with body temperature in Lepidosauria. Biosystems 114:155–63.</t>
  </si>
  <si>
    <t>FI Valle Jiménez Ecología térmica de Bipes biporus (Squamata: Amphisbaenia) en Baja California Sur 2018-06</t>
  </si>
  <si>
    <t>Rismiller, P.D. , and G. Heldmaier (1982) The effect of photoperiod on temperature selection in the European green lizard, Lacerta viridis. Oecologia 53: 222-226.</t>
  </si>
  <si>
    <t>Liwanaga et al., 2018 H.E.M. Liwanaga, D. Haroa, Callejasb, et al. Thermal tolerance varies with age and sex for the nonnative Italian Wall Lizard (Podarcis siculus) in southern California J. Therm. Biol., 78 (2018), pp. 263-269</t>
  </si>
  <si>
    <t>McGinnis, S. &amp; Moore, R. 1969. Thermoregulation in the Boa constrictor. Herpetologica, 25:38.45</t>
  </si>
  <si>
    <t>JC Murphy et al. The Ecology of The Water Snakes of Ban Tha Win, Songkhla Province, Thailand 1999</t>
  </si>
  <si>
    <t xml:space="preserve">Taken from https://www.hetterrarium.com/en_GB/a-47328653/info-chelonians/sacalia-sp-info-care/ Based on requirements to breed in captivity </t>
  </si>
  <si>
    <t xml:space="preserve">Taken from https://www.reptilesmagazine.com/red-eyed-crocodile-skink-care-and-information/   Based on requirements to breed in captivity </t>
  </si>
  <si>
    <t xml:space="preserve">Taken from http://thetyedyediguana.com/content/care-sheets/Schneider%27s-skink-eumeces-schneideri-care-sheet.pdf    Based on requirements to breed in captivity </t>
  </si>
  <si>
    <t xml:space="preserve">Taken from https://reptile.guide/sunbeam-snake-care/   Based on requirements to breed in captivity </t>
  </si>
  <si>
    <t>Slip D. J. &amp; Shine R. (1988b) Thermoregulation of free‐ranging Diamond Pythons, Morelia spilota (Serpentes, Boidae). Copeia 1988, 984– 5.</t>
  </si>
  <si>
    <t xml:space="preserve">Taken from http://www.exoticpetvet.com/burmese-python-care.html    Based on requirements to breed in captivity </t>
  </si>
  <si>
    <t>Pratt KL, Campbell HA, Watts ME, and Franklin CE. 2010. Environmental and ecological factors influencing dive behavior in the freshwater snake Acrochordus arafurae: a field-based telemetric study. Mar Freshwater Res 61: 560– 67.</t>
  </si>
  <si>
    <t>Sergey V. Kudryavtsev and Vasyliy A. Latyshev Xenodermus javanicus REINHARDT, 1836: CAPTIVE HUSBANDRY AND BREEDING Vol. 22, No. 1, 2015, pp. 75 – 78</t>
  </si>
  <si>
    <t>Al-Sadoon, M. K., Kandeal, S. A., Al-Swilum, A., &amp; Al-Otaibi, H. S. (2016). Determination of Body Temperature in the Horned Viper (Cerastes cerastes gasperettii) as Affected by Field or Laboratory Ambient Temperature. Зоологический журнал, 95(5), 579-583.</t>
  </si>
  <si>
    <t xml:space="preserve">Taken from https://worldofreptiles.forumgratuit.org/t135-ahaetulla-nasuta-snake-vine    Based on requirements to breed in captivity </t>
  </si>
  <si>
    <t>Taken from https://www.reptiletalk.net/paradise-tree-snake/    Based on requirements to breed in captivity</t>
  </si>
  <si>
    <t>Shetty S, Shine R (2002c) Activity patterns of yellow-lipped sea kraits (Laticauda colubrina) on a Fijian island. Copeia 2002:77–85</t>
  </si>
  <si>
    <t>Beck, D.D., and Lowe, C.H. 1991. Ecology of the beaded lizard, Heloderma horridum, in a tropical dry rain forest in Jalisco, Mexico.J. Herpetol. 25:395–406.</t>
  </si>
  <si>
    <t>Meek R (1986) Field body temperature of the glass lizard Ophisaurus apodus in Yugoslavia. Amphibia-Reptilia 7: 43-49</t>
  </si>
  <si>
    <t>Kingsbury B.A.. 1994 Thermal constraints and eurythermy in the lizard Elgaria multicarinata. Herpetologica. 50, 266–273.</t>
  </si>
  <si>
    <t>Langner, C. 2017. Hidden in the heart of Borneo—shedding light on some mysteries of an enigmatic lizard: first records of habitat use, behavior, and food items of Lanthanotus borneensis Steindachner, 1878, in its natural habitat. Russian Journal of Herpetology 24:1–10.</t>
  </si>
  <si>
    <t>García-Bastida,  M. 2013. Aspectos Ecológicos de Gerrhonotus infernalis (Sauria: Anguidae) en el Parque Ecológico Chipinque, San Pedro Garza García, Nuevo León, México. Unpublished doctoral thesis. Facultad de Ciencias Biológicas, Universidad Autónoma de Nuevo León, Monterrey, Nuevo León, Mexico.    Average spring and summer.</t>
  </si>
  <si>
    <t>Wood, S. C., Johansen, K., Glass, M. L. &amp; Maloiy, G. M. O. (1978). Aerobic metabolism of the lizard Varanus exanthematicus: effects of activity, temperature, and size. Journal of Comparative Physiology B 127, 331–336.</t>
  </si>
  <si>
    <t>Gleeson, T. 1981. Preferred Body Temperature, Aerobic Scope, and Activity Capacity in the Monitor Lizard, Varanus salvator. Physiological Zoology, 54:423-429.</t>
  </si>
  <si>
    <t xml:space="preserve">Taken from https://www.reptilesmagazine.com/the-peach-throat-monitor/   Based on requirements to breed in captivity </t>
  </si>
  <si>
    <t>King, D. , Green, B. , and Butler, W. H. (1989). The activity pattern, temperature regulation and diet of Varanus giganteus on Barrow Island, Western Australia. Australian Wildlife Research 16, 41–47.</t>
  </si>
  <si>
    <t>Algar, A. C., Morley, K., &amp; Boyd, D. S. (2018). Remote sensing restores predictability of ectotherm body temperature in the world’s forests. Global Ecology and Biogeography, 27, 1412– 1425.   Average of Chameleo</t>
  </si>
  <si>
    <t xml:space="preserve">Taken from http://www.chameleonnews.com/02SepSmith.html   Based on requirements to breed in captivity </t>
  </si>
  <si>
    <t xml:space="preserve">Taken from https://www.reptilesmagazine.com/uromastyx-lizard/  Based on requirements to breed in captivity </t>
  </si>
  <si>
    <t>M Al-Sayegh Eco-physiological Implications of Conservation of Dhubs (Uromastyx aegyptius) in Kuwait 2017</t>
  </si>
  <si>
    <t>Benabib M, Congdon JD. 1992. Metabolic and water-flux rates of free-ranging tropical lizards Sceloporus variabilis. Physiol. Zool. 65:788–802</t>
  </si>
  <si>
    <t>Scharf, I., Feldman, A., Novosolov, M., Pincheira‐Donoso, D., Das, I., Böhm, M., Uetz, P., Torres‐Carvajal, O., Bauer, A., Roll, U. and Meiri, S., 2015. Late bloomers and baby boomers: ecological drivers of longevity in squamates and the tuatara. Global Ecology and Biogeography, 24(4), pp.396-405.</t>
  </si>
  <si>
    <t>Köhler et al., 1999 G. Köhler, R. Seipp, S. Moya, A. Almendáriz Zur Kenntnis von Morunasaurus annularis (O’Shaughnessy, 1881) Salamandra, 35 (1999), pp. 181-190</t>
  </si>
  <si>
    <t>Seligmann H, Labra A. (2013). Tetracoding increases with body temperature in Lepidosauria. Biosystems 114:155–63.   Based on Basiliscus vittatus.</t>
  </si>
  <si>
    <t>Labra A (1998) Selected body temperatures of seven species of Chilean Liolaemus lizards. Rev Chil Hist Nat 71:349–358</t>
  </si>
  <si>
    <t>Corn, M. J. 1971. Upper thermal limits and thermal preferenda for three sympatric species of Anolis. J. Herpetol. 5: 17– 21.</t>
  </si>
  <si>
    <t>Lister, B.C. 1976a. The nature of niche expansion in West Indian Anolis lizards II: evolutionary components. Evolution 30: 677– 692.</t>
  </si>
  <si>
    <t>Stewart Nicol, Niels A.Andersen. Body temperature as an indicator of egg-laying in the echidna, Tachyglossus aculeatus. Journal of Thermal Biology Volume 31, Issue 6, August 2006, Pages 483-490</t>
  </si>
  <si>
    <t>McNab, B. 1970. Body Weight and the Energetics of Temperature Regulation. Journal of Experimental Biology, 53:329-348.</t>
  </si>
  <si>
    <t>Withers, P., Thompson, G. &amp; Seymour, R. 2000. Metabolic physiology of the north-western marsupial mole, Notoryctes caurinus (Marsupialia : Notoryctidae). Australian Journal of Zoology, 48:241-258.</t>
  </si>
  <si>
    <t>Busse, S., Lutter, D., Heldmaier, G., Jastroch, M. and Meyer, C.W., 2014. Torpor at high ambient temperature in a neotropical didelphid, the grey short-tailed opossum (Monodelphis domestica). Naturwissenschaften, 101(11), pp.1003-1006.</t>
  </si>
  <si>
    <t>Molly E. Martony, Ramiro Isaza, Claire D. Erlacher-Reid, Jon Peterson, and Nicole I. Stacy ESOPHAGEAL MEASUREMENT OF CORE BODY TEMPERATURE IN THE FLORIDA MANATEE (TRICHECHUS MANATUS LATIROSTRIS) Journal of Wildlife Diseases 2020, Vol. 56, No. 1, pp. 27-33</t>
  </si>
  <si>
    <t>Clarke A.&amp; Johnston N. M.. 1999Scaling of metabolic rate with body mass and temperature in teleost fish. J. Anim. Ecol. 68, 893–905.</t>
  </si>
  <si>
    <t xml:space="preserve">White, C. &amp; Seymour, R. 2003. Mammalian basal metabolic rate is proportional to body mass2/3. PNAS, 100:4046-4049. </t>
  </si>
  <si>
    <t>Dausmann, K., Wein, J., Turner, J. &amp; Glos, J. 2013. Absence of heterothermy in the European red squirrel (Sciurus vulgaris). Mammalian Biology, 78:332-335.</t>
  </si>
  <si>
    <t>Hart, J. 1971. Rodents. in Comparative physiology of thermoregulation, ed. Whittow, G. C. Academic, New York, Vol. II, 1-149.</t>
  </si>
  <si>
    <t>Clarke A.&amp; Johnston N. M.. 1999Scaling of metabolic rate with body mass and temperature in teleost fish. J. Anim. Ecol. 68, 893–905.   Based on Sylvilagus audubonii</t>
  </si>
  <si>
    <t>Muller, E. 1979. Energy Metabolism Thermoregulation and Water Budget in the Slow Loris (Nycticebus coucang, Boddaert 1785). Comparative Biochemistry and Physiology, 64:109-119.</t>
  </si>
  <si>
    <t>Knox, C. &amp; Wright, P. 1989. Thermoregulation and energy metabolism in the lesser bushbaby, Galago senegalensis moholi. South African Journal of Zoology, 24:89-94.    Taken as equal to that of Galago senegalensis.</t>
  </si>
  <si>
    <t>Seguy, M. &amp; Perret, M. 2005. Factors affecting the daily rhythm of body temperature of captive mouse lemurs (Microcebus murinus). Journal of Comparative Physiology B, 175:107-115.</t>
  </si>
  <si>
    <t>Williams, C., Glenn, K., Levine, J. &amp; Horne, W. 2003. Comparison of the Efficacy and Cardiorespiratory Effects of Medetomidine-bades Anesthetic Protocols in Ring-tailed Lemurs (Lemur catta). Journal of Zoo and Wildlife Medicine, 34:164-170.</t>
  </si>
  <si>
    <t>Robinson, E., Demaria-Pesce, V. &amp; Fuller, C. 1993. Circadian rhythms of thermoregulation in the Squirrel Monkey (Saimiri sciureus). American Journal of Physiology, 265:781-785.</t>
  </si>
  <si>
    <t>Hetherington, C. 1978. Circadian oscillations of body temperature in the marmoset, Callithrix jacchus. Laboratory Animals, 12:107-108.</t>
  </si>
  <si>
    <t>Brain, C. &amp; Mitchell, D. 1999. Body Temperature Changes in Free-ranging Baboons (Papio hamadryas ursinus) in the Namib Desert, Namibia. International Journal of Primatology, 20:585-598.</t>
  </si>
  <si>
    <t>Myers, R., Veale, W. &amp; Yaksh, T. 1971. Changes in Body Temperature of the Unanaesthetized Monkey Produced by Sodium and Calcium Ions Perfused Through The Cerebral Ventricles. Journal of Physiology, 217:381-392.</t>
  </si>
  <si>
    <t>Sikoski, P., Banks, M., Gould, R., Young, R., Wallace, J. &amp; Nader, M. 2007. Comparison of rectal and infrared thermometry for obtaining body temperature in cynomologus macaques (Macaca fascicularis). Journal of Medical Primatology, 36:381-384.</t>
  </si>
  <si>
    <t>Carpenter, C. 1941. The Menstrual Cycle and Body Temperature in Two Gibbons (Hylobates lar). The Anatomical Record, 79:291-296.</t>
  </si>
  <si>
    <t>Dharmalingam, S. 2015. Temperature Management in Infant Orangutan (Pongo pygmaeus) at Orang Utan Island, Bukit Merah, Perak, Malaysia. Merit Research Journal of Medicine and Medical Sciences, 3:497-501.      Taken as equal to that of Pongo pygmaeus juvenile.</t>
  </si>
  <si>
    <t>Sund-Levander, M., Forsberg, C. &amp; Wahren, L. 2002. Normal oral, rectal, tympanic and axillary body temperature in adult men and women: a systematic literature review. Scandinavian Journal of Caring Sciences, 16:122-128.</t>
  </si>
  <si>
    <t>Jensen, S., Mundry, R., Nunn, C., Boesch, C. &amp; Leendertz, F. 2009. Non-invasive Body Temperature Measurement of Wild Chimpanzees Using Fecal Temperature Decline. Journal of Wildlife Diseases, 45:542-546.</t>
  </si>
  <si>
    <t>Clarke A.&amp; Johnston N. M.. 1999 Scaling of metabolic rate with body mass and temperature in teleost fish. J. Anim. Ecol. 68, 893–905.</t>
  </si>
  <si>
    <t>McNab, B. 1970. Body Weight and the Energetics of Temperature Regulation. Journal of Experimental Biology, 53:329-348.     Temperature from Sorex cinereus</t>
  </si>
  <si>
    <t>McNab, B. 1969. The Economics of Temperature Regulation in Neotropical Bats. Comparative Biochemistry and Physiology, 31:227-268.</t>
  </si>
  <si>
    <t>Chen J, Sun M, Liang B, Xu A, Zhang S, Wu D (2007) Cloning and expression of PDK4, FOXO1A and DYRK1A from the hibernating greater horseshoe bat (Rhinolophus ferrumequinum). Comp Biochem Physiol B Biochem Mol Biol 146:166–171</t>
  </si>
  <si>
    <t>McNab, B. 2001. The Metabolism of New Guinean Pteropodid Bats. Journal of Comparative Physiology B, 171:201-214.</t>
  </si>
  <si>
    <t>Hilmer, S., Algar, D., Neck, D. &amp; Schleucher, E. 2010. Remote sensing of physiological data: Impact of long term captivity on body temperature variation of the feral cat (Felis catus) in Australia, recorded via Thermochron iButtons. Journal of Thermal Biology, 35:205-210.</t>
  </si>
  <si>
    <t>McNab, B. 1995. Energy Expenditure and Conservation in Frugivorous and Mixed-Diet Carnivorans. Journal of Mammalogy, 76:206-222.</t>
  </si>
  <si>
    <t>Loughlin, T. R. &amp; Spraker, T. (1989). Use of Telazol to immobi-lize female northern sea lions (Eumetopias jubatus) in Alaska.J. Wildl. Dis. 25: 353-358.</t>
  </si>
  <si>
    <t>Miller, K. and Irving, L. (1975). Metabolism and temperature regulation in young harbor seals Phoca vitulina richardi. Am. J. Physiol. 229, 506-511.</t>
  </si>
  <si>
    <t>Piccione, G., Caola, G. &amp; Refinetti, R. 2002. The Circadian Rhythm of Body Temperature of the Horse. Biological Rhythm Research, 33:113-119.</t>
  </si>
  <si>
    <t>Medici EP, Mangini PR, Fernandes-Santos RC (2014) Health assessment of wild lowland tapir (Tapirus terrestris) populations in the Atlantic Forest and Pantanal biomes, Brazil (1996-2012). J Wildl Dis 50(4): 817–28</t>
  </si>
  <si>
    <t>de Lamo DA, Lacolla D, Heath JE. 2001. Sweating in the guanaco (Lama guanicoe). Journal of Thermal Biology 26, 77– 83.</t>
  </si>
  <si>
    <t>Moore, K., Maloney, S., Vaughan, J., Milton, J. &amp; Blache, D. 2013. Rumen-protected methionine supplementation and fibre production in alpacas (Vicugna pacos). Journal of Animal Physiology and Animal Nutrition, 97:1084-1090.</t>
  </si>
  <si>
    <t>Phelps, J., 1971. Behavioral thermoregulation in the javelina (Tayassu tajacu). M. S. thesis, Univ. of Arizona.    Based on Tayassu tajacu</t>
  </si>
  <si>
    <t>Alexander, Amy B., Hanley, Christopher S., Fischer, Martha T., and Padilla, Luis R. management of Toxic Mastitis in a Babirusa (Babyrousa celebensis) Journal of Zoo and Wildlife Medicine, 46(4) : 949-952   Based on Babyrousa celebensis</t>
  </si>
  <si>
    <t>Lyle K. Sowls and Robert J. Phelps Body Temperatures of Juvenile Warthogs and Bushpigs Journal of Mammalogy Vol. 47, No. 1 (Feb., 1966), pp. 134-137</t>
  </si>
  <si>
    <t>Lyle K. Sowls and Robert J. Phelps Body Temperatures of Juvenile Warthogs and Bushpigs Journal of Mammalogy Vol. 47, No. 1 (Feb., 1966), pp. 134-137   Based on  Phacochoerus aethipicus</t>
  </si>
  <si>
    <t>Mackay, R. S. 1964. Deep body temperature of untethered dolphin recorded by ingested radio transmitter. Science 144:864–866.</t>
  </si>
  <si>
    <t>Noirard C. Le Berre M. Ramousse R. Lena J.P.2008, Seasonal variation of thermoregulatory behaviour in the Hippopotamus (Hippopotamus amphibius): Journal of Ethology , v. 26, p. 191–193</t>
  </si>
  <si>
    <t>Franz, W., H. Heymann, and D. Zscheile. 1978. Immobilisierung und Nabelbruchoperation beim Zwergflusspferd (Choeropsis liberiensis). Erkrankungen der Zootiere: Verhandlungsbericht 20:197–200.</t>
  </si>
  <si>
    <t>Dagg AI: Giraffa camelopardalis . Mammal Species. 1971, 5: 1-8.</t>
  </si>
  <si>
    <t>Ingram, D. &amp; Whittow, G. 1963. Changes of Arterial Blood Pressure and Heart Rate in the Ox (Bos Taurus) with changes of Body Temperature. Journal of Physiology, 168:736-746.</t>
  </si>
  <si>
    <t>.</t>
  </si>
  <si>
    <t>Hockey, P.A.R., Dean, W.R.J. &amp; Ryan, P.G. (eds) (2005) Roberts – birds of southern Africa, 7th edn. Trustees of the John Voelcker Bird Book Fund, Cape Town.</t>
  </si>
  <si>
    <t>Stoessel, A., Kilbourne, B. M., &amp; Fischer, M. S. (2013). Morphological integration versus ecological plasticity in the avian pelvic limb skeleton. Journal of Morphology, 274(5), 483-495.</t>
  </si>
  <si>
    <t>Isler, K., &amp; Thorpe, S. K. (2003). Gait parameters in vertical climbing of captive, rehabilitant and wild Sumatran orang-utans (Pongo pygmaeus abelii). Journal of Experimental Biology, 206(22), 4081-4096.</t>
  </si>
  <si>
    <t>McNab, B. K. (1969). The economics of temperature regulation in neutropical bats. Comparative biochemistry and physiology, 31(2), 227-268.</t>
  </si>
  <si>
    <t>McNab, B. K., &amp; Bonaccorso, F. J. (2001). The metabolism of New Guinean pteropodid bats. Journal of Comparative Physiology B, 171(3), 201-214.</t>
  </si>
  <si>
    <t>MG 6721</t>
  </si>
  <si>
    <t>Estimated from the preserved part of the specimen</t>
  </si>
  <si>
    <t>Estimated from the preserved portion of the specimen and based on the Brink 1963 reconstruction</t>
  </si>
  <si>
    <t>Estimated from the preserved portion of the specimen and based on the size of the mandible of Dryolestes priscus type specimen</t>
  </si>
  <si>
    <t>Calculated from ratio against CBL Measured on a reconstruction of the skull</t>
  </si>
  <si>
    <t>Iverson, J.B., 1984. Proportional skeletal mass in turtles. Florida Scientist, pp.1-11.   Calculated from carapace length using allometric regressions</t>
  </si>
  <si>
    <t>Sereno, P.C., Larsson, H.C., Sidor, C.A. and Gado, B., 2001. The giant crocodyliform Sarcosuchus from the Cretaceous of Africa. Science, 294(5546), pp.1516-1519.   Calculated from CBL using allometric regressions</t>
  </si>
  <si>
    <r>
      <t xml:space="preserve">GJW, W. and Messel, H., 1978. Morphometric analysis of Crocodylus porosus from the north coast of Arnhem Land, northern Australia. Australian Journal of Zoology, 26(1), pp.1-27.   Calculated from CBL using allometric regressions based on </t>
    </r>
    <r>
      <rPr>
        <i/>
        <sz val="11"/>
        <color theme="1"/>
        <rFont val="Calibri"/>
        <family val="2"/>
        <scheme val="minor"/>
      </rPr>
      <t>C. porosus</t>
    </r>
  </si>
  <si>
    <t xml:space="preserve">Taken from https://animaldiversity.org/accounts/Caiman_crocodilus/ using the lower end of the range </t>
  </si>
  <si>
    <t>Taken from https://eol.org/pages/45513833/data</t>
  </si>
  <si>
    <t>Taken as average from https://eol.org/terms/search_results?tq%5Bc%5D=45509170&amp;tq%5Bf%5D%5B0%5D%5Bp%5D=260&amp;tq%5Bf%5D%5B0%5D%5Bps%5D%5B%5D%5Bt%5D=predicate&amp;tq%5Bf%5D%5B0%5D%5Bps%5D%5B%5D%5Bp%5D=260&amp;tq%5Bf%5D%5B0%5D%5Brp%5D=260&amp;tq%5Bf%5D%5B0%5D%5Bu%5D=924&amp;tq%5Br%5D=record</t>
  </si>
  <si>
    <t>Taken as average from https://eol.org/terms/search_results?tq%5Bc%5D=45510745&amp;tq%5Bf%5D%5B0%5D%5Bp%5D=260&amp;tq%5Bf%5D%5B0%5D%5Bps%5D%5B%5D%5Bt%5D=predicate&amp;tq%5Bf%5D%5B0%5D%5Bps%5D%5B%5D%5Bp%5D=260&amp;tq%5Bf%5D%5B0%5D%5Brp%5D=260&amp;tq%5Bf%5D%5B0%5D%5Bu%5D=924&amp;tq%5Br%5D=record</t>
  </si>
  <si>
    <t>Legler, J.M., 1959. A new blind snake (Genus Typhlops) from Cuba. Herpetologica, 15(2), pp.105-112.   Scaled from the full length of the specimen based from cuban specimens</t>
  </si>
  <si>
    <t>Taken as average from https://eol.org/terms/search_results?tq%5Bc%5D=323859&amp;tq%5Bf%5D%5B0%5D%5Bp%5D=260&amp;tq%5Bf%5D%5B0%5D%5Bps%5D%5B%5D%5Bt%5D=predicate&amp;tq%5Bf%5D%5B0%5D%5Bps%5D%5B%5D%5Bp%5D=260&amp;tq%5Bf%5D%5B0%5D%5Brp%5D=260&amp;tq%5Bf%5D%5B0%5D%5Bu%5D=924&amp;tq%5Br%5D=record</t>
  </si>
  <si>
    <t>Taken as average from https://eol.org/terms/search_results?tq%5Bc%5D=323858&amp;tq%5Bf%5D%5B0%5D%5Bp%5D=260&amp;tq%5Bf%5D%5B0%5D%5Bps%5D%5B%5D%5Bt%5D=predicate&amp;tq%5Bf%5D%5B0%5D%5Bps%5D%5B%5D%5Bp%5D=260&amp;tq%5Bf%5D%5B0%5D%5Brp%5D=260&amp;tq%5Bf%5D%5B0%5D%5Bu%5D=924&amp;tq%5Br%5D=record</t>
  </si>
  <si>
    <t>Martin, T., 1999. Dryolestidae (Dryolestoidea, Mammalia) aus dem Oberen Jura-von Portugal. abhandlungen der senckenbergischen naturforschenden gesellschaft 550, 1-119</t>
  </si>
  <si>
    <r>
      <t xml:space="preserve">Bradley, S. &amp; Hudson, J. 1974. Temperature Regulation in the Tree Shrew </t>
    </r>
    <r>
      <rPr>
        <i/>
        <sz val="11"/>
        <color theme="1"/>
        <rFont val="Calibri"/>
        <family val="2"/>
        <scheme val="minor"/>
      </rPr>
      <t>Tupaia glis</t>
    </r>
    <r>
      <rPr>
        <sz val="11"/>
        <color theme="1"/>
        <rFont val="Calibri"/>
        <family val="2"/>
        <scheme val="minor"/>
      </rPr>
      <t>. Comparative Biochemistry and Physiology, 48:55-60.</t>
    </r>
  </si>
  <si>
    <r>
      <t xml:space="preserve">Bradley, S. &amp; Hudson, J. 1974. Temperature Regulation in the Tree Shrew </t>
    </r>
    <r>
      <rPr>
        <i/>
        <sz val="11"/>
        <color theme="1"/>
        <rFont val="Calibri"/>
        <family val="2"/>
        <scheme val="minor"/>
      </rPr>
      <t>Tupaia glis</t>
    </r>
    <r>
      <rPr>
        <sz val="11"/>
        <color theme="1"/>
        <rFont val="Calibri"/>
        <family val="2"/>
        <scheme val="minor"/>
      </rPr>
      <t>. Comparative Biochemistry and Physiology, 48:55-60.    Taken as the averge of Tupaia glis.</t>
    </r>
  </si>
  <si>
    <t>Taken as average from https://eol.org/terms/search_results?tq%5Bc%5D=324408&amp;tq%5Bf%5D%5B0%5D%5Bp%5D=260&amp;tq%5Bf%5D%5B0%5D%5Bps%5D%5B%5D%5Bt%5D=predicate&amp;tq%5Bf%5D%5B0%5D%5Bps%5D%5B%5D%5Bp%5D=260&amp;tq%5Bf%5D%5B0%5D%5Brp%5D=260&amp;tq%5Bf%5D%5B0%5D%5Bu%5D=924&amp;tq%5Br%5D=record</t>
  </si>
  <si>
    <t>Taken as average from Tupaia glis https://eol.org/terms/search_results?tq%5Bc%5D=327851&amp;tq%5Bf%5D%5B0%5D%5Bp%5D=260&amp;tq%5Bf%5D%5B0%5D%5Bps%5D%5B%5D%5Bt%5D=predicate&amp;tq%5Bf%5D%5B0%5D%5Bps%5D%5B%5D%5Bp%5D=260&amp;tq%5Bf%5D%5B0%5D%5Brp%5D=260&amp;tq%5Bf%5D%5B0%5D%5Bu%5D=924&amp;tq%5Br%5D=record    Scaled using CBL</t>
  </si>
  <si>
    <t>Taken as average from https://eol.org/terms/search_results?tq%5Bc%5D=328601&amp;tq%5Bf%5D%5B0%5D%5Bp%5D=260&amp;tq%5Bf%5D%5B0%5D%5Bps%5D%5B%5D%5Bt%5D=predicate&amp;tq%5Bf%5D%5B0%5D%5Bps%5D%5B%5D%5Bp%5D=260&amp;tq%5Bf%5D%5B0%5D%5Brp%5D=260&amp;tq%5Bf%5D%5B0%5D%5Bu%5D=924&amp;tq%5Br%5D=record</t>
  </si>
  <si>
    <t>YPM 9194</t>
  </si>
  <si>
    <t>LDUCZ x036</t>
  </si>
  <si>
    <t>YPM 6057</t>
  </si>
  <si>
    <t>FMNH 148589</t>
  </si>
  <si>
    <t>BP/1/816</t>
  </si>
  <si>
    <t>NMQR 1702</t>
  </si>
  <si>
    <t>MTA/ACL001</t>
  </si>
  <si>
    <t>MTA/ACL002</t>
  </si>
  <si>
    <t>MTA/ACL003</t>
  </si>
  <si>
    <t>NHCC LB648</t>
  </si>
  <si>
    <t>NMT RB162</t>
  </si>
  <si>
    <t>NHMUK 5696</t>
  </si>
  <si>
    <t>BP/1/4009</t>
  </si>
  <si>
    <t>BP/1/1563</t>
  </si>
  <si>
    <t>BP/1/3926</t>
  </si>
  <si>
    <t>BP/1/4263</t>
  </si>
  <si>
    <t>BP/1/7199</t>
  </si>
  <si>
    <t>BP/1/5088</t>
  </si>
  <si>
    <t>BP/1/4778</t>
  </si>
  <si>
    <t>IVPP V8685</t>
  </si>
  <si>
    <t>BMNH 2858</t>
  </si>
  <si>
    <t>Zaglossus</t>
  </si>
  <si>
    <t>watsoni</t>
  </si>
  <si>
    <t>UMZC Eo.CR.22</t>
  </si>
  <si>
    <t>Measured on the specimen</t>
  </si>
  <si>
    <t>Average of specimens</t>
  </si>
  <si>
    <t>Macungo, Z., Loide, I., Zunguza, S., Nhamutole, N., Maharaj, I.E.M., Mugabe, J., Angielczyk, K.D. and Araújo, R., 2020. Endothiodon (Therapsida, Anomodontia) specimens from the middle/late Permian of the Metangula Graben (Niassa Province, Mozambique) increase complexity to the taxonomy of the genus. Journal of African Earth Sciences, 163, p.103647.    Average of 36 Mozambican specimens</t>
  </si>
  <si>
    <t>Average of TMM-M2689 and value measured on http://www.skullsite.co.uk/Pig/wbhybrid.htm</t>
  </si>
  <si>
    <t>Calculated from ratio against CBL measured on specimen NHMUK 5696</t>
  </si>
  <si>
    <t>Calculated from ratio against CBL measured on specimen IVPP V8685</t>
  </si>
  <si>
    <t>Calculated from ratio against CBL measured on specimen NMQR 1702</t>
  </si>
  <si>
    <t>Calculated from ratio against CBL measured on a reconstruction of the skull</t>
  </si>
  <si>
    <t>Measured  on AMNH 200255</t>
  </si>
  <si>
    <t>Average of BP/4/908 and AMNH 200255</t>
  </si>
  <si>
    <t>Estimated based on mandibular length and relation with CBL in M. oehleri</t>
  </si>
  <si>
    <t>Estimated from M. oehleri</t>
  </si>
  <si>
    <t>bartoni smeenki</t>
  </si>
  <si>
    <t>AMNH 157072</t>
  </si>
  <si>
    <t>Grigg, G.C., Beard, L.A., Barnes, J.A., Perry, L.I., Fry, G.J. and Hawkins, M., 2003. Body temperature in captive long-beaked echidnas (Zaglossus bartoni). Comparative Biochemistry and Physiology Part A: Molecular &amp; Integrative Physiology, 136(4), pp.911-916.</t>
  </si>
  <si>
    <t>Etroplus</t>
  </si>
  <si>
    <t>maculatus</t>
  </si>
  <si>
    <t>Source of labyrinth</t>
  </si>
  <si>
    <t>acanthias</t>
  </si>
  <si>
    <t>monstrosa</t>
  </si>
  <si>
    <t xml:space="preserve">Opsanus </t>
  </si>
  <si>
    <t>tau</t>
  </si>
  <si>
    <t>fluviatilis</t>
  </si>
  <si>
    <t>scombrus</t>
  </si>
  <si>
    <t>lucius</t>
  </si>
  <si>
    <t>LS_a (mm)</t>
  </si>
  <si>
    <t>LS_p (mm)</t>
  </si>
  <si>
    <t>LS_l (mm)</t>
  </si>
  <si>
    <t>wS_a</t>
  </si>
  <si>
    <t>wS_p</t>
  </si>
  <si>
    <t>wS_l</t>
  </si>
  <si>
    <r>
      <t>aS_a (mm</t>
    </r>
    <r>
      <rPr>
        <vertAlign val="superscript"/>
        <sz val="11"/>
        <color theme="1"/>
        <rFont val="Calibri"/>
        <family val="2"/>
        <scheme val="minor"/>
      </rPr>
      <t>2</t>
    </r>
    <r>
      <rPr>
        <sz val="11"/>
        <color theme="1"/>
        <rFont val="Calibri"/>
        <family val="2"/>
        <scheme val="minor"/>
      </rPr>
      <t>)</t>
    </r>
  </si>
  <si>
    <t>aS_p (mm2)</t>
  </si>
  <si>
    <t>aS_l (mm2)</t>
  </si>
  <si>
    <t>ASD_a (mm2)</t>
  </si>
  <si>
    <t>ASD_p (mm2)</t>
  </si>
  <si>
    <t>ASD_l (mm2)</t>
  </si>
  <si>
    <t>ESD_a (deg/nL)</t>
  </si>
  <si>
    <t>ESD_p (deg/nL)</t>
  </si>
  <si>
    <t>ESD_l (deg/nL)</t>
  </si>
  <si>
    <t>CEB-140070</t>
  </si>
  <si>
    <t>CEB-130023</t>
  </si>
  <si>
    <t>CEB-130069</t>
  </si>
  <si>
    <t>CEB-140032</t>
  </si>
  <si>
    <t>CEB-130137</t>
  </si>
  <si>
    <t>CEB-140011</t>
  </si>
  <si>
    <t>CEB-140012</t>
  </si>
  <si>
    <t>CEB-130050</t>
  </si>
  <si>
    <t>CEB-130130</t>
  </si>
  <si>
    <t>CEB-130075</t>
  </si>
  <si>
    <t>CEB-130040</t>
  </si>
  <si>
    <t>CEB-130166</t>
  </si>
  <si>
    <t>CEB-130032</t>
  </si>
  <si>
    <t>CEB-130091</t>
  </si>
  <si>
    <t>CEB-130081</t>
  </si>
  <si>
    <t>CEB-150009</t>
  </si>
  <si>
    <t>CEB-130021</t>
  </si>
  <si>
    <t>CEB-130035</t>
  </si>
  <si>
    <t>CEB-130099</t>
  </si>
  <si>
    <t>CEB-130090</t>
  </si>
  <si>
    <t>CEB-140055</t>
  </si>
  <si>
    <t>CEB-140043</t>
  </si>
  <si>
    <t>CEB-130135</t>
  </si>
  <si>
    <t>CEB-130037</t>
  </si>
  <si>
    <t>CEB-130123</t>
  </si>
  <si>
    <t>CEB-140064</t>
  </si>
  <si>
    <t>CEB-130105</t>
  </si>
  <si>
    <t>CEB-130104</t>
  </si>
  <si>
    <t>CEB-130017</t>
  </si>
  <si>
    <t>CEB-130059</t>
  </si>
  <si>
    <t>CEB-130097</t>
  </si>
  <si>
    <t>CEB-130049</t>
  </si>
  <si>
    <t>CEB-130151</t>
  </si>
  <si>
    <t>lupus_familiaris</t>
  </si>
  <si>
    <t>CEB-130128</t>
  </si>
  <si>
    <t>CEB-130033</t>
  </si>
  <si>
    <t>ferus_caballus</t>
  </si>
  <si>
    <t>CEB-130056</t>
  </si>
  <si>
    <t>CEB-130038</t>
  </si>
  <si>
    <t>scrofa_domesticus</t>
  </si>
  <si>
    <t>CEB-130005</t>
  </si>
  <si>
    <t>primigenius_taurus</t>
  </si>
  <si>
    <t>CEB-130029</t>
  </si>
  <si>
    <t>: Wall shape drage factor of the slender part of the anterior semicircular duct</t>
  </si>
  <si>
    <t>: Wall shape drage factor of the slender part of the posterior semicircular duct</t>
  </si>
  <si>
    <t>: Wall shape drage factor of the slender part of the lateral semicircular duct</t>
  </si>
  <si>
    <t>aS_a</t>
  </si>
  <si>
    <t>: Average cross-sectional area of the slender part of the anterior semicircular duct</t>
  </si>
  <si>
    <t>aS_p</t>
  </si>
  <si>
    <t>: Average cross-sectional area of the slender part of the posterior semicircular duct</t>
  </si>
  <si>
    <t>aS_l</t>
  </si>
  <si>
    <t>: Average cross-sectional area of the slender part of the lateral semicircular duct</t>
  </si>
  <si>
    <t>LS_a</t>
  </si>
  <si>
    <t>: Length of the slender part of the anterior semicircular duct</t>
  </si>
  <si>
    <t>LS_p</t>
  </si>
  <si>
    <t>: Length of the slender part of the posterior semicircular duct</t>
  </si>
  <si>
    <t>LS_l</t>
  </si>
  <si>
    <t>: Length of the slender part of the lateral semicircular duct</t>
  </si>
  <si>
    <t>ASD_a</t>
  </si>
  <si>
    <t>: Area enclosed by the central streamline of the anterior semicircular duct</t>
  </si>
  <si>
    <t>ASD_p</t>
  </si>
  <si>
    <t>: Area enclosed by the central streamline of the posterior semicircular duct</t>
  </si>
  <si>
    <t>ASD_l</t>
  </si>
  <si>
    <t>: Area enclosed by the central streamline of the lateral semicircular duct</t>
  </si>
  <si>
    <t>ESD_a</t>
  </si>
  <si>
    <t>ESD_p</t>
  </si>
  <si>
    <t>ESD_l</t>
  </si>
  <si>
    <t>CEB-150012</t>
  </si>
  <si>
    <t>Speakman, J. R., Van Acker, A., Harper, E. J. Age-related changes in the metabolism and body composition of three dog breeds and their relationship to life expectancy. Aging cell 2, 265-275 (2003).</t>
  </si>
  <si>
    <t>Measured on TMM-M2689</t>
  </si>
  <si>
    <t>CEB-130140</t>
  </si>
  <si>
    <t>CEB-140034</t>
  </si>
  <si>
    <t>CEB-140010</t>
  </si>
  <si>
    <t>CEB-130085</t>
  </si>
  <si>
    <t>CEB-130095</t>
  </si>
  <si>
    <t>CEB-130066</t>
  </si>
  <si>
    <t>CEB-140065</t>
  </si>
  <si>
    <t>CEB-150021</t>
  </si>
  <si>
    <t>e_A_a</t>
  </si>
  <si>
    <t>e_A_p</t>
  </si>
  <si>
    <t>e_A_l</t>
  </si>
  <si>
    <t>t_e_Ls_a</t>
  </si>
  <si>
    <t>t_e_Ls_p</t>
  </si>
  <si>
    <t>t_e_Ls_l</t>
  </si>
  <si>
    <t>: Slender length error factor of the anterior semicircular canal</t>
  </si>
  <si>
    <t>: Slender length error factor of the posterior semicircular canal</t>
  </si>
  <si>
    <t>: Slender length error factor of the lateral semicircular canal</t>
  </si>
  <si>
    <t>: Area error factor of the anterior semicircular canal</t>
  </si>
  <si>
    <t>: Area error factor of the posterior semicircular canal</t>
  </si>
  <si>
    <t>: Area error factor of the lateral semicircular canal</t>
  </si>
  <si>
    <t>Poecilia</t>
  </si>
  <si>
    <t>sphenops</t>
  </si>
  <si>
    <t>tinanti</t>
  </si>
  <si>
    <t>Steatocranus</t>
  </si>
  <si>
    <t xml:space="preserve">Melamphaes </t>
  </si>
  <si>
    <t>laeviceps</t>
  </si>
  <si>
    <t xml:space="preserve">Poromitra </t>
  </si>
  <si>
    <t>crassiceps</t>
  </si>
  <si>
    <t xml:space="preserve">Scopelogadus </t>
  </si>
  <si>
    <t xml:space="preserve">mizolepis bispinosus </t>
  </si>
  <si>
    <t>Deng, X., Wagner, H.‐J. and Popper, A.N. (2013), Interspecific Variations of Inner Ear Structure in the Deep‐Sea Fish Family Melamphaidae. Anat. Rec., 296: 1064-1082.</t>
  </si>
  <si>
    <t xml:space="preserve">Synaphobranchus </t>
  </si>
  <si>
    <t>kaupii</t>
  </si>
  <si>
    <t>bathybius</t>
  </si>
  <si>
    <t xml:space="preserve">Polyacanthonotus </t>
  </si>
  <si>
    <t>challengeri</t>
  </si>
  <si>
    <t>macrochir</t>
  </si>
  <si>
    <t>Halosauropsis</t>
  </si>
  <si>
    <t>Buran, B.N., Deng, X. and Popper, A.N. (2005), Structural variation in the inner ears of four deep‐sea elopomorph fishes. J. Morphol., 265: 215-225.</t>
  </si>
  <si>
    <t xml:space="preserve">Aetobatus </t>
  </si>
  <si>
    <t>narinari</t>
  </si>
  <si>
    <t>fluviorum</t>
  </si>
  <si>
    <t xml:space="preserve">Neotrygon </t>
  </si>
  <si>
    <t>kuhlii</t>
  </si>
  <si>
    <t>fai</t>
  </si>
  <si>
    <t xml:space="preserve">Urolophus </t>
  </si>
  <si>
    <t>paucimaculatus</t>
  </si>
  <si>
    <t xml:space="preserve">Gymnura </t>
  </si>
  <si>
    <t>micrura</t>
  </si>
  <si>
    <t>rostrata</t>
  </si>
  <si>
    <t xml:space="preserve">Carcharhinus </t>
  </si>
  <si>
    <t>leucas</t>
  </si>
  <si>
    <t>plumbeus</t>
  </si>
  <si>
    <t>obscurus</t>
  </si>
  <si>
    <t xml:space="preserve">Negaprion </t>
  </si>
  <si>
    <t>acutidens</t>
  </si>
  <si>
    <t xml:space="preserve">Rhizoprionodon </t>
  </si>
  <si>
    <t>taylori</t>
  </si>
  <si>
    <t xml:space="preserve">Chiloscyllium </t>
  </si>
  <si>
    <t>punctatum</t>
  </si>
  <si>
    <t xml:space="preserve">Heterodontus </t>
  </si>
  <si>
    <t>portusjacksoni</t>
  </si>
  <si>
    <t xml:space="preserve">Glaucostegus </t>
  </si>
  <si>
    <t>typus</t>
  </si>
  <si>
    <t>Evangelista C, Mills M, Siebeck UE, Collin SP. A comparison of the external morphology of the membranous inner ear in elasmobranchs. J Morphol. 2010 Apr;271(4):483-95</t>
  </si>
  <si>
    <t>Rana</t>
  </si>
  <si>
    <t xml:space="preserve">pipiens </t>
  </si>
  <si>
    <t xml:space="preserve">Eleutherodactylus </t>
  </si>
  <si>
    <t>limbatus</t>
  </si>
  <si>
    <t>Xenopus</t>
  </si>
  <si>
    <t xml:space="preserve"> laevis</t>
  </si>
  <si>
    <t>Mason, M.J., Segenhout, J.M., Cobo-Cuan, A. et al. The Frog Inner Ear: Picture Perfect?. JARO 16, 171–188 (2015).</t>
  </si>
  <si>
    <t>Antimora</t>
  </si>
  <si>
    <t>Xiaohong Deng, Hans-Joachim Wagner, Arthur N. Popper. The inner ear and its coupling to the swim bladder in the deep-sea fish Antimora rostrata (Teleostei: Moridae). Deep Sea Research Part I: Oceanographic Research Papers 58,2011, 27-37</t>
  </si>
  <si>
    <t>milii</t>
  </si>
  <si>
    <r>
      <t>Gauldie, R. W., Mulligan, K., &amp; Thompson, R. K. (1987). The otoliths of a chimaera, the New Zealand elephant fish Callorhynchus milii. </t>
    </r>
    <r>
      <rPr>
        <i/>
        <sz val="11"/>
        <color rgb="FF222222"/>
        <rFont val="Calibri"/>
        <family val="2"/>
        <scheme val="minor"/>
      </rPr>
      <t>New Zealand Journal of Marine and Freshwater Research</t>
    </r>
    <r>
      <rPr>
        <sz val="11"/>
        <color rgb="FF222222"/>
        <rFont val="Calibri"/>
        <family val="2"/>
        <scheme val="minor"/>
      </rPr>
      <t>, </t>
    </r>
    <r>
      <rPr>
        <i/>
        <sz val="11"/>
        <color rgb="FF222222"/>
        <rFont val="Calibri"/>
        <family val="2"/>
        <scheme val="minor"/>
      </rPr>
      <t>21</t>
    </r>
    <r>
      <rPr>
        <sz val="11"/>
        <color rgb="FF222222"/>
        <rFont val="Calibri"/>
        <family val="2"/>
        <scheme val="minor"/>
      </rPr>
      <t>(2), 275-280.</t>
    </r>
  </si>
  <si>
    <t>scripta</t>
  </si>
  <si>
    <t xml:space="preserve">Trachemys </t>
  </si>
  <si>
    <t>Ghanem, T. A., Rabbitt, R. D., &amp; Tresco, P. A. (1998). Three-dimensional reconstruction of the membranous vestibular labyrinth in the toadfish, Opsanus tau. Hearing research, 124(1-2), 27-43.</t>
  </si>
  <si>
    <t>Taken from https://fishbase.mnhn.fr/summary/Etroplus-maculatus.html</t>
  </si>
  <si>
    <t>Taken from https://www.fishbase.se/summary/poecilia-sphenops.html</t>
  </si>
  <si>
    <t>Taken from https://www.fishbase.se/summary/steatocranus-tinanti.html</t>
  </si>
  <si>
    <t>Histiobranchus</t>
  </si>
  <si>
    <t>Hemitrygon</t>
  </si>
  <si>
    <t>Pateobatis</t>
  </si>
  <si>
    <t xml:space="preserve">Orectolobus </t>
  </si>
  <si>
    <t>Callorhinchus</t>
  </si>
  <si>
    <t xml:space="preserve">Leuciscus </t>
  </si>
  <si>
    <t>leuciscus</t>
  </si>
  <si>
    <t>Jones GM, Spells KE. A theoretical and comparative study of the functional dependence of the semicircular canal upon its physical dimensions. Proc R Soc Lond B Biol Sci. 1963 Mar 26;157:403-19</t>
  </si>
  <si>
    <t xml:space="preserve">Tinca </t>
  </si>
  <si>
    <t>tinca</t>
  </si>
  <si>
    <t xml:space="preserve">Merluccius </t>
  </si>
  <si>
    <t>merluccius</t>
  </si>
  <si>
    <t xml:space="preserve">Perca </t>
  </si>
  <si>
    <t xml:space="preserve">Chimaera </t>
  </si>
  <si>
    <t xml:space="preserve">Molva </t>
  </si>
  <si>
    <t>dypterygia</t>
  </si>
  <si>
    <t xml:space="preserve">Brama </t>
  </si>
  <si>
    <t>brama</t>
  </si>
  <si>
    <t xml:space="preserve">Microstomus </t>
  </si>
  <si>
    <t>kitt</t>
  </si>
  <si>
    <t xml:space="preserve">Scomber </t>
  </si>
  <si>
    <t xml:space="preserve">Reinhardtius </t>
  </si>
  <si>
    <t>hippoglossoides</t>
  </si>
  <si>
    <t xml:space="preserve">Conger </t>
  </si>
  <si>
    <t>conger</t>
  </si>
  <si>
    <t xml:space="preserve">Esox </t>
  </si>
  <si>
    <t xml:space="preserve">Squalus </t>
  </si>
  <si>
    <t xml:space="preserve">Dipturus </t>
  </si>
  <si>
    <t>batis</t>
  </si>
  <si>
    <t xml:space="preserve">Brosme </t>
  </si>
  <si>
    <t>brosme</t>
  </si>
  <si>
    <t>Calculated from common body length using equations provided in https://www.fishbase.se/summary/perca-fluviatilis.html</t>
  </si>
  <si>
    <t>Calculated from common body length using equations provided in https://www.fishbase.se/summary/Scomber-scombrus.html</t>
  </si>
  <si>
    <t>Calculated from common body length using equations provided in https://www.fishbase.se/summary/esox-lucius.html</t>
  </si>
  <si>
    <t>Calculated from common body length using equations provided in https://www.fishbase.se/summary/139</t>
  </si>
  <si>
    <t>Kieckbusch, M., Mecke, S., Hartmann, L., Ehrmantraut, L., O’Shea, M.A.R.K. and Kaiser, H., 2016. An inconspicuous, conspicuous new species of Asian pipesnake, genus Cylindrophis (Reptilia: Squamata: Cylindrophiidae), from the south coast of Jawa Tengah, Java, Indonesia, and an overview of the tangled taxonomic history of C. ruffus (Laurenti, 1768) and Forsman, A. and Lindell, L.E., 1993. The advantage of a big head: swallowing performance in adders, Vipera berus. Functional Ecology, pp.183-189. Calculated from CBL using allometric regressions</t>
  </si>
  <si>
    <t>Santini, L., Benítez‐López, A., Ficetola, G.F. and Huijbregts, M.A., 2018. Length–mass allometries in amphibians. Integrative zoology, 13(1), pp.36-45.   Calculated from snout to vent length using allometric regressions</t>
  </si>
  <si>
    <t>Meiri, S., 2010. Length–weight allometries in lizards. Journal of Zoology, 281(3), pp.218-226. Calculated from CBL using allometric regressions</t>
  </si>
  <si>
    <t>Calculated from ratio against CBL measured on specimen BP/1/5089A</t>
  </si>
  <si>
    <t>Estimated from the preserved portion of the specimen and based on Dryolestes leiriensis mandible (Martin T. 1999. Dryolestidae (Dryolestoidea, Mammalia) aus
dem Oberen Jura von Portugal. Abhandlungen der senckenbergischen naturforschenden Gesellschaft 550: 1–119).</t>
  </si>
  <si>
    <t>Comments on measurements</t>
  </si>
  <si>
    <t>δE:Ra</t>
  </si>
  <si>
    <t>δE:Rp</t>
  </si>
  <si>
    <t>δE:Rl</t>
  </si>
  <si>
    <t>Jones GM, Spells KE. A theoretical and comparative study of the functional dependence of the semicircular canal upon its physical dimensions. Proc R Soc Lond B Biol Sci. 1963 Mar 26;157:403-19   and   Retzius, G. (1881). Das Gehörorgan der Wirbelthiere, Vol. 1. Stockholm: Samson and Wallin.</t>
  </si>
  <si>
    <t>R_B (mm)</t>
  </si>
  <si>
    <t>Calculated from common body length using equations provided in https://www.fishbase.de/summary/Leuciscus-leuciscus.html</t>
  </si>
  <si>
    <t>Calculated from common body length using equations provided in https://www.fishbase.de/summary/tinca-tinca.html</t>
  </si>
  <si>
    <t>Calculated from common body length using equations provided in https://www.fishbase.se/summary/Merluccius-merluccius.html</t>
  </si>
  <si>
    <t>Calculated from common body length using equations provided in  https://www.fishbase.se/summary/Molva-dypterygia</t>
  </si>
  <si>
    <t>Calculated from common body length using equations provided in  https://www.fishbase.se/summary/Brama-brama.html</t>
  </si>
  <si>
    <t>Calculated from common body length using equations provided in https://www.fishbase.de/summary/conger-conger.html</t>
  </si>
  <si>
    <t>Calculated from common body length using equations provided in https://www.fishbase.se/summary/Brosme-brosme.html</t>
  </si>
  <si>
    <t>Calculated from actual specimen length using equations provided in  https://fishbase.mnhn.fr/summary/Etroplus-maculatus.html</t>
  </si>
  <si>
    <t>Calculated from actual specimen length using equations provided in https://www.fishbase.se/summary/25275</t>
  </si>
  <si>
    <t>Calculated from actual specimen length using equations provided in https://www.fishbase.se/summary/9104</t>
  </si>
  <si>
    <t>Calculated from actual specimen length using equations provided in https://www.fishbase.se/summary/Histiobranchus-bathybius.html</t>
  </si>
  <si>
    <t>Calculated from actual specimen length using equations provided in https://www.fishbase.se/summary/Polyacanthonotus-challengeri.html</t>
  </si>
  <si>
    <t>Calculated from common body length using equations provided in https://www.fishbase.de/summary/4722</t>
  </si>
  <si>
    <t>Calculated from actual specimen length using equations provided in  https://www.fishbase.se/summary/poecilia-sphenops.html</t>
  </si>
  <si>
    <t>Maniero, G.D. and Carey, C., 1997. Changes in selected aspects of immune function in the leopard frog, Rana pipiens, associated with exposure to cold. Journal of Comparative Physiology B, 167(4), pp.256-263.</t>
  </si>
  <si>
    <t>Rodríguez, A., Alonso, R., Rodríguez, J.A. and Vences, M., 2012. Geographic distribution, colour variation and molecular diversity of miniature frogs of the Eleutherodactylus limbatus group from Cuba. Salamandra, 48(2), pp.71-91.</t>
  </si>
  <si>
    <t>Casterlin, M.E. and Reynolds, W.W., 1980. Diel activity and thermoregulatory behavior of a fully aquatic frog: Xenopus laevis. Hydrobiologia, 75(2), pp.189-191.</t>
  </si>
  <si>
    <t>Espindola, S., Parra, J.L. and Vázquez-Domínguez, E., 2019. Fundamental niche unfilling and potential invasion risk of the slider turtle Trachemys scripta. PeerJ, 7, p.e7923.</t>
  </si>
  <si>
    <t>Wang, J., Li, H., Wang, T., Chen, B., Cui, J. and Shi, H., 2019. Developmental plasticity of hearing sensitivity in red-eared slider Trachemys scripta elegans. BioRxiv, p.825968.   Calculated from carapace length using allometric regressions, by scaling skull length to carapace length using another specimen</t>
  </si>
  <si>
    <t>Mason, M.J., Segenhout, J.M., Cobo-Cuan, A. et al. The Frog Inner Ear: Picture Perfect?. JARO 16, 171–188 (2015).  Average of male specimens</t>
  </si>
  <si>
    <t>Calculated from body length at maturity using equations provided in https://www.fishbase.se/summary/904</t>
  </si>
  <si>
    <t>Specimen from Mason, M.J., Segenhout, J.M., Cobo-Cuan, A. et al. The Frog Inner Ear: Picture Perfect?. JARO 16, 171–188 (2015).</t>
  </si>
  <si>
    <t>Specimen from Serjoscha W Evers, James M Neenan, Gabriel S Ferreira, Ingmar Werneburg, Paul M Barrett, Roger B J Benson, Neurovascular anatomy of the protostegid turtle Rhinochelys pulchriceps and comparisons of membranous and endosseous labyrinth shape in an extant turtle, Zoological Journal of the Linnean Society, Volume 187, Issue 3, November 2019, Pages 800–828</t>
  </si>
  <si>
    <t>Santini, L., Benitez‐Lopez, A., Ficetola, G.F. and Huijbregts, M.A., 2018. Length–mass allometries in amphibians. Integrative zoology, 13(1), pp.36-45.   Calculated by scaling the body mass of the specimen to the snout-to-vent-length, using allometric regressions, and then using a CBL ratio against snout-to-vent length measured on another specimen</t>
  </si>
  <si>
    <t xml:space="preserve">Wang, J., Li, H., Wang, T., Chen, B., Cui, J. and Shi, H., 2019. Developmental plasticity of hearing sensitivity in red-eared slider Trachemys scripta elegans. BioRxiv, p.825968.   Calculated by scaling skull length to carapace length using another specimen, and then using the predicted carapace length with allometric regressions to estimate body mass </t>
  </si>
  <si>
    <t>Calculated from ratio against body length. Measured on photograph of another specimen, using actual specimen body length</t>
  </si>
  <si>
    <t>Calculated from body length at maturity using equations provided in  https://www.fishbase.se/summary/Microstomus-kitt</t>
  </si>
  <si>
    <t>Calculated from common body length using equations provided in https://www.fishbase.se/summary/516</t>
  </si>
  <si>
    <t>Calculated from actual specimen length using equations provided in  https://www.fishbase.se/summary/Melamphaes-laeviceps.html</t>
  </si>
  <si>
    <t>Calculated from actual specimen length using equations provided in  https://www.fishbase.de/summary/Poromitra-crassiceps.html</t>
  </si>
  <si>
    <t>dS_a_Out (mm)</t>
  </si>
  <si>
    <t>dS_p_Out (mm)</t>
  </si>
  <si>
    <t>dS_l_Out (mm)</t>
  </si>
  <si>
    <t>Taken as preferred temperature from https://www.fishbase.se/summary/Opsanus-tau.html</t>
  </si>
  <si>
    <t>Taken as preferred temperature from https://www.fishbase.se/summary/Merluccius-merluccius.html</t>
  </si>
  <si>
    <t>Taken as preferred temperature from https://www.fishbase.se/summary/Molva-dypterygia</t>
  </si>
  <si>
    <t>Taken as preferred temperature from https://www.fishbase.se/summary/Brama-brama.html</t>
  </si>
  <si>
    <t>Taken as preferred temperature from https://www.fishbase.se/summary/Microstomus-kitt</t>
  </si>
  <si>
    <t>Taken as preferred temperature from https://www.fishbase.se/summary/Scomber-scombrus.html</t>
  </si>
  <si>
    <t>Taken as preferred temperature from https://www.fishbase.de/summary/conger-conger.html</t>
  </si>
  <si>
    <t>Taken as preferred temperature from https://www.fishbase.se/summary/516</t>
  </si>
  <si>
    <t>Taken as preferred temperature from https://www.fishbase.se/summary/Brosme-brosme.html</t>
  </si>
  <si>
    <t>Taken as preferred temperature from https://www.fishbase.se/summary/Melamphaes-laeviceps.html</t>
  </si>
  <si>
    <t>Taken as preferred temperature from https://www.fishbase.de/summary/Poromitra-crassiceps.html</t>
  </si>
  <si>
    <t>Taken as preferred temperature from https://www.fishbase.se/summary/25275</t>
  </si>
  <si>
    <t>Taken as preferred temperature from https://www.fishbase.in/summary/Antimora-rostrata.html</t>
  </si>
  <si>
    <t>Taken as preferred temperature from https://www.fishbase.se/summary/9104</t>
  </si>
  <si>
    <t>Taken as preferred temperature from https://www.fishbase.se/summary/Histiobranchus-bathybius.html</t>
  </si>
  <si>
    <t>Taken as preferred temperature from https://www.fishbase.se/summary/Polyacanthonotus-challengeri.html</t>
  </si>
  <si>
    <t>Taken as preferred temperature from https://www.fishbase.de/summary/6955</t>
  </si>
  <si>
    <t>Taken as preferred temperature from https://www.fishbase.se/summary/2503</t>
  </si>
  <si>
    <t>Taken as preferred temperature from https://www.fishbase.se/summary/139</t>
  </si>
  <si>
    <t>Taken as preferred temperature from https://www.fishbase.se/summary/Dipturus-batis.html</t>
  </si>
  <si>
    <t>Taken as preferred temperature from https://www.fishbase.se/summary/1250</t>
  </si>
  <si>
    <t>Taken as preferred temperature from https://www.fishbase.se/summary/Dasyatis-fluviorum.html</t>
  </si>
  <si>
    <t>Taken as preferred temperature from https://www.fishbase.se/summary/4508</t>
  </si>
  <si>
    <t>Taken as preferred temperature from https://www.fishbase.se/summary/pateobatis-fai</t>
  </si>
  <si>
    <t>Taken as preferred temperature from https://www.fishbase.de/summary/24002</t>
  </si>
  <si>
    <t>Taken as preferred temperature from https://www.fishbase.se/summary/2579</t>
  </si>
  <si>
    <t>Taken as preferred temperature from https://www.fishbase.se/summary/Carcharhinus-leucas.html</t>
  </si>
  <si>
    <t>Taken as preferred temperature from https://www.fishbase.de/summary/Carcharhinus-plumbeus.html</t>
  </si>
  <si>
    <t>Taken as preferred temperature from https://www.fishbase.in/summary/carcharhinus-obscurus.html</t>
  </si>
  <si>
    <t>Taken as preferred temperature from https://www.fishbase.se/summary/Negaprion-acutidens.html</t>
  </si>
  <si>
    <t>Taken as preferred temperature from https://www.fishbase.in/summary/orectolobus-maculatus</t>
  </si>
  <si>
    <t>Taken as preferred temperature from https://www.fishbase.se/summary/904</t>
  </si>
  <si>
    <t>Taken as preferred temperature from https://www.fishbase.se/summary/5903</t>
  </si>
  <si>
    <t>Taken as preferred temperature from https://www.fishbase.de/summary/743</t>
  </si>
  <si>
    <t>Taken as preferred temperature from https://www.fishbase.se/summary/12577</t>
  </si>
  <si>
    <t>Taken as preferred temperature from https://www.fishbase.de/summary/4722</t>
  </si>
  <si>
    <t>Taken as average temperature from https://www.fishbase.de/summary/Leuciscus-leuciscus.html</t>
  </si>
  <si>
    <t>Taken as average temperature from https://www.fishbase.de/summary/tinca-tinca.html</t>
  </si>
  <si>
    <t>Taken as average temperature from https://www.fishbase.se/summary/perca-fluviatilis.html</t>
  </si>
  <si>
    <t>Taken as average temperature from https://www.fishbase.se/summary/esox-lucius.html</t>
  </si>
  <si>
    <t>Calculated from common body length using equations and max body length provided in https://www.fishbase.se/summary/2503, scaling max body length to common body length using an allometric regression obtained with 20 Chondricthyans (R2 = 0.96)</t>
  </si>
  <si>
    <t xml:space="preserve">Calculated from common body length using equations and max body length provided in https://www.fishbase.de/summary/6955, scaling max body length to common body length using an allometric regression obtained with 29 Actinopterygians (R2 = 0.86)      </t>
  </si>
  <si>
    <t>Calculated from common body length using equations provided in https://www.fishbase.se/summary/Dipturus-batis.html</t>
  </si>
  <si>
    <t>Calculated from ratio against body length. Ratio measured on photograph of another specimen, using common body length from https://www.fishbase.de/summary/Leuciscus-leuciscus.html</t>
  </si>
  <si>
    <t>Calculated from ratio against body length. Ratio measured on photograph of another specimen, using common body length from https://www.fishbase.de/summary/tinca-tinca.html</t>
  </si>
  <si>
    <t>Calculated from ratio against body length. Ratio measured on photograph of another specimen. Body length was estimated from actual body mass of the specimen, using allometric equations from  https://www.fishbase.se/summary/Opsanus-tau.html</t>
  </si>
  <si>
    <t>Calculated from ratio against body length. Ratio measured on photograph of another specimen, using common body length from https://www.fishbase.se/summary/Merluccius-merluccius.html</t>
  </si>
  <si>
    <t>Calculated from ratio against body length. Ratio measured on photograph of another specimen, using common body length from https://www.fishbase.se/summary/perca-fluviatilis.html</t>
  </si>
  <si>
    <t>Calculated from ratio against body length. Ratio measured on photograph of another specimen, using common body length from  https://www.fishbase.se/summary/Molva-dypterygia</t>
  </si>
  <si>
    <t>Calculated from ratio against body length. Ratio measured on photograph of another specimen, using common body length from  https://www.fishbase.se/summary/Brama-brama.html</t>
  </si>
  <si>
    <t>Calculated from ratio against body length. Ratio measured on photograph of another specimen, using body length at maturity from  https://www.fishbase.se/summary/Microstomus-kitt</t>
  </si>
  <si>
    <t>Calculated from ratio against body length. Ratio measured on photograph of another specimen, using common body length from https://www.fishbase.se/summary/Scomber-scombrus.html</t>
  </si>
  <si>
    <t>Calculated from ratio against body length. Ratio measured on photograph of another specimen, using common body length from https://www.fishbase.de/summary/conger-conger.html</t>
  </si>
  <si>
    <t>Calculated from ratio against body length. Ratio measured on photograph of another specimen, using common body length from https://www.fishbase.se/summary/esox-lucius.html</t>
  </si>
  <si>
    <t>Calculated from ratio against body length. Ratio measured on photograph of another specimen, using common body length from https://www.fishbase.se/summary/516</t>
  </si>
  <si>
    <t>Calculated from ratio against body length. Ratio measured on photograph of another specimen, using common body length from https://www.fishbase.se/summary/Brosme-brosme.html</t>
  </si>
  <si>
    <t>Calculated from ratio against body length. Ratio measured on photograph of another specimen, using actual average length of specimens studied.</t>
  </si>
  <si>
    <t>Calculated from ratio against body length. Ratio measured on photograph of another specimen, using actual specimen length</t>
  </si>
  <si>
    <t xml:space="preserve">Calculated from ratio against body length. Ratio measured on photograph of another specimen, scaling max body length from https://www.fishbase.de/summary/6955 to common body length using an allometric regression obtained with 29 Actinopterygians (R2 = 0.86)      </t>
  </si>
  <si>
    <t xml:space="preserve">Calculated from ratio against body length. Ratio measured on photograph of another specimen, scaling max body length from  https://www.fishbase.se/summary/2503 to common body length using an allometric regression obtained with 20 Chondricthyans (R2 = 0.96)      </t>
  </si>
  <si>
    <t>Calculated from ratio against body length. Ratio measured on photograph of another specimen, using common body length from https://www.fishbase.se/summary/139</t>
  </si>
  <si>
    <t>Calculated from ratio against body length. Ratio measured on photograph of another specimen, using common body length from https://www.fishbase.se/summary/Dipturus-batis.html</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</si>
  <si>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https://www.fishbase.se/summary/1250 /</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</si>
  <si>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https://www.fishbase.se/summary/Dasyatis-fluviorum.html</t>
  </si>
  <si>
    <t xml:space="preserve">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https://www.fishbase.se/summary/4508 </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</si>
  <si>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https://www.fishbase.se/summary/pateobatis-fai</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</si>
  <si>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https://www.fishbase.de/summary/24002</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</si>
  <si>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https://www.fishbase.se/summary/2579</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</si>
  <si>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https://www.fishbase.se/summary/Carcharhinus-leucas.html</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</si>
  <si>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https://www.fishbase.de/summary/Carcharhinus-plumbeus.html</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</si>
  <si>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https://www.fishbase.in/summary/carcharhinus-obscurus.html</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</si>
  <si>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https://www.fishbase.se/summary/Negaprion-acutidens.html</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</si>
  <si>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https://www.fishbase.in/summary/orectolobus-maculatus</t>
  </si>
  <si>
    <t>Calculated from ratio against body length, using the eyes and the homologous part of the posterior part of the skull to calculate the ratios. Ratio measured on photograph of another specimen, using common body length from   https://www.fishbase.se/summary/904</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</si>
  <si>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https://www.fishbase.se/summary/5903</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</si>
  <si>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https://www.fishbase.de/summary/743</t>
  </si>
  <si>
    <t>Calculated from ratio against body length, using the eyes and the homologous part of the posterior part of the skull to calculate the ratios. Ratio measured on photograph of another specimen. Body length was estimated from actual body mass of the specimen, using allometric equations from  https://www.fishbase.se/summary/12577</t>
  </si>
  <si>
    <t>Calculated from ratio against body length, using the eyes and the homologous part of the posterior part of the skull to calculate the ratios. Ratio measured on photograph of another specimen, using common body length from https://www.fishbase.de/summary/4722</t>
  </si>
  <si>
    <t>This dataset is duplicated in the 3D bony sample and is used to relate membranous and bony labyrinths.</t>
  </si>
  <si>
    <t>This dataset is only measured on the membranous semicircular ducts</t>
  </si>
  <si>
    <r>
      <t>Specimen from Schulz-Mirbach, T., Heß, M., Metscher, B. D., &amp; Ladich, F. (2013). A unique swim bladder-inner ear connection in a teleost fish revealed by a combined high-resolution microtomographic and three-dimensional histological study. </t>
    </r>
    <r>
      <rPr>
        <i/>
        <sz val="11"/>
        <color rgb="FF222222"/>
        <rFont val="Calibri"/>
        <family val="2"/>
        <scheme val="minor"/>
      </rPr>
      <t>BMC biology</t>
    </r>
    <r>
      <rPr>
        <sz val="11"/>
        <color rgb="FF222222"/>
        <rFont val="Calibri"/>
        <family val="2"/>
        <scheme val="minor"/>
      </rPr>
      <t>, </t>
    </r>
    <r>
      <rPr>
        <i/>
        <sz val="11"/>
        <color rgb="FF222222"/>
        <rFont val="Calibri"/>
        <family val="2"/>
        <scheme val="minor"/>
      </rPr>
      <t>11</t>
    </r>
    <r>
      <rPr>
        <sz val="11"/>
        <color rgb="FF222222"/>
        <rFont val="Calibri"/>
        <family val="2"/>
        <scheme val="minor"/>
      </rPr>
      <t>(1), 1-13.</t>
    </r>
  </si>
  <si>
    <t>Specimen from Schulz-Mirbach et al.: Sensory epithelia of the fish inner ear in 3D: studied with high-resolution contrast enhanced microCT. Frontiers in Zoology 2013 10:63.</t>
  </si>
  <si>
    <t>dS_a_Out</t>
  </si>
  <si>
    <t>dS_p_Out</t>
  </si>
  <si>
    <t>dS_l_Out</t>
  </si>
  <si>
    <t>tCa</t>
  </si>
  <si>
    <t>tCp</t>
  </si>
  <si>
    <t>tCl</t>
  </si>
  <si>
    <t>tCa (mm)</t>
  </si>
  <si>
    <t>tCp (mm)</t>
  </si>
  <si>
    <t>tCl (mm)</t>
  </si>
  <si>
    <t>aCa_Md</t>
  </si>
  <si>
    <t>aCp_Md</t>
  </si>
  <si>
    <t>aCl_Md</t>
  </si>
  <si>
    <t>aCa_Md (mm2)</t>
  </si>
  <si>
    <t>aCp_Md (mm2)</t>
  </si>
  <si>
    <t>aCl_Md (mm2)</t>
  </si>
  <si>
    <t>: Average thickness of the anterior cupula model</t>
  </si>
  <si>
    <t>: Average thickness of the posterior cupula model</t>
  </si>
  <si>
    <t>: Average thickness of the lateral cupula model</t>
  </si>
  <si>
    <t>hca</t>
  </si>
  <si>
    <t>hcp</t>
  </si>
  <si>
    <t>hcl</t>
  </si>
  <si>
    <t>hca (μm)</t>
  </si>
  <si>
    <t>hcp (μm)</t>
  </si>
  <si>
    <t>hcl (μm)</t>
  </si>
  <si>
    <t>: Cross-sectional area of the middle section of the anterior cupula</t>
  </si>
  <si>
    <t>: Cross-sectional area of the middle section of the posterior cupula</t>
  </si>
  <si>
    <t>: Cross-sectional area of the middle section of the lateral cupula</t>
  </si>
  <si>
    <t>: height of the cilia area of the crista ampullaris of the anterior semicircular ducts</t>
  </si>
  <si>
    <t>: height of the cilia area of the crista ampullaris of the posterior semicircular ducts</t>
  </si>
  <si>
    <t>: height of the cilia area of the crista ampullaris of the lateral semicircular ducts</t>
  </si>
  <si>
    <t xml:space="preserve">Calculated from ratio against body length. Ratio measured on photograph of another specimen, scaling max body length from https://www.fishbase.se/summary/steatocranus-tinanti.html to common body length using an allometric regression obtained with 29 Actinopterygians (R2 = 0.86)      </t>
  </si>
  <si>
    <t xml:space="preserve">Calculated from common body length using equations and max body length provided in https://www.fishbase.se/summary/steatocranus-tinanti.html, scaling max body length to common body length using an allometric regression obtained with 29 Actinopterygians (R2 = 0.86)      </t>
  </si>
  <si>
    <t>aS (mm2)</t>
  </si>
  <si>
    <r>
      <t>aS_v (mm</t>
    </r>
    <r>
      <rPr>
        <vertAlign val="superscript"/>
        <sz val="11"/>
        <color theme="1"/>
        <rFont val="Calibri"/>
        <family val="2"/>
        <scheme val="minor"/>
      </rPr>
      <t>2</t>
    </r>
    <r>
      <rPr>
        <sz val="11"/>
        <color theme="1"/>
        <rFont val="Calibri"/>
        <family val="2"/>
        <scheme val="minor"/>
      </rPr>
      <t>)</t>
    </r>
  </si>
  <si>
    <t>: Transverse diameter of the slender part of the anterior semicircular duct (including the walls)</t>
  </si>
  <si>
    <t>: Transverse diameter of the slender part of the posterior semicircular duct (including the walls)</t>
  </si>
  <si>
    <t>: Transverse diameter of the slender part of the lateral semicircular duct (including the walls)</t>
  </si>
  <si>
    <t>Measurements done on the photographs. Cross-sectional areas taken from the paper. Projections of the anterior and posterior ducts were corrected using actual angles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</si>
  <si>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Cross-sectional areas were computed as PI*inner cross-section radius^2. The inner cross-section radius of each semicircular duct was estimated by multiplying the average inner cross-section radius provided in Jones and Spells 1963 by a ratio. The radius of curvature and the length of the slender portion of each semicircular duct were estimated by multiplying the average radius of curvature provided in Jones and Spells 1963 by a ratio. Ratios used to estimate the inner cross-section radius, the radius of curvature and the length of the slender portion of each semicircular duct, as well as the eccentricity, the enclosed area error, the wall shape drag factor, the slender length error and the deflection factor of each semicircular duct were estimated using values at the latest divergence node with any complete specimen of the training set. Remaining parameters were mathematically deduced from measured and estimated parameters.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</si>
  <si>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Cross-sectional areas were computed as PI*inner cross-section radius^2. The inner cross-section radius of the anterior and posterior semicircular ducts were estimated by multiplying the average inner cross-section radius of the anterior and posterior ducts provided in Jones and Spells 1963 by a ratio. Radius of curvature of each duct, as well as enclosed areas, eccentricity and slender lengths measured from Retzius drawings and scaled based on the average radius of curvature measured on actual specimens provided in Jones and Spells 1963. Projections of the anterior and posterior ducts were corrected using angles of 45 degrees with the mid-sagittal plane. Semi-major axis of the lateral duct measured as the largest distance between any two points on the lateral duct in lateral view. Semi-minor axis, enclosed area and slender length of the lateral duct predicted from other parameters using a PLS regression trained on complete specimens of the set. Ratios used to estimate the inner cross-section radius, the wall shape drag factor, the slender length error and the deflection factor of each semicircular duct were estimated using values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</si>
  <si>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Cross-sectional areas were computed as PI*inner cross-section radius^2. The inner cross-section radius of the anterior and posterior semicircular ducts were estimated by multiplying the average inner cross-section radius of the anterior and posterior ducts provided in Jones and Spells 1963 by a ratio. The radius of curvature and the length of the slender portion of each semicircular duct were estimated by multiplying the average radius of curvature provided in Jones and Spells 1963 by a ratio. Ratios used to estimate the inner cross-section radius, the radius of curvature and the length of the slender portion of each semicircular duct, as well as the eccentricity, the enclosed area error, the wall shape drag factor, the slender length error and the deflection factor of each semicircular duct were estimated using values at the latest divergence node with any complete specimen of the training set. Remaining parameters were mathematically deduced from measured and estimated parameters.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</si>
  <si>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Cross-sectional areas were computed as PI*inner cross-section radius^2. The inner cross-section radius of the anterior and posterior semicircular ducts were estimated by multiplying the average inner cross-section radius of the anterior and posterior ducts provided in Jones and Spells 1963 by a ratio. Radius of curvature of each duct, as well as enclosed areas, eccentricity and slender lengths measured from Retzius drawings and scaled based on the average radius of curvature measured on actual specimens provided in Jones and Spells 1963. Projections of the anterior and posterior ducts were corrected using actual angles with the mid-sagittal plane. Ratios used to estimate the inner cross-section radius, the wall shape drag factor, the slender length error and the deflection factor of each semicircular duct were estimated using values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</si>
  <si>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Projections of the anterior and posterior ducts were corrected using angles of 45 degrees with the mid-sagittal plane. Semi-minor axis, enclosed area and slender length of the lateral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</si>
  <si>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Projection of the posterior duct was corrected using angles of 65 degrees with the mid-sagittal plane. Semi-minor axis, enclosed area and slender length of the lateral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</si>
  <si>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Projections of the posterior and lateral ducts were corrected using angles of 65 and 45 degrees, respectively,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</si>
  <si>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Provided scale bar is wrong. Scale bar of 1mm was used (based on the size of the saccular otolith). Cross-sectional areas were computed as PI*inner cross-section radius^2. Projections of the anterior and posterior ducts were corrected using angles of 45 degrees with the mid-sagittal plane. Semi-minor axis, enclosed area and slender length of the lateral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</si>
  <si>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Provided scale bar is wrong. Scale bar of 1mm was used (based on the size of the saccular otolith). Cross-sectional areas were computed as PI*inner cross-section radius^2. Projections of the anterior, posterior and lateral ducts were corrected using angles of 45 degrees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</si>
  <si>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lengths were calculated using the ratio between slender parts and full lengths measured on the photograph and values provided for the full lengths measured on actual specimens. Projections of the posterior and lateral ducts were corrected using angles of 45 degrees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</si>
  <si>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anterior duct was calculated using the ratio between the slender part and the full length measured on the photograph and values provided for the full length measured on actual specimens. Semi-minor axis, enclosed area and slender length of the posterior and lateral ducts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</si>
  <si>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anterior and posterior ducts were calculated using the ratio between the slender parts and the full lengths measured on the photograph and values provided for the full lengths measured on actual specimens. Projection of the posterior duct was corrected using angles of 45 degrees with the mid-sagittal plane. Semi-minor axis, enclosed area and slender length of the lateral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</si>
  <si>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ducts were calculated using the ratio between the slender parts and the full lengths measured on the photograph and values provided for the full lengths measured on actual specimens. Projections of the anterior and lateral ducts were corrected using angles of 45 degrees with the mid-sagittal plane. Semi-minor axis and enclosed area of the posterior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</si>
  <si>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anterior and lateral ducts were calculated using the ratio between the slender parts and the full lengths measured on the photograph and values provided for the full lengths measured on actual specimens. Projections of the anterior and lateral ducts were corrected using angles of 45 degrees with the mid-sagittal plane. Slender length of the posterior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</si>
  <si>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ducts were calculated using the ratio between the slender parts and the full lengths measured on the photograph and values provided for the full lengths measured on actual specimens. Projections of the anterior and lateral ducts were corrected using angles of 45 degrees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</si>
  <si>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ducts were calculated using the ratio between the slender parts and the full lengths measured on the photograph and values provided for the full lengths measured on actual specimens. Semi-minor axes, enclosed area and slender length of the lateral duct predicted from other parameters using a PLS regression trained on complete specimens of the set. Projection of the anterior duct was corrected using angles of 45 degrees with the mid-sagittal plane.Wall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</si>
  <si>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ducts were calculated using the ratio between the slender parts and the full lengths measured on the photograph and values provided for the full lengths measured on actual specimens. Projections of the anterior and lateral ducts were corrected using angles of 45 and 20 degrees, respectively,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</si>
  <si>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Slender length of the posterior and lateral ducts were calculated using the ratio between the slender parts and the full lengths measured on the photograph and values provided for the full lengths measured on actual specimens. Projections of the posterior and lateral ducts were corrected using angles of 45 degrees with the mid-sagittal plane.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</si>
  <si>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Measurements done on the photograph. Cross-sectional areas were computed as PI*inner cross-section radius^2. Projections of the posterior duct was corrected using angles of 45 degrees with the mid-sagittal plane. Semi-minor axis, enclosed area and slender length of the lateral duct predicted from other parameters using a PLS regression trained on complete specimens of the set. Wall shape drag factors, slender length errors and deflection factors were estimated using the value at the latest divergence node with any complete specimen of the training set. Cross-sectional radii of bony canals were predicted from outer duct thickness, using allometric regressions calculated for this study from data obtained on actual bony and membranous labyrinths. Note that cross-sectional radii were only computed to simplify calculation of the thermo-motility index, their value does not affect the end result.</t>
  </si>
  <si>
    <t>Clade</t>
  </si>
  <si>
    <t>Otocephala</t>
  </si>
  <si>
    <t>Protacanthopterygii</t>
  </si>
  <si>
    <t>Paracanthopterygii</t>
  </si>
  <si>
    <t>Elopomorpha</t>
  </si>
  <si>
    <t>Holocephali </t>
  </si>
  <si>
    <t>Selachii</t>
  </si>
  <si>
    <t>Batoidea</t>
  </si>
  <si>
    <t>Amphibia</t>
  </si>
  <si>
    <t>Testudinata</t>
  </si>
  <si>
    <t>Crocodylia</t>
  </si>
  <si>
    <t>Aves</t>
  </si>
  <si>
    <t>Lepidosauria</t>
  </si>
  <si>
    <t>Mammalia</t>
  </si>
  <si>
    <t>Gymnophiona</t>
  </si>
  <si>
    <t>Anura</t>
  </si>
  <si>
    <t>Caudata</t>
  </si>
  <si>
    <t>Palaeognathae</t>
  </si>
  <si>
    <t>Galloanserae</t>
  </si>
  <si>
    <t>Basal Landbirds</t>
  </si>
  <si>
    <t>Ardeae</t>
  </si>
  <si>
    <t>Mirandornithes</t>
  </si>
  <si>
    <t>Afroaves</t>
  </si>
  <si>
    <t>Australaves</t>
  </si>
  <si>
    <t>Gekkota</t>
  </si>
  <si>
    <t>Scincomorpha</t>
  </si>
  <si>
    <t>Lacertoidea</t>
  </si>
  <si>
    <t>Serpentes</t>
  </si>
  <si>
    <t>Anguimorpha</t>
  </si>
  <si>
    <t>Iguania</t>
  </si>
  <si>
    <t>Monotremata</t>
  </si>
  <si>
    <t>Marsupialia</t>
  </si>
  <si>
    <t>Atlantogenata</t>
  </si>
  <si>
    <t>Euarchontoglires</t>
  </si>
  <si>
    <t>Laurasiatheria</t>
  </si>
  <si>
    <t>Fossil Mammalia</t>
  </si>
  <si>
    <t>Fossil archosaur</t>
  </si>
  <si>
    <t>Rhynchocephalia</t>
  </si>
  <si>
    <t>Stem-Amniota</t>
  </si>
  <si>
    <t>Basal Reptilia</t>
  </si>
  <si>
    <t>NTS</t>
  </si>
  <si>
    <t>NNT</t>
  </si>
  <si>
    <t>Anomodontia</t>
  </si>
  <si>
    <t>Gorgonopsia</t>
  </si>
  <si>
    <t>Therocephalia</t>
  </si>
  <si>
    <t>NPC</t>
  </si>
  <si>
    <t>NMM</t>
  </si>
  <si>
    <t>NMP</t>
  </si>
  <si>
    <t>: Non-therapsid synapid</t>
  </si>
  <si>
    <t>: Non-neotherapsid therapsid</t>
  </si>
  <si>
    <t>: Non-mammaliamorph probainognathian</t>
  </si>
  <si>
    <t>: Non-mammalian mammaliamorph</t>
  </si>
  <si>
    <t>: Non-probainognathian cynodont</t>
  </si>
  <si>
    <t>Actinopterygii </t>
  </si>
  <si>
    <t>Acanthopterygii</t>
  </si>
  <si>
    <t>Major Clade</t>
  </si>
  <si>
    <t>Chondrichthyes</t>
  </si>
  <si>
    <t>Evers S W, Neenan J M, Ferreira G S, Werneburg I, Barrett P M, Benson R B J, Neurovascular anatomy of the protostegid turtle Rhinochelys pulchriceps and comparisons of membranous and endosseous labyrinth shape in an extant turtle, Zoological Journal of the Linnean Society, Volume 187, Issue 3, November 2019, Pages 800–828   CAOL estimated using the brain endocast measurement provided by Serjoscha W Evers</t>
  </si>
  <si>
    <t>Calculated from ratio against CAOL Measured on photograph of another specimen</t>
  </si>
  <si>
    <t>: Deflection factor of the anterior cupula</t>
  </si>
  <si>
    <t>: Deflection factor of the posterior cupula</t>
  </si>
  <si>
    <t>: Deflection factor of the lateral cupula</t>
  </si>
  <si>
    <t>: Semi-major axis of the anterior bony semicircular canal (taken as equal to the same measurement on the duct)</t>
  </si>
  <si>
    <t>: Semi-minor axis of the anterior bony semicircular canal (taken as equal to the same measurement on the duct)</t>
  </si>
  <si>
    <t>: Semi-major axis of the posterior bony semicircular canal (taken as equal to the same measurement on the duct)</t>
  </si>
  <si>
    <t>: Semi-minor axis of the posterior bony semicircular canal (taken as equal to the same measurement on the duct)</t>
  </si>
  <si>
    <t>: Semi-major axis of the lateral bony semicircular canal (taken as equal to the same measurement on the duct)</t>
  </si>
  <si>
    <t>: Semi-minor axis of the lateral bony semicircular canal (taken as equal to the same measurement on the duct)</t>
  </si>
  <si>
    <t>: Length of the slender part of the anterior bony semicircular canal (taken as equal to the same measurement on the duct)</t>
  </si>
  <si>
    <t>: Length of the slender part of the posterior bony semicircular canal (taken as equal to the same measurement on the duct)</t>
  </si>
  <si>
    <t>: Length of the slender part of the lateral bony semicircular canal (taken as equal to the same measurement on the duct)</t>
  </si>
  <si>
    <t>aS_v</t>
  </si>
  <si>
    <t>: Mean average cross-sectional area of the slender parts of the anterior and posterior semicircular ducts</t>
  </si>
  <si>
    <t>aS</t>
  </si>
  <si>
    <t>: Mean average cross-sectional area of the slender parts of the anterior, posterior and lateral semicircular ducts</t>
  </si>
  <si>
    <t>: Relative deflection factor of the anterior cupula</t>
  </si>
  <si>
    <t>: Relative deflection of the posterior cupula</t>
  </si>
  <si>
    <t>: Relative deflection of the lateral cupula</t>
  </si>
  <si>
    <t>0.93 (3)</t>
  </si>
  <si>
    <t>0.91 (3)</t>
  </si>
  <si>
    <t>0.93 (1)</t>
  </si>
  <si>
    <t>0.86 (1)</t>
  </si>
  <si>
    <t>0.73 (2)</t>
  </si>
  <si>
    <t>0.71 (2)</t>
  </si>
  <si>
    <t>0.75 (2)</t>
  </si>
  <si>
    <t>0.84 (1)</t>
  </si>
  <si>
    <t>0.80 (2)</t>
  </si>
  <si>
    <t>0.85 (2)</t>
  </si>
  <si>
    <t>0.83 (2)</t>
  </si>
  <si>
    <t>0.83 (1)</t>
  </si>
  <si>
    <t>0.78 (2)</t>
  </si>
  <si>
    <t>0.81 (2)</t>
  </si>
  <si>
    <t>0.96 (2)</t>
  </si>
  <si>
    <t>0.95 (4)</t>
  </si>
  <si>
    <t>0.93 (2)</t>
  </si>
  <si>
    <t>0.93 (4)</t>
  </si>
  <si>
    <t>0.91 (1)</t>
  </si>
  <si>
    <t>0.95 (3)</t>
  </si>
  <si>
    <t>0.92 (3)</t>
  </si>
  <si>
    <t>0.97 (3)</t>
  </si>
  <si>
    <t>0.94 (2)</t>
  </si>
  <si>
    <t>0.98 (5)</t>
  </si>
  <si>
    <t>0.95 (6)</t>
  </si>
  <si>
    <t>0.97 (4)</t>
  </si>
  <si>
    <t>0.92 (1)</t>
  </si>
  <si>
    <t>0.90 (2)</t>
  </si>
  <si>
    <t>0.86 (3)</t>
  </si>
  <si>
    <t>0.97 (2)</t>
  </si>
  <si>
    <t>0.95 (2)</t>
  </si>
  <si>
    <t>[3.18-4.27]</t>
  </si>
  <si>
    <t>[2.56-3.32]</t>
  </si>
  <si>
    <t>[2.86-3.72]</t>
  </si>
  <si>
    <t>[2.73-3.24]</t>
  </si>
  <si>
    <t>[9.89-13.32]</t>
  </si>
  <si>
    <t>[11.99-14.17]</t>
  </si>
  <si>
    <t>[0.61-0.85]</t>
  </si>
  <si>
    <t>[0.65-0.90]</t>
  </si>
  <si>
    <t>[0.74-1.01]</t>
  </si>
  <si>
    <t>[2.36-3.23]</t>
  </si>
  <si>
    <t>[1.37-1.82]</t>
  </si>
  <si>
    <t>[1.70-2.35]</t>
  </si>
  <si>
    <t>[1.40-1.87]</t>
  </si>
  <si>
    <t>[2.00-2.63]</t>
  </si>
  <si>
    <t>[1.52-2.03]</t>
  </si>
  <si>
    <t>[6.49-9.26]</t>
  </si>
  <si>
    <t>[5.59-7.43]</t>
  </si>
  <si>
    <t>[8.90-11.85]</t>
  </si>
  <si>
    <t>[0.57-0.68]</t>
  </si>
  <si>
    <t>[2.72-3.32]</t>
  </si>
  <si>
    <t>[1.82-2.45]</t>
  </si>
  <si>
    <t>[3.17-3.99]</t>
  </si>
  <si>
    <t>[2.32-3.02]</t>
  </si>
  <si>
    <t>[10.22-12.51]</t>
  </si>
  <si>
    <t>[13.46-17.56]</t>
  </si>
  <si>
    <t>[0.65-0.78]</t>
  </si>
  <si>
    <t>[0.76-0.97]</t>
  </si>
  <si>
    <t>[8.84-9.39]</t>
  </si>
  <si>
    <t>[4.88-5.28]</t>
  </si>
  <si>
    <t>[1.32-1.47]</t>
  </si>
  <si>
    <t>[5.51-6.15]</t>
  </si>
  <si>
    <t>[2.55-2.90]</t>
  </si>
  <si>
    <t>[4.46-4.97]</t>
  </si>
  <si>
    <t>[3.08-3.52]</t>
  </si>
  <si>
    <t>[14.35-15.63]</t>
  </si>
  <si>
    <t>[16.42-18.82]</t>
  </si>
  <si>
    <t>[1.01-1.11]</t>
  </si>
  <si>
    <t>[1.08-1.21]</t>
  </si>
  <si>
    <t>[3.57-4.03]</t>
  </si>
  <si>
    <t>[2.36-2.82]</t>
  </si>
  <si>
    <t>[2.43-2.73]</t>
  </si>
  <si>
    <t>[1.81-2.03]</t>
  </si>
  <si>
    <t>[10.33-11.58]</t>
  </si>
  <si>
    <t>[7.86-8.59]</t>
  </si>
  <si>
    <t>[9.03-10.01]</t>
  </si>
  <si>
    <t>[0.62-0.67]</t>
  </si>
  <si>
    <t>[0.61-0.68]</t>
  </si>
  <si>
    <t>[2.96-3.24]</t>
  </si>
  <si>
    <t>[1.95-2.18]</t>
  </si>
  <si>
    <t>[2.94-3.25]</t>
  </si>
  <si>
    <t>[2.33-2.74]</t>
  </si>
  <si>
    <t>[9.62-10.46]</t>
  </si>
  <si>
    <t>[11.96-13.07]</t>
  </si>
  <si>
    <t>[0.74-0.82]</t>
  </si>
  <si>
    <t>[0.79-0.87]</t>
  </si>
  <si>
    <t>Min_a_B (mm)</t>
  </si>
  <si>
    <t>Maj_p_B (mm)</t>
  </si>
  <si>
    <t>Min_p_B (mm)</t>
  </si>
  <si>
    <t>Maj_l_B (mm)</t>
  </si>
  <si>
    <t>Cross-validated coefficients of determination (and number of components) of the PLS regressions used to predict missing parameters of fossil specimens.</t>
  </si>
  <si>
    <t>Predicted values and 95% confidence intervals</t>
  </si>
  <si>
    <t>Set 1</t>
  </si>
  <si>
    <t>Set 2</t>
  </si>
  <si>
    <t>Set 3</t>
  </si>
  <si>
    <t>Set 4</t>
  </si>
  <si>
    <t>Set 5</t>
  </si>
  <si>
    <t>adjCV</t>
  </si>
  <si>
    <t>R2</t>
  </si>
  <si>
    <t>(Intercept)</t>
  </si>
  <si>
    <t>Highlighted cells show the number of components that were used to predict morphological parameters within each set and corresponding cross-validated coefficient of determination.</t>
  </si>
  <si>
    <t>More information about the different sets is provided in the R script uplaoded on Zenodo.org</t>
  </si>
  <si>
    <t>Squalus</t>
  </si>
  <si>
    <t>Etmopterus</t>
  </si>
  <si>
    <t>spinax</t>
  </si>
  <si>
    <t>Squatina</t>
  </si>
  <si>
    <t>squatina</t>
  </si>
  <si>
    <t>Chlamydoselachus</t>
  </si>
  <si>
    <t>anguineus</t>
  </si>
  <si>
    <t>Hexanchus</t>
  </si>
  <si>
    <t>griseus</t>
  </si>
  <si>
    <t>Scyliorhinus</t>
  </si>
  <si>
    <t>canicula</t>
  </si>
  <si>
    <t>Galeus</t>
  </si>
  <si>
    <t>melastomus</t>
  </si>
  <si>
    <t>Galeorhinus</t>
  </si>
  <si>
    <t>galeus</t>
  </si>
  <si>
    <t>Lamna</t>
  </si>
  <si>
    <t>nasus</t>
  </si>
  <si>
    <t>Carcharodon</t>
  </si>
  <si>
    <t>carcharias</t>
  </si>
  <si>
    <t>Alopias</t>
  </si>
  <si>
    <t>vulpinus</t>
  </si>
  <si>
    <t>Cetorhinus</t>
  </si>
  <si>
    <t>Rhincodon</t>
  </si>
  <si>
    <t>Dipturus</t>
  </si>
  <si>
    <t>Raja</t>
  </si>
  <si>
    <t>clavata</t>
  </si>
  <si>
    <t>Torpedo</t>
  </si>
  <si>
    <t>torpedo</t>
  </si>
  <si>
    <t>marmorata</t>
  </si>
  <si>
    <t>Heterodontus</t>
  </si>
  <si>
    <t>japonicus</t>
  </si>
  <si>
    <t>Echinorhinus</t>
  </si>
  <si>
    <t>brucus</t>
  </si>
  <si>
    <t>Somniosus</t>
  </si>
  <si>
    <t>Common body length (cm)</t>
  </si>
  <si>
    <t>Max body length (cm)</t>
  </si>
  <si>
    <t>microcephalus</t>
  </si>
  <si>
    <t>Regression used to predict the common body length of chondrichtyans</t>
  </si>
  <si>
    <t>Acipenser</t>
  </si>
  <si>
    <t>sturio</t>
  </si>
  <si>
    <t>Lepisosteus</t>
  </si>
  <si>
    <t>osseus</t>
  </si>
  <si>
    <t>Amia</t>
  </si>
  <si>
    <t>calva</t>
  </si>
  <si>
    <t>Perca</t>
  </si>
  <si>
    <t>Sander</t>
  </si>
  <si>
    <t>lucioperca</t>
  </si>
  <si>
    <t>Mullus</t>
  </si>
  <si>
    <t>barbatus</t>
  </si>
  <si>
    <t>Pagellus</t>
  </si>
  <si>
    <t>bogaraveo</t>
  </si>
  <si>
    <t>Scomber</t>
  </si>
  <si>
    <t>scomber</t>
  </si>
  <si>
    <t>Zeus</t>
  </si>
  <si>
    <t>faber</t>
  </si>
  <si>
    <t>Trachinus</t>
  </si>
  <si>
    <t>draco</t>
  </si>
  <si>
    <t>Lophius</t>
  </si>
  <si>
    <t>piscatorius</t>
  </si>
  <si>
    <t>Trigla</t>
  </si>
  <si>
    <t>gurnardus</t>
  </si>
  <si>
    <t>Cyclopterus</t>
  </si>
  <si>
    <t>lumpus</t>
  </si>
  <si>
    <t>Gobius</t>
  </si>
  <si>
    <t>niger</t>
  </si>
  <si>
    <t>Callionymus</t>
  </si>
  <si>
    <t>lyra</t>
  </si>
  <si>
    <t>Anarhichas</t>
  </si>
  <si>
    <t>lupus</t>
  </si>
  <si>
    <t>Labrus</t>
  </si>
  <si>
    <t>mixtus</t>
  </si>
  <si>
    <t>Belone</t>
  </si>
  <si>
    <t>belone</t>
  </si>
  <si>
    <t>Gadus</t>
  </si>
  <si>
    <t>morrhua</t>
  </si>
  <si>
    <t>Raniceps</t>
  </si>
  <si>
    <t>raninus</t>
  </si>
  <si>
    <t>Solea</t>
  </si>
  <si>
    <t>solea</t>
  </si>
  <si>
    <t>Silurus</t>
  </si>
  <si>
    <t>glanis</t>
  </si>
  <si>
    <t>Leuciscus</t>
  </si>
  <si>
    <t>idus</t>
  </si>
  <si>
    <t>Salmo</t>
  </si>
  <si>
    <t>salar</t>
  </si>
  <si>
    <t>Clupea</t>
  </si>
  <si>
    <t>harengus</t>
  </si>
  <si>
    <t>Esox</t>
  </si>
  <si>
    <t>Anguilla</t>
  </si>
  <si>
    <t>anguilla</t>
  </si>
  <si>
    <t>Lactoria</t>
  </si>
  <si>
    <t>cornuta</t>
  </si>
  <si>
    <t>Exocoetus</t>
  </si>
  <si>
    <t>volitans</t>
  </si>
  <si>
    <t>Regression used to predict the common body length of actinopterygians</t>
  </si>
  <si>
    <t>Weighted TMI</t>
  </si>
  <si>
    <t>TMI_w2_a_BM</t>
  </si>
  <si>
    <t>TMI_w2_p_BM</t>
  </si>
  <si>
    <t>TMI_w2_l_BM</t>
  </si>
  <si>
    <t>TMI_Gv_a_BM</t>
  </si>
  <si>
    <t>TMI_Gv_p_BM</t>
  </si>
  <si>
    <t>TMI_Gv_l_BM</t>
  </si>
  <si>
    <t>TMI_w2_a_CBL</t>
  </si>
  <si>
    <t>TMI_w2_p_CBL</t>
  </si>
  <si>
    <t>TMI_w2_l_CBL</t>
  </si>
  <si>
    <t>TMI_Gv_a_CBL</t>
  </si>
  <si>
    <t>TMI_Gv_p_CBL</t>
  </si>
  <si>
    <t>TMI_Gv_l_CBL</t>
  </si>
  <si>
    <t>TMI_w2_a_CAOL</t>
  </si>
  <si>
    <t>TMI_w2_p_CAOL</t>
  </si>
  <si>
    <t>TMI_w2_l_CAOL</t>
  </si>
  <si>
    <t>TMI_Gv_a_CAOL</t>
  </si>
  <si>
    <t>TMI_Gv_p_CAOL</t>
  </si>
  <si>
    <t>TMI_Gv_l_CAOL</t>
  </si>
  <si>
    <t>TMI</t>
  </si>
  <si>
    <t>: Thermo-motility index</t>
  </si>
  <si>
    <t>w2</t>
  </si>
  <si>
    <t>: Upper corner frequency</t>
  </si>
  <si>
    <t>Gv</t>
  </si>
  <si>
    <t>: Sensitivity</t>
  </si>
  <si>
    <t>_a</t>
  </si>
  <si>
    <t>: Anterior semicircular duct</t>
  </si>
  <si>
    <t>_p</t>
  </si>
  <si>
    <t>: Posterior semicircular duct</t>
  </si>
  <si>
    <t>_l</t>
  </si>
  <si>
    <t>: Lateral semicircular 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</si>
</sst>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4" x14ac:knownFonts="1">
    <font>
      <sz val="11"/>
      <color theme="1"/>
      <name val="Calibri"/>
      <family val="2"/>
      <scheme val="minor"/>
    </font>
    <font>
      <b/>
      <sz val="11"/>
      <color theme="9"/>
      <name val="Calibri"/>
      <family val="2"/>
      <scheme val="minor"/>
    </font>
    <font>
      <sz val="11"/>
      <name val="Calibri"/>
      <family val="2"/>
      <scheme val="minor"/>
    </font>
    <font>
      <sz val="11"/>
      <color theme="0"/>
      <name val="Calibri"/>
      <family val="2"/>
      <scheme val="minor"/>
    </font>
    <font>
      <i/>
      <sz val="11"/>
      <color theme="1"/>
      <name val="Calibri"/>
      <family val="2"/>
      <scheme val="minor"/>
    </font>
    <font>
      <sz val="11"/>
      <color rgb="FF000000"/>
      <name val="Calibri"/>
      <family val="2"/>
      <scheme val="minor"/>
    </font>
    <font>
      <sz val="11"/>
      <color rgb="FF1C1D1E"/>
      <name val="Calibri"/>
      <family val="2"/>
      <scheme val="minor"/>
    </font>
    <font>
      <sz val="12"/>
      <color theme="1"/>
      <name val="Arial"/>
      <family val="2"/>
    </font>
    <font>
      <sz val="10"/>
      <name val="Arial"/>
      <family val="2"/>
    </font>
    <font>
      <vertAlign val="superscript"/>
      <sz val="11"/>
      <color theme="1"/>
      <name val="Calibri"/>
      <family val="2"/>
      <scheme val="minor"/>
    </font>
    <font>
      <sz val="11"/>
      <color rgb="FF222222"/>
      <name val="Calibri"/>
      <family val="2"/>
      <scheme val="minor"/>
    </font>
    <font>
      <i/>
      <sz val="11"/>
      <color rgb="FF222222"/>
      <name val="Calibri"/>
      <family val="2"/>
      <scheme val="minor"/>
    </font>
    <font>
      <b/>
      <sz val="11"/>
      <color theme="4"/>
      <name val="Calibri"/>
      <family val="2"/>
      <scheme val="minor"/>
    </font>
    <font>
      <sz val="11"/>
      <color theme="1"/>
      <name val="Times New Roman"/>
      <family val="1"/>
    </font>
  </fonts>
  <fills count="4">
    <fill>
      <patternFill patternType="none"/>
    </fill>
    <fill>
      <patternFill patternType="gray125"/>
    </fill>
    <fill>
      <patternFill patternType="solid">
        <fgColor rgb="FF808080"/>
        <bgColor indexed="64"/>
      </patternFill>
    </fill>
    <fill>
      <patternFill patternType="solid">
        <fgColor theme="5"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auto="1"/>
      </left>
      <right/>
      <top/>
      <bottom/>
      <diagonal/>
    </border>
  </borders>
  <cellStyleXfs count="4">
    <xf numFmtId="0" fontId="0" fillId="0" borderId="0"/>
    <xf numFmtId="0" fontId="7" fillId="0" borderId="0"/>
    <xf numFmtId="0" fontId="8" fillId="0" borderId="0"/>
    <xf numFmtId="0" fontId="8" fillId="0" borderId="0"/>
  </cellStyleXfs>
  <cellXfs count="115">
    <xf numFmtId="0" fontId="0" fillId="0" borderId="0" xfId="0"/>
    <xf numFmtId="2" fontId="0" fillId="0" borderId="0" xfId="0" applyNumberFormat="1" applyAlignment="1">
      <alignment horizontal="center"/>
    </xf>
    <xf numFmtId="164" fontId="0" fillId="0" borderId="0" xfId="0" applyNumberFormat="1" applyAlignment="1">
      <alignment horizontal="center"/>
    </xf>
    <xf numFmtId="2" fontId="1" fillId="0" borderId="0" xfId="0" applyNumberFormat="1" applyFont="1" applyAlignment="1">
      <alignment horizontal="center"/>
    </xf>
    <xf numFmtId="0" fontId="0" fillId="0" borderId="0" xfId="0" applyAlignment="1">
      <alignment horizontal="center"/>
    </xf>
    <xf numFmtId="2" fontId="0" fillId="0" borderId="0" xfId="0" applyNumberFormat="1" applyAlignment="1">
      <alignment horizontal="left"/>
    </xf>
    <xf numFmtId="2" fontId="0" fillId="0" borderId="0" xfId="0" applyNumberFormat="1"/>
    <xf numFmtId="164" fontId="0" fillId="0" borderId="0" xfId="0" applyNumberFormat="1" applyAlignment="1">
      <alignment horizontal="left"/>
    </xf>
    <xf numFmtId="2" fontId="1" fillId="0" borderId="0" xfId="0" applyNumberFormat="1" applyFont="1" applyAlignment="1">
      <alignment horizontal="left"/>
    </xf>
    <xf numFmtId="2"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left"/>
    </xf>
    <xf numFmtId="0" fontId="0" fillId="0" borderId="0" xfId="0" applyFill="1"/>
    <xf numFmtId="0" fontId="0" fillId="0" borderId="0" xfId="0" applyFill="1" applyAlignment="1">
      <alignment horizontal="left"/>
    </xf>
    <xf numFmtId="0" fontId="2" fillId="0" borderId="0" xfId="0" applyFont="1" applyFill="1"/>
    <xf numFmtId="0" fontId="5" fillId="0" borderId="0" xfId="0" applyFont="1"/>
    <xf numFmtId="0" fontId="0" fillId="0" borderId="0" xfId="0" applyAlignment="1">
      <alignment vertical="center"/>
    </xf>
    <xf numFmtId="0" fontId="5" fillId="0" borderId="0" xfId="0" applyFont="1" applyAlignment="1">
      <alignment vertical="center"/>
    </xf>
    <xf numFmtId="0" fontId="3" fillId="0" borderId="0" xfId="0" applyFont="1"/>
    <xf numFmtId="0" fontId="0" fillId="0" borderId="0" xfId="0" applyFont="1" applyAlignment="1">
      <alignment horizontal="left"/>
    </xf>
    <xf numFmtId="0" fontId="0" fillId="0" borderId="0" xfId="0" applyFont="1" applyFill="1"/>
    <xf numFmtId="0" fontId="0" fillId="0" borderId="0" xfId="0" applyFont="1" applyAlignment="1">
      <alignment horizontal="center"/>
    </xf>
    <xf numFmtId="0" fontId="0" fillId="0" borderId="0" xfId="0" applyFont="1"/>
    <xf numFmtId="0" fontId="0" fillId="0" borderId="0" xfId="0" applyFont="1" applyFill="1" applyAlignment="1">
      <alignment horizontal="left"/>
    </xf>
    <xf numFmtId="0" fontId="6" fillId="0" borderId="0" xfId="0" applyFont="1"/>
    <xf numFmtId="164" fontId="0" fillId="0" borderId="0" xfId="0" applyNumberFormat="1" applyFill="1" applyAlignment="1">
      <alignment horizontal="center"/>
    </xf>
    <xf numFmtId="164" fontId="2" fillId="0" borderId="0" xfId="0" applyNumberFormat="1" applyFont="1" applyFill="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165" fontId="0" fillId="0" borderId="0" xfId="0" applyNumberFormat="1" applyAlignment="1">
      <alignment horizontal="left"/>
    </xf>
    <xf numFmtId="0" fontId="10" fillId="0" borderId="0" xfId="0" applyFont="1"/>
    <xf numFmtId="0" fontId="0" fillId="0" borderId="0" xfId="0" applyFont="1" applyAlignment="1">
      <alignment vertical="center" wrapText="1"/>
    </xf>
    <xf numFmtId="0" fontId="0" fillId="0" borderId="0" xfId="0" applyFont="1" applyAlignment="1">
      <alignment vertical="center"/>
    </xf>
    <xf numFmtId="2" fontId="0" fillId="0" borderId="0" xfId="0" applyNumberFormat="1" applyFont="1" applyAlignment="1">
      <alignment horizontal="center"/>
    </xf>
    <xf numFmtId="164" fontId="0" fillId="0" borderId="0" xfId="0" applyNumberFormat="1" applyFont="1" applyAlignment="1">
      <alignment horizontal="center"/>
    </xf>
    <xf numFmtId="0" fontId="0" fillId="0" borderId="0" xfId="0" applyFont="1" applyAlignment="1">
      <alignment horizontal="center" vertical="center"/>
    </xf>
    <xf numFmtId="0" fontId="0" fillId="0" borderId="0" xfId="0" applyAlignment="1">
      <alignment horizontal="center" vertical="center"/>
    </xf>
    <xf numFmtId="164" fontId="0" fillId="0" borderId="0" xfId="0" applyNumberFormat="1" applyFont="1" applyAlignment="1">
      <alignment horizontal="center" vertical="center"/>
    </xf>
    <xf numFmtId="164" fontId="0" fillId="0" borderId="0" xfId="0" applyNumberFormat="1" applyAlignment="1">
      <alignment horizontal="center" vertical="center"/>
    </xf>
    <xf numFmtId="0" fontId="5" fillId="0" borderId="0" xfId="0" applyFont="1" applyFill="1"/>
    <xf numFmtId="0" fontId="0" fillId="0" borderId="0" xfId="0" applyFon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2" fontId="2" fillId="0" borderId="0" xfId="0" applyNumberFormat="1" applyFont="1" applyFill="1" applyAlignment="1">
      <alignment horizontal="center"/>
    </xf>
    <xf numFmtId="164" fontId="12" fillId="0" borderId="0" xfId="0" applyNumberFormat="1" applyFont="1" applyAlignment="1">
      <alignment horizontal="center"/>
    </xf>
    <xf numFmtId="2" fontId="0" fillId="0" borderId="0" xfId="0" applyNumberFormat="1" applyAlignment="1">
      <alignment horizontal="center" vertical="center"/>
    </xf>
    <xf numFmtId="2" fontId="12" fillId="0" borderId="0" xfId="0" applyNumberFormat="1" applyFont="1" applyAlignment="1">
      <alignment horizontal="center"/>
    </xf>
    <xf numFmtId="165" fontId="0" fillId="0" borderId="0" xfId="0" applyNumberFormat="1" applyAlignment="1">
      <alignment horizontal="center" vertical="center"/>
    </xf>
    <xf numFmtId="165" fontId="0" fillId="0" borderId="0" xfId="0" applyNumberFormat="1" applyFill="1" applyAlignment="1">
      <alignment horizontal="center"/>
    </xf>
    <xf numFmtId="2" fontId="0" fillId="0" borderId="0" xfId="0" applyNumberFormat="1" applyFont="1" applyAlignment="1">
      <alignment horizontal="center" vertical="center"/>
    </xf>
    <xf numFmtId="0" fontId="0" fillId="0" borderId="0" xfId="0" applyFont="1" applyFill="1" applyAlignment="1">
      <alignment vertical="center" wrapText="1"/>
    </xf>
    <xf numFmtId="0" fontId="0" fillId="0" borderId="0" xfId="0" applyFont="1" applyFill="1" applyAlignment="1">
      <alignment vertical="center"/>
    </xf>
    <xf numFmtId="2" fontId="0" fillId="0" borderId="0" xfId="0" applyNumberFormat="1" applyFont="1" applyFill="1" applyAlignment="1">
      <alignment horizontal="center"/>
    </xf>
    <xf numFmtId="2" fontId="0" fillId="0" borderId="0" xfId="0" applyNumberFormat="1" applyFont="1" applyFill="1" applyAlignment="1">
      <alignment horizontal="center" vertical="center"/>
    </xf>
    <xf numFmtId="164" fontId="0" fillId="0" borderId="0" xfId="0" applyNumberFormat="1" applyFont="1" applyFill="1" applyAlignment="1">
      <alignment horizontal="center" vertical="center"/>
    </xf>
    <xf numFmtId="2" fontId="0" fillId="0" borderId="0" xfId="0" applyNumberFormat="1" applyFill="1" applyAlignment="1">
      <alignment horizontal="center" vertical="center"/>
    </xf>
    <xf numFmtId="164" fontId="0" fillId="0" borderId="0" xfId="0" applyNumberFormat="1" applyFont="1" applyFill="1" applyAlignment="1">
      <alignment horizontal="center"/>
    </xf>
    <xf numFmtId="0" fontId="0" fillId="0" borderId="0" xfId="0" applyFill="1" applyAlignment="1">
      <alignment vertical="center"/>
    </xf>
    <xf numFmtId="165" fontId="0" fillId="0" borderId="0" xfId="0" applyNumberFormat="1" applyFont="1" applyFill="1" applyAlignment="1">
      <alignment horizontal="center"/>
    </xf>
    <xf numFmtId="165" fontId="0" fillId="0" borderId="0" xfId="0" applyNumberFormat="1" applyFill="1" applyAlignment="1">
      <alignment horizontal="center" vertical="center"/>
    </xf>
    <xf numFmtId="164" fontId="0" fillId="0" borderId="0" xfId="0" applyNumberFormat="1" applyAlignment="1">
      <alignment horizontal="left" vertical="center"/>
    </xf>
    <xf numFmtId="0" fontId="0" fillId="0" borderId="0" xfId="0" applyAlignment="1">
      <alignment horizontal="left" vertical="center"/>
    </xf>
    <xf numFmtId="0" fontId="3" fillId="0" borderId="0" xfId="0" applyFont="1" applyAlignment="1">
      <alignment vertical="center"/>
    </xf>
    <xf numFmtId="164" fontId="0" fillId="0" borderId="0" xfId="0" applyNumberFormat="1" applyFill="1" applyAlignment="1">
      <alignment horizontal="left" vertical="center"/>
    </xf>
    <xf numFmtId="0" fontId="10" fillId="0" borderId="0" xfId="0" applyFont="1" applyAlignment="1">
      <alignment vertical="center"/>
    </xf>
    <xf numFmtId="0" fontId="0" fillId="0" borderId="0" xfId="0" applyFill="1" applyAlignment="1">
      <alignment horizontal="left" vertical="center"/>
    </xf>
    <xf numFmtId="165" fontId="2" fillId="0" borderId="0" xfId="0" applyNumberFormat="1" applyFont="1" applyAlignment="1">
      <alignment horizontal="center"/>
    </xf>
    <xf numFmtId="165" fontId="2" fillId="0" borderId="0" xfId="0" applyNumberFormat="1" applyFont="1" applyFill="1" applyAlignment="1">
      <alignment horizontal="center"/>
    </xf>
    <xf numFmtId="165" fontId="2" fillId="0" borderId="0" xfId="0" applyNumberFormat="1" applyFont="1"/>
    <xf numFmtId="165" fontId="0" fillId="0" borderId="0" xfId="0" applyNumberFormat="1"/>
    <xf numFmtId="1" fontId="2" fillId="0" borderId="0" xfId="0" applyNumberFormat="1" applyFont="1" applyAlignment="1">
      <alignment horizontal="center"/>
    </xf>
    <xf numFmtId="1" fontId="0" fillId="0" borderId="0" xfId="0" applyNumberFormat="1"/>
    <xf numFmtId="1" fontId="2" fillId="0" borderId="0" xfId="0" applyNumberFormat="1" applyFont="1"/>
    <xf numFmtId="1" fontId="12" fillId="0" borderId="0" xfId="0" applyNumberFormat="1" applyFont="1" applyAlignment="1">
      <alignment horizontal="center"/>
    </xf>
    <xf numFmtId="165" fontId="12" fillId="0" borderId="0" xfId="0" applyNumberFormat="1" applyFont="1" applyAlignment="1">
      <alignment horizontal="center"/>
    </xf>
    <xf numFmtId="2" fontId="12" fillId="0" borderId="0" xfId="0" applyNumberFormat="1" applyFont="1" applyAlignment="1">
      <alignment horizontal="left"/>
    </xf>
    <xf numFmtId="2" fontId="12" fillId="0" borderId="0" xfId="0" applyNumberFormat="1" applyFont="1" applyFill="1" applyAlignment="1">
      <alignment horizontal="center"/>
    </xf>
    <xf numFmtId="164" fontId="12" fillId="0" borderId="0" xfId="0" applyNumberFormat="1" applyFont="1" applyFill="1" applyAlignment="1">
      <alignment horizontal="center"/>
    </xf>
    <xf numFmtId="2" fontId="1" fillId="0" borderId="0" xfId="0" applyNumberFormat="1" applyFont="1" applyFill="1" applyAlignment="1">
      <alignment horizontal="center"/>
    </xf>
    <xf numFmtId="165" fontId="0" fillId="0" borderId="0" xfId="0" applyNumberFormat="1" applyAlignment="1">
      <alignment vertical="center"/>
    </xf>
    <xf numFmtId="165" fontId="0" fillId="0" borderId="0" xfId="0" applyNumberFormat="1" applyFill="1"/>
    <xf numFmtId="165" fontId="12" fillId="0" borderId="0" xfId="0" applyNumberFormat="1" applyFont="1" applyFill="1" applyAlignment="1">
      <alignment horizontal="center"/>
    </xf>
    <xf numFmtId="165" fontId="1" fillId="0" borderId="0" xfId="0" applyNumberFormat="1" applyFont="1" applyFill="1" applyAlignment="1">
      <alignment horizontal="center"/>
    </xf>
    <xf numFmtId="2" fontId="12" fillId="0" borderId="0" xfId="0" applyNumberFormat="1" applyFont="1" applyAlignment="1">
      <alignment horizontal="center" vertical="center"/>
    </xf>
    <xf numFmtId="0" fontId="13" fillId="0" borderId="0" xfId="0" applyFont="1" applyFill="1" applyAlignment="1">
      <alignment horizontal="center"/>
    </xf>
    <xf numFmtId="1" fontId="0" fillId="0" borderId="0" xfId="0" applyNumberFormat="1" applyFill="1" applyAlignment="1">
      <alignment horizontal="center"/>
    </xf>
    <xf numFmtId="0" fontId="0" fillId="0" borderId="0" xfId="0" applyFill="1" applyAlignment="1">
      <alignment horizontal="center" vertical="center"/>
    </xf>
    <xf numFmtId="165" fontId="0" fillId="0" borderId="0" xfId="0" applyNumberFormat="1" applyFont="1" applyAlignment="1">
      <alignment horizontal="center" vertical="center"/>
    </xf>
    <xf numFmtId="165" fontId="0" fillId="0" borderId="0" xfId="0" applyNumberFormat="1" applyFont="1" applyAlignment="1">
      <alignment horizontal="center"/>
    </xf>
    <xf numFmtId="165" fontId="1" fillId="0" borderId="0" xfId="0" applyNumberFormat="1" applyFont="1" applyAlignment="1">
      <alignment horizontal="center"/>
    </xf>
    <xf numFmtId="164" fontId="12" fillId="0" borderId="0" xfId="0" applyNumberFormat="1" applyFont="1" applyFill="1" applyAlignment="1">
      <alignment horizontal="center" vertical="center"/>
    </xf>
    <xf numFmtId="2" fontId="12" fillId="0" borderId="0" xfId="0" applyNumberFormat="1" applyFont="1" applyFill="1" applyAlignment="1">
      <alignment horizontal="center" vertical="center"/>
    </xf>
    <xf numFmtId="165" fontId="1" fillId="0" borderId="0" xfId="0" applyNumberFormat="1" applyFont="1" applyFill="1" applyAlignment="1">
      <alignment horizontal="center" vertical="center"/>
    </xf>
    <xf numFmtId="165" fontId="12" fillId="0" borderId="0" xfId="0" applyNumberFormat="1" applyFont="1" applyFill="1" applyAlignment="1">
      <alignment horizontal="center" vertical="center"/>
    </xf>
    <xf numFmtId="164" fontId="0" fillId="0" borderId="0" xfId="0" applyNumberFormat="1" applyFill="1" applyAlignment="1">
      <alignment horizontal="left"/>
    </xf>
    <xf numFmtId="0" fontId="0" fillId="0" borderId="1" xfId="0" applyFont="1" applyBorder="1" applyAlignment="1">
      <alignment horizontal="justify" vertical="center" wrapText="1"/>
    </xf>
    <xf numFmtId="0" fontId="0" fillId="0" borderId="2" xfId="0" applyFont="1" applyBorder="1" applyAlignment="1">
      <alignment horizontal="center" vertical="center" wrapText="1"/>
    </xf>
    <xf numFmtId="0" fontId="0" fillId="0" borderId="3" xfId="0" applyFont="1" applyBorder="1" applyAlignment="1">
      <alignment horizontal="justify" vertical="center" wrapText="1"/>
    </xf>
    <xf numFmtId="0" fontId="0" fillId="0" borderId="4" xfId="0" applyFont="1" applyBorder="1" applyAlignment="1">
      <alignment horizontal="center" vertical="center" wrapText="1"/>
    </xf>
    <xf numFmtId="0" fontId="0" fillId="2" borderId="4" xfId="0" applyFont="1" applyFill="1" applyBorder="1" applyAlignment="1">
      <alignment horizontal="center" vertical="center" wrapText="1"/>
    </xf>
    <xf numFmtId="0" fontId="0" fillId="0" borderId="1" xfId="0" applyFont="1" applyBorder="1" applyAlignment="1">
      <alignment horizontal="justify"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Fill="1" applyBorder="1" applyAlignment="1">
      <alignment horizontal="justify" vertical="center" wrapText="1"/>
    </xf>
    <xf numFmtId="0" fontId="0" fillId="0" borderId="0" xfId="0" applyFont="1" applyFill="1" applyBorder="1" applyAlignment="1">
      <alignment horizontal="center" vertical="center" wrapText="1"/>
    </xf>
    <xf numFmtId="0" fontId="0" fillId="3" borderId="0" xfId="0" applyFill="1"/>
    <xf numFmtId="0" fontId="0" fillId="3" borderId="0" xfId="0" applyFill="1" applyAlignment="1">
      <alignment horizontal="center"/>
    </xf>
    <xf numFmtId="2" fontId="0" fillId="0" borderId="7" xfId="0" applyNumberFormat="1" applyBorder="1" applyAlignment="1">
      <alignment horizontal="center"/>
    </xf>
    <xf numFmtId="0" fontId="0" fillId="0" borderId="6" xfId="0" applyFont="1" applyBorder="1" applyAlignment="1">
      <alignment horizontal="justify" vertical="center"/>
    </xf>
    <xf numFmtId="0" fontId="0" fillId="0" borderId="3" xfId="0" applyFont="1" applyBorder="1" applyAlignment="1">
      <alignment horizontal="justify" vertical="center"/>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cellXfs>
  <cellStyles count="4">
    <cellStyle name="Normal" xfId="0" builtinId="0"/>
    <cellStyle name="Normal 2" xfId="3"/>
    <cellStyle name="Normal 3"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Common body length vs Max body length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5.5220253718285213E-2"/>
                  <c:y val="0.212546296296296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trendlineLbl>
          </c:trendline>
          <c:xVal>
            <c:numRef>
              <c:f>'Regresssions for common length'!$D$2:$D$21</c:f>
              <c:numCache>
                <c:formatCode>General</c:formatCode>
                <c:ptCount val="20"/>
                <c:pt idx="0">
                  <c:v>140</c:v>
                </c:pt>
                <c:pt idx="1">
                  <c:v>60</c:v>
                </c:pt>
                <c:pt idx="2">
                  <c:v>213.5</c:v>
                </c:pt>
                <c:pt idx="3">
                  <c:v>200</c:v>
                </c:pt>
                <c:pt idx="4">
                  <c:v>482</c:v>
                </c:pt>
                <c:pt idx="5">
                  <c:v>100</c:v>
                </c:pt>
                <c:pt idx="6">
                  <c:v>82.5</c:v>
                </c:pt>
                <c:pt idx="7">
                  <c:v>194</c:v>
                </c:pt>
                <c:pt idx="8">
                  <c:v>350</c:v>
                </c:pt>
                <c:pt idx="9">
                  <c:v>640</c:v>
                </c:pt>
                <c:pt idx="10">
                  <c:v>573</c:v>
                </c:pt>
                <c:pt idx="11">
                  <c:v>1250</c:v>
                </c:pt>
                <c:pt idx="12">
                  <c:v>1850</c:v>
                </c:pt>
                <c:pt idx="13">
                  <c:v>285</c:v>
                </c:pt>
                <c:pt idx="14">
                  <c:v>122</c:v>
                </c:pt>
                <c:pt idx="15">
                  <c:v>50</c:v>
                </c:pt>
                <c:pt idx="16">
                  <c:v>100</c:v>
                </c:pt>
                <c:pt idx="17">
                  <c:v>120</c:v>
                </c:pt>
                <c:pt idx="18">
                  <c:v>310</c:v>
                </c:pt>
                <c:pt idx="19">
                  <c:v>488.5</c:v>
                </c:pt>
              </c:numCache>
            </c:numRef>
          </c:xVal>
          <c:yVal>
            <c:numRef>
              <c:f>'Regresssions for common length'!$C$2:$C$21</c:f>
              <c:numCache>
                <c:formatCode>General</c:formatCode>
                <c:ptCount val="20"/>
                <c:pt idx="0">
                  <c:v>94.4</c:v>
                </c:pt>
                <c:pt idx="1">
                  <c:v>45</c:v>
                </c:pt>
                <c:pt idx="2">
                  <c:v>150</c:v>
                </c:pt>
                <c:pt idx="3">
                  <c:v>132</c:v>
                </c:pt>
                <c:pt idx="4">
                  <c:v>300</c:v>
                </c:pt>
                <c:pt idx="5">
                  <c:v>60</c:v>
                </c:pt>
                <c:pt idx="6">
                  <c:v>50</c:v>
                </c:pt>
                <c:pt idx="7">
                  <c:v>160</c:v>
                </c:pt>
                <c:pt idx="8">
                  <c:v>244</c:v>
                </c:pt>
                <c:pt idx="9">
                  <c:v>475</c:v>
                </c:pt>
                <c:pt idx="10">
                  <c:v>450</c:v>
                </c:pt>
                <c:pt idx="11">
                  <c:v>700</c:v>
                </c:pt>
                <c:pt idx="12">
                  <c:v>957.58</c:v>
                </c:pt>
                <c:pt idx="13">
                  <c:v>100</c:v>
                </c:pt>
                <c:pt idx="14">
                  <c:v>85</c:v>
                </c:pt>
                <c:pt idx="15">
                  <c:v>35</c:v>
                </c:pt>
                <c:pt idx="16">
                  <c:v>60</c:v>
                </c:pt>
                <c:pt idx="17">
                  <c:v>100</c:v>
                </c:pt>
                <c:pt idx="18">
                  <c:v>227</c:v>
                </c:pt>
                <c:pt idx="19">
                  <c:v>335.5</c:v>
                </c:pt>
              </c:numCache>
            </c:numRef>
          </c:yVal>
          <c:smooth val="0"/>
          <c:extLst>
            <c:ext xmlns:c16="http://schemas.microsoft.com/office/drawing/2014/chart" uri="{C3380CC4-5D6E-409C-BE32-E72D297353CC}">
              <c16:uniqueId val="{00000000-C9C1-47CF-8750-075B2D1605DB}"/>
            </c:ext>
          </c:extLst>
        </c:ser>
        <c:dLbls>
          <c:showLegendKey val="0"/>
          <c:showVal val="0"/>
          <c:showCatName val="0"/>
          <c:showSerName val="0"/>
          <c:showPercent val="0"/>
          <c:showBubbleSize val="0"/>
        </c:dLbls>
        <c:axId val="246610624"/>
        <c:axId val="246610952"/>
      </c:scatterChart>
      <c:valAx>
        <c:axId val="246610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46610952"/>
        <c:crosses val="autoZero"/>
        <c:crossBetween val="midCat"/>
      </c:valAx>
      <c:valAx>
        <c:axId val="246610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4661062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Common body length vs Max body length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0.42790441819772529"/>
                  <c:y val="-0.203750729075532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trendlineLbl>
          </c:trendline>
          <c:xVal>
            <c:numRef>
              <c:f>'Regresssions for common length'!$D$23:$D$51</c:f>
              <c:numCache>
                <c:formatCode>General</c:formatCode>
                <c:ptCount val="29"/>
                <c:pt idx="0">
                  <c:v>600</c:v>
                </c:pt>
                <c:pt idx="1">
                  <c:v>200</c:v>
                </c:pt>
                <c:pt idx="2">
                  <c:v>109</c:v>
                </c:pt>
                <c:pt idx="3">
                  <c:v>60</c:v>
                </c:pt>
                <c:pt idx="4">
                  <c:v>100</c:v>
                </c:pt>
                <c:pt idx="5">
                  <c:v>33.200000000000003</c:v>
                </c:pt>
                <c:pt idx="6">
                  <c:v>70</c:v>
                </c:pt>
                <c:pt idx="7">
                  <c:v>60</c:v>
                </c:pt>
                <c:pt idx="8">
                  <c:v>90</c:v>
                </c:pt>
                <c:pt idx="9">
                  <c:v>53</c:v>
                </c:pt>
                <c:pt idx="10">
                  <c:v>200</c:v>
                </c:pt>
                <c:pt idx="11">
                  <c:v>60</c:v>
                </c:pt>
                <c:pt idx="12">
                  <c:v>61</c:v>
                </c:pt>
                <c:pt idx="13">
                  <c:v>18</c:v>
                </c:pt>
                <c:pt idx="14">
                  <c:v>27.5</c:v>
                </c:pt>
                <c:pt idx="15">
                  <c:v>150</c:v>
                </c:pt>
                <c:pt idx="16">
                  <c:v>35</c:v>
                </c:pt>
                <c:pt idx="17">
                  <c:v>104</c:v>
                </c:pt>
                <c:pt idx="18">
                  <c:v>200</c:v>
                </c:pt>
                <c:pt idx="19">
                  <c:v>30</c:v>
                </c:pt>
                <c:pt idx="20">
                  <c:v>70</c:v>
                </c:pt>
                <c:pt idx="21">
                  <c:v>500</c:v>
                </c:pt>
                <c:pt idx="22">
                  <c:v>85</c:v>
                </c:pt>
                <c:pt idx="23">
                  <c:v>135</c:v>
                </c:pt>
                <c:pt idx="24">
                  <c:v>45</c:v>
                </c:pt>
                <c:pt idx="25">
                  <c:v>143.5</c:v>
                </c:pt>
                <c:pt idx="26">
                  <c:v>127</c:v>
                </c:pt>
                <c:pt idx="27">
                  <c:v>46</c:v>
                </c:pt>
                <c:pt idx="28">
                  <c:v>30</c:v>
                </c:pt>
              </c:numCache>
            </c:numRef>
          </c:xVal>
          <c:yVal>
            <c:numRef>
              <c:f>'Regresssions for common length'!$C$23:$C$51</c:f>
              <c:numCache>
                <c:formatCode>General</c:formatCode>
                <c:ptCount val="29"/>
                <c:pt idx="0">
                  <c:v>125</c:v>
                </c:pt>
                <c:pt idx="1">
                  <c:v>66.900000000000006</c:v>
                </c:pt>
                <c:pt idx="2">
                  <c:v>53.4</c:v>
                </c:pt>
                <c:pt idx="3">
                  <c:v>25</c:v>
                </c:pt>
                <c:pt idx="4">
                  <c:v>50</c:v>
                </c:pt>
                <c:pt idx="5">
                  <c:v>20</c:v>
                </c:pt>
                <c:pt idx="6">
                  <c:v>30</c:v>
                </c:pt>
                <c:pt idx="7">
                  <c:v>30</c:v>
                </c:pt>
                <c:pt idx="8">
                  <c:v>40</c:v>
                </c:pt>
                <c:pt idx="9">
                  <c:v>25</c:v>
                </c:pt>
                <c:pt idx="10">
                  <c:v>100</c:v>
                </c:pt>
                <c:pt idx="11">
                  <c:v>30</c:v>
                </c:pt>
                <c:pt idx="12">
                  <c:v>42.9</c:v>
                </c:pt>
                <c:pt idx="13">
                  <c:v>12</c:v>
                </c:pt>
                <c:pt idx="14">
                  <c:v>15</c:v>
                </c:pt>
                <c:pt idx="15">
                  <c:v>55</c:v>
                </c:pt>
                <c:pt idx="16">
                  <c:v>30</c:v>
                </c:pt>
                <c:pt idx="17">
                  <c:v>45</c:v>
                </c:pt>
                <c:pt idx="18">
                  <c:v>100</c:v>
                </c:pt>
                <c:pt idx="19">
                  <c:v>20</c:v>
                </c:pt>
                <c:pt idx="20">
                  <c:v>35</c:v>
                </c:pt>
                <c:pt idx="21">
                  <c:v>300</c:v>
                </c:pt>
                <c:pt idx="22">
                  <c:v>30</c:v>
                </c:pt>
                <c:pt idx="23">
                  <c:v>38</c:v>
                </c:pt>
                <c:pt idx="24">
                  <c:v>30</c:v>
                </c:pt>
                <c:pt idx="25">
                  <c:v>47</c:v>
                </c:pt>
                <c:pt idx="26">
                  <c:v>42</c:v>
                </c:pt>
                <c:pt idx="27">
                  <c:v>40</c:v>
                </c:pt>
                <c:pt idx="28">
                  <c:v>20</c:v>
                </c:pt>
              </c:numCache>
            </c:numRef>
          </c:yVal>
          <c:smooth val="0"/>
          <c:extLst>
            <c:ext xmlns:c16="http://schemas.microsoft.com/office/drawing/2014/chart" uri="{C3380CC4-5D6E-409C-BE32-E72D297353CC}">
              <c16:uniqueId val="{00000001-7423-407C-9325-0E38E55D2A0D}"/>
            </c:ext>
          </c:extLst>
        </c:ser>
        <c:dLbls>
          <c:showLegendKey val="0"/>
          <c:showVal val="0"/>
          <c:showCatName val="0"/>
          <c:showSerName val="0"/>
          <c:showPercent val="0"/>
          <c:showBubbleSize val="0"/>
        </c:dLbls>
        <c:axId val="246610624"/>
        <c:axId val="246610952"/>
      </c:scatterChart>
      <c:valAx>
        <c:axId val="246610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46610952"/>
        <c:crosses val="autoZero"/>
        <c:crossBetween val="midCat"/>
      </c:valAx>
      <c:valAx>
        <c:axId val="246610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4661062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4762</xdr:rowOff>
    </xdr:from>
    <xdr:to>
      <xdr:col>11</xdr:col>
      <xdr:colOff>0</xdr:colOff>
      <xdr:row>15</xdr:row>
      <xdr:rowOff>80962</xdr:rowOff>
    </xdr:to>
    <xdr:graphicFrame macro="">
      <xdr:nvGraphicFramePr>
        <xdr:cNvPr id="2" name="Graphique 1">
          <a:extLst>
            <a:ext uri="{FF2B5EF4-FFF2-40B4-BE49-F238E27FC236}">
              <a16:creationId xmlns:a16="http://schemas.microsoft.com/office/drawing/2014/main" id="{C9EEBB69-9551-49E7-8A97-836D15BFDE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22</xdr:row>
      <xdr:rowOff>0</xdr:rowOff>
    </xdr:from>
    <xdr:to>
      <xdr:col>11</xdr:col>
      <xdr:colOff>0</xdr:colOff>
      <xdr:row>36</xdr:row>
      <xdr:rowOff>76200</xdr:rowOff>
    </xdr:to>
    <xdr:graphicFrame macro="">
      <xdr:nvGraphicFramePr>
        <xdr:cNvPr id="3" name="Graphique 2">
          <a:extLst>
            <a:ext uri="{FF2B5EF4-FFF2-40B4-BE49-F238E27FC236}">
              <a16:creationId xmlns:a16="http://schemas.microsoft.com/office/drawing/2014/main" id="{84178895-D8FF-43CF-8152-6B37BF554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7"/>
  <sheetViews>
    <sheetView zoomScale="70" zoomScaleNormal="70" workbookViewId="0">
      <pane xSplit="3" ySplit="1" topLeftCell="O308" activePane="bottomRight" state="frozen"/>
      <selection pane="topRight" activeCell="D1" sqref="D1"/>
      <selection pane="bottomLeft" activeCell="A2" sqref="A2"/>
      <selection pane="bottomRight" sqref="A1:B1"/>
    </sheetView>
  </sheetViews>
  <sheetFormatPr defaultColWidth="11.42578125" defaultRowHeight="15" x14ac:dyDescent="0.25"/>
  <cols>
    <col min="1" max="1" width="20" bestFit="1" customWidth="1"/>
    <col min="2" max="2" width="27.140625" bestFit="1" customWidth="1"/>
    <col min="3" max="3" width="58.7109375" customWidth="1"/>
    <col min="4" max="4" width="16.85546875" bestFit="1" customWidth="1"/>
    <col min="5" max="5" width="18.28515625" bestFit="1" customWidth="1"/>
    <col min="6" max="6" width="14.5703125" style="1" bestFit="1" customWidth="1"/>
    <col min="7" max="9" width="15" style="1" bestFit="1" customWidth="1"/>
    <col min="10" max="10" width="14.28515625" style="1" bestFit="1" customWidth="1"/>
    <col min="11" max="11" width="13.85546875" style="1" bestFit="1" customWidth="1"/>
    <col min="12" max="13" width="14" style="1" bestFit="1" customWidth="1"/>
    <col min="14" max="14" width="13.140625" style="1" bestFit="1" customWidth="1"/>
    <col min="15" max="16" width="12.85546875" style="1" bestFit="1" customWidth="1"/>
    <col min="17" max="17" width="12" style="1" bestFit="1" customWidth="1"/>
    <col min="18" max="19" width="7.7109375" style="1" bestFit="1" customWidth="1"/>
    <col min="20" max="20" width="6.85546875" style="1" bestFit="1" customWidth="1"/>
    <col min="21" max="22" width="14" style="2" bestFit="1" customWidth="1"/>
    <col min="23" max="23" width="13.140625" style="2" bestFit="1" customWidth="1"/>
    <col min="24" max="25" width="13.42578125" style="6" bestFit="1" customWidth="1"/>
    <col min="26" max="26" width="12.5703125" style="6" customWidth="1"/>
    <col min="27" max="27" width="10.28515625" style="2" bestFit="1" customWidth="1"/>
    <col min="28" max="28" width="12" style="2" bestFit="1" customWidth="1"/>
    <col min="29" max="29" width="11.7109375" style="2" bestFit="1" customWidth="1"/>
    <col min="30" max="30" width="7.42578125" style="2" bestFit="1" customWidth="1"/>
    <col min="31" max="31" width="11.5703125" style="4" bestFit="1" customWidth="1"/>
    <col min="32" max="32" width="6.28515625" style="4" bestFit="1" customWidth="1"/>
    <col min="33" max="33" width="4.140625" customWidth="1"/>
    <col min="34" max="34" width="14.85546875" style="13" customWidth="1"/>
    <col min="35" max="35" width="16.7109375" style="13" bestFit="1" customWidth="1"/>
    <col min="36" max="36" width="14.28515625" customWidth="1"/>
    <col min="37" max="37" width="13.5703125" customWidth="1"/>
  </cols>
  <sheetData>
    <row r="1" spans="1:38" x14ac:dyDescent="0.25">
      <c r="A1" t="s">
        <v>0</v>
      </c>
      <c r="B1" t="s">
        <v>1</v>
      </c>
      <c r="C1" t="s">
        <v>2</v>
      </c>
      <c r="D1" t="s">
        <v>1614</v>
      </c>
      <c r="E1" t="s">
        <v>1559</v>
      </c>
      <c r="F1" s="1" t="s">
        <v>3</v>
      </c>
      <c r="G1" s="1" t="s">
        <v>4</v>
      </c>
      <c r="H1" s="1" t="s">
        <v>7</v>
      </c>
      <c r="I1" s="1" t="s">
        <v>8</v>
      </c>
      <c r="J1" s="1" t="s">
        <v>11</v>
      </c>
      <c r="K1" s="1" t="s">
        <v>12</v>
      </c>
      <c r="L1" s="1" t="s">
        <v>18</v>
      </c>
      <c r="M1" s="1" t="s">
        <v>19</v>
      </c>
      <c r="N1" s="1" t="s">
        <v>20</v>
      </c>
      <c r="O1" s="1" t="s">
        <v>5</v>
      </c>
      <c r="P1" s="1" t="s">
        <v>9</v>
      </c>
      <c r="Q1" s="1" t="s">
        <v>13</v>
      </c>
      <c r="R1" s="1" t="s">
        <v>6</v>
      </c>
      <c r="S1" s="1" t="s">
        <v>10</v>
      </c>
      <c r="T1" s="1" t="s">
        <v>14</v>
      </c>
      <c r="U1" s="2" t="s">
        <v>15</v>
      </c>
      <c r="V1" s="2" t="s">
        <v>16</v>
      </c>
      <c r="W1" s="2" t="s">
        <v>17</v>
      </c>
      <c r="X1" s="1" t="s">
        <v>848</v>
      </c>
      <c r="Y1" s="1" t="s">
        <v>849</v>
      </c>
      <c r="Z1" s="1" t="s">
        <v>850</v>
      </c>
      <c r="AA1" s="2" t="s">
        <v>21</v>
      </c>
      <c r="AB1" s="2" t="s">
        <v>22</v>
      </c>
      <c r="AC1" s="2" t="s">
        <v>23</v>
      </c>
      <c r="AD1" s="2" t="s">
        <v>24</v>
      </c>
      <c r="AE1" s="2" t="s">
        <v>846</v>
      </c>
      <c r="AF1" s="2" t="s">
        <v>847</v>
      </c>
      <c r="AH1" s="7" t="s">
        <v>871</v>
      </c>
      <c r="AI1" s="7" t="s">
        <v>880</v>
      </c>
      <c r="AJ1" t="s">
        <v>881</v>
      </c>
      <c r="AK1" t="s">
        <v>957</v>
      </c>
    </row>
    <row r="2" spans="1:38" x14ac:dyDescent="0.25">
      <c r="A2" s="14" t="s">
        <v>25</v>
      </c>
      <c r="B2" s="14" t="s">
        <v>26</v>
      </c>
      <c r="C2" s="14" t="s">
        <v>27</v>
      </c>
      <c r="D2" t="s">
        <v>1567</v>
      </c>
      <c r="E2" t="s">
        <v>1573</v>
      </c>
      <c r="F2" s="1">
        <v>0.55000000000000004</v>
      </c>
      <c r="G2" s="1">
        <v>0.35</v>
      </c>
      <c r="H2" s="1">
        <v>0.54</v>
      </c>
      <c r="I2" s="1">
        <v>0.38</v>
      </c>
      <c r="J2" s="1">
        <v>0.71</v>
      </c>
      <c r="K2" s="1">
        <v>0.48</v>
      </c>
      <c r="L2" s="1">
        <v>0.49</v>
      </c>
      <c r="M2" s="1">
        <v>0.48</v>
      </c>
      <c r="N2" s="1">
        <v>0.34</v>
      </c>
      <c r="O2" s="1">
        <v>0.45</v>
      </c>
      <c r="P2" s="1">
        <v>0.46</v>
      </c>
      <c r="Q2" s="1">
        <v>0.59499999999999997</v>
      </c>
      <c r="R2" s="1">
        <v>0.77138921583987008</v>
      </c>
      <c r="S2" s="1">
        <v>0.71049355900929179</v>
      </c>
      <c r="T2" s="1">
        <v>0.73684993574807489</v>
      </c>
      <c r="U2" s="2">
        <v>1.5199999999999998</v>
      </c>
      <c r="V2" s="2">
        <v>2.2000000000000002</v>
      </c>
      <c r="W2" s="2">
        <v>2.72</v>
      </c>
      <c r="X2" s="1">
        <v>0.245</v>
      </c>
      <c r="Y2" s="1">
        <v>0.24</v>
      </c>
      <c r="Z2" s="1">
        <v>0.17</v>
      </c>
      <c r="AA2" s="2">
        <v>23.3</v>
      </c>
      <c r="AB2" s="2">
        <v>15</v>
      </c>
      <c r="AC2" s="2">
        <v>149</v>
      </c>
      <c r="AD2" s="2">
        <v>22.8</v>
      </c>
      <c r="AE2" s="4" t="s">
        <v>866</v>
      </c>
      <c r="AF2" s="4">
        <v>1.19</v>
      </c>
      <c r="AH2" s="13" t="s">
        <v>923</v>
      </c>
      <c r="AI2" s="13" t="s">
        <v>924</v>
      </c>
      <c r="AJ2" t="s">
        <v>922</v>
      </c>
      <c r="AK2" s="18" t="s">
        <v>958</v>
      </c>
      <c r="AL2" s="20" t="s">
        <v>1098</v>
      </c>
    </row>
    <row r="3" spans="1:38" x14ac:dyDescent="0.25">
      <c r="A3" s="14" t="s">
        <v>28</v>
      </c>
      <c r="B3" s="14" t="s">
        <v>29</v>
      </c>
      <c r="C3" s="14" t="s">
        <v>30</v>
      </c>
      <c r="D3" t="s">
        <v>1567</v>
      </c>
      <c r="E3" t="s">
        <v>1574</v>
      </c>
      <c r="F3" s="1">
        <v>0.9355</v>
      </c>
      <c r="G3" s="1">
        <v>0.57389999999999997</v>
      </c>
      <c r="H3" s="1">
        <v>0.82199999999999995</v>
      </c>
      <c r="I3" s="1">
        <v>0.54800000000000004</v>
      </c>
      <c r="J3" s="1">
        <v>0.97159999999999991</v>
      </c>
      <c r="K3" s="1">
        <v>0.81074999999999997</v>
      </c>
      <c r="L3" s="1">
        <v>0.29799999999999999</v>
      </c>
      <c r="M3" s="1">
        <v>0.29730000000000001</v>
      </c>
      <c r="N3" s="1">
        <v>0.35799999999999998</v>
      </c>
      <c r="O3" s="1">
        <v>0.75469999999999993</v>
      </c>
      <c r="P3" s="1">
        <v>0.68500000000000005</v>
      </c>
      <c r="Q3" s="1">
        <v>0.89117499999999994</v>
      </c>
      <c r="R3" s="1">
        <v>0.78971900905709069</v>
      </c>
      <c r="S3" s="1">
        <v>0.74535599249992979</v>
      </c>
      <c r="T3" s="1">
        <v>0.55108618213700589</v>
      </c>
      <c r="U3" s="2">
        <v>2.395</v>
      </c>
      <c r="V3" s="2">
        <v>2.5840000000000001</v>
      </c>
      <c r="W3" s="2">
        <v>3.407</v>
      </c>
      <c r="X3" s="1">
        <v>0.14899999999999999</v>
      </c>
      <c r="Y3" s="1">
        <v>0.14865</v>
      </c>
      <c r="Z3" s="1">
        <v>0.17899999999999999</v>
      </c>
      <c r="AA3" s="2">
        <v>11.8</v>
      </c>
      <c r="AB3" s="2">
        <v>8.1</v>
      </c>
      <c r="AC3" s="2">
        <v>5.7</v>
      </c>
      <c r="AD3" s="2">
        <v>13.255000000000001</v>
      </c>
      <c r="AE3" s="4" t="s">
        <v>866</v>
      </c>
      <c r="AF3" s="4">
        <v>1.19</v>
      </c>
      <c r="AH3" s="13" t="s">
        <v>923</v>
      </c>
      <c r="AI3" s="13" t="s">
        <v>923</v>
      </c>
      <c r="AJ3" s="18" t="s">
        <v>1377</v>
      </c>
      <c r="AK3" t="s">
        <v>959</v>
      </c>
      <c r="AL3" s="20" t="s">
        <v>1098</v>
      </c>
    </row>
    <row r="4" spans="1:38" x14ac:dyDescent="0.25">
      <c r="A4" s="33" t="s">
        <v>1324</v>
      </c>
      <c r="B4" s="34" t="s">
        <v>1325</v>
      </c>
      <c r="C4" s="34" t="s">
        <v>1408</v>
      </c>
      <c r="D4" t="s">
        <v>1567</v>
      </c>
      <c r="E4" t="s">
        <v>1574</v>
      </c>
      <c r="F4" s="1">
        <v>1.6016400000000002</v>
      </c>
      <c r="G4" s="1">
        <v>0.94284000000000001</v>
      </c>
      <c r="H4" s="1">
        <v>1.3959000000000001</v>
      </c>
      <c r="I4" s="1">
        <v>1.10727</v>
      </c>
      <c r="J4" s="1">
        <v>2.1227400000000003</v>
      </c>
      <c r="K4" s="1">
        <v>2.0898000000000003</v>
      </c>
      <c r="L4" s="1">
        <v>0.55620000000000003</v>
      </c>
      <c r="M4" s="1">
        <v>0.59940000000000004</v>
      </c>
      <c r="N4" s="1">
        <v>0.51300000000000001</v>
      </c>
      <c r="O4" s="1">
        <v>1.27224</v>
      </c>
      <c r="P4" s="1">
        <v>1.2515849999999999</v>
      </c>
      <c r="Q4" s="1">
        <v>2.1062700000000003</v>
      </c>
      <c r="R4" s="1">
        <v>0.80837227420198032</v>
      </c>
      <c r="S4" s="1">
        <v>0.60892190872643848</v>
      </c>
      <c r="T4" s="1">
        <v>0.17548379289081673</v>
      </c>
      <c r="U4" s="2">
        <v>4.2913800000000002</v>
      </c>
      <c r="V4" s="2">
        <v>4.6494000000000009</v>
      </c>
      <c r="W4" s="2">
        <v>6.7262399999999998</v>
      </c>
      <c r="X4" s="1">
        <v>0.27810000000000001</v>
      </c>
      <c r="Y4" s="1">
        <v>0.29970000000000002</v>
      </c>
      <c r="Z4" s="1">
        <v>0.25650000000000001</v>
      </c>
      <c r="AA4" s="2">
        <v>22.74</v>
      </c>
      <c r="AB4" s="2">
        <v>17.91</v>
      </c>
      <c r="AC4" s="2">
        <v>45</v>
      </c>
      <c r="AD4" s="37">
        <v>25</v>
      </c>
      <c r="AE4" s="36" t="s">
        <v>866</v>
      </c>
      <c r="AF4" s="4">
        <v>1.19</v>
      </c>
      <c r="AH4" s="21" t="s">
        <v>1410</v>
      </c>
      <c r="AI4" s="21" t="s">
        <v>924</v>
      </c>
      <c r="AJ4" s="24" t="s">
        <v>1330</v>
      </c>
      <c r="AK4" s="24" t="s">
        <v>1401</v>
      </c>
      <c r="AL4" s="20" t="s">
        <v>1098</v>
      </c>
    </row>
    <row r="5" spans="1:38" x14ac:dyDescent="0.25">
      <c r="A5" s="33" t="s">
        <v>1326</v>
      </c>
      <c r="B5" s="34" t="s">
        <v>1327</v>
      </c>
      <c r="C5" s="34" t="s">
        <v>1408</v>
      </c>
      <c r="D5" t="s">
        <v>1567</v>
      </c>
      <c r="E5" t="s">
        <v>1574</v>
      </c>
      <c r="F5" s="1">
        <v>0.4602</v>
      </c>
      <c r="G5" s="1">
        <v>0.25480000000000003</v>
      </c>
      <c r="H5" s="1">
        <v>0.39780000000000004</v>
      </c>
      <c r="I5" s="1">
        <v>0.21840000000000001</v>
      </c>
      <c r="J5" s="1">
        <v>0.44980000000000003</v>
      </c>
      <c r="K5" s="1">
        <v>0.3926</v>
      </c>
      <c r="L5" s="1">
        <v>0.1716</v>
      </c>
      <c r="M5" s="1">
        <v>0.18720000000000001</v>
      </c>
      <c r="N5" s="1">
        <v>0.22359999999999999</v>
      </c>
      <c r="O5" s="1">
        <v>0.35750000000000004</v>
      </c>
      <c r="P5" s="1">
        <v>0.30810000000000004</v>
      </c>
      <c r="Q5" s="1">
        <v>0.42120000000000002</v>
      </c>
      <c r="R5" s="1">
        <v>0.83273463124201552</v>
      </c>
      <c r="S5" s="1">
        <v>0.8358094700371419</v>
      </c>
      <c r="T5" s="1">
        <v>0.48802013686024126</v>
      </c>
      <c r="U5" s="2">
        <v>0.90792000000000006</v>
      </c>
      <c r="V5" s="2">
        <v>0.81952000000000003</v>
      </c>
      <c r="W5" s="2">
        <v>1.4196</v>
      </c>
      <c r="X5" s="1">
        <v>8.5800000000000001E-2</v>
      </c>
      <c r="Y5" s="1">
        <v>9.3600000000000003E-2</v>
      </c>
      <c r="Z5" s="1">
        <v>0.1118</v>
      </c>
      <c r="AA5" s="2">
        <v>4.2</v>
      </c>
      <c r="AB5" s="2">
        <v>3.6</v>
      </c>
      <c r="AC5" s="2">
        <v>0.2</v>
      </c>
      <c r="AD5" s="37">
        <v>25.2</v>
      </c>
      <c r="AE5" s="36" t="s">
        <v>866</v>
      </c>
      <c r="AF5" s="4">
        <v>1.19</v>
      </c>
      <c r="AH5" s="21" t="s">
        <v>1410</v>
      </c>
      <c r="AI5" s="21" t="s">
        <v>924</v>
      </c>
      <c r="AJ5" s="24" t="s">
        <v>1330</v>
      </c>
      <c r="AK5" s="24" t="s">
        <v>1402</v>
      </c>
      <c r="AL5" s="20" t="s">
        <v>1098</v>
      </c>
    </row>
    <row r="6" spans="1:38" x14ac:dyDescent="0.25">
      <c r="A6" s="33" t="s">
        <v>1328</v>
      </c>
      <c r="B6" s="34" t="s">
        <v>1329</v>
      </c>
      <c r="C6" s="34" t="s">
        <v>1408</v>
      </c>
      <c r="D6" t="s">
        <v>1567</v>
      </c>
      <c r="E6" t="s">
        <v>1574</v>
      </c>
      <c r="F6" s="1">
        <v>1.1552500000000001</v>
      </c>
      <c r="G6" s="1">
        <v>0.64049999999999996</v>
      </c>
      <c r="H6" s="1">
        <v>0.95</v>
      </c>
      <c r="I6" s="1">
        <v>0.5595</v>
      </c>
      <c r="J6" s="1">
        <v>1.3585</v>
      </c>
      <c r="K6" s="1">
        <v>1.006</v>
      </c>
      <c r="L6" s="1">
        <v>0.3</v>
      </c>
      <c r="M6" s="1">
        <v>0.33</v>
      </c>
      <c r="N6" s="1">
        <v>0.28499999999999998</v>
      </c>
      <c r="O6" s="1">
        <v>0.89787499999999998</v>
      </c>
      <c r="P6" s="1">
        <v>0.75475000000000003</v>
      </c>
      <c r="Q6" s="1">
        <v>1.18225</v>
      </c>
      <c r="R6" s="1">
        <v>0.83223339362231519</v>
      </c>
      <c r="S6" s="1">
        <v>0.80817139099940738</v>
      </c>
      <c r="T6" s="1">
        <v>0.67203141791761423</v>
      </c>
      <c r="U6" s="2">
        <v>2.7654999999999998</v>
      </c>
      <c r="V6" s="2">
        <v>2.4039999999999999</v>
      </c>
      <c r="W6" s="2">
        <v>4.7370000000000001</v>
      </c>
      <c r="X6" s="1">
        <v>0.15</v>
      </c>
      <c r="Y6" s="1">
        <v>0.16500000000000001</v>
      </c>
      <c r="Z6" s="1">
        <v>0.14249999999999999</v>
      </c>
      <c r="AA6" s="2">
        <v>7.9</v>
      </c>
      <c r="AB6" s="2">
        <v>6.84</v>
      </c>
      <c r="AC6" s="2">
        <v>57.5</v>
      </c>
      <c r="AD6" s="37">
        <v>22</v>
      </c>
      <c r="AE6" s="36" t="s">
        <v>866</v>
      </c>
      <c r="AF6" s="4">
        <v>1.19</v>
      </c>
      <c r="AH6" s="21" t="s">
        <v>1410</v>
      </c>
      <c r="AI6" s="21" t="s">
        <v>924</v>
      </c>
      <c r="AJ6" s="24" t="s">
        <v>1406</v>
      </c>
      <c r="AK6" s="24" t="s">
        <v>1403</v>
      </c>
      <c r="AL6" s="20" t="s">
        <v>1098</v>
      </c>
    </row>
    <row r="7" spans="1:38" x14ac:dyDescent="0.25">
      <c r="A7" s="14" t="s">
        <v>31</v>
      </c>
      <c r="B7" s="14" t="s">
        <v>32</v>
      </c>
      <c r="C7" s="14" t="s">
        <v>33</v>
      </c>
      <c r="D7" t="s">
        <v>1567</v>
      </c>
      <c r="E7" t="s">
        <v>1575</v>
      </c>
      <c r="F7" s="1">
        <v>0.84</v>
      </c>
      <c r="G7" s="1">
        <v>0.56499999999999995</v>
      </c>
      <c r="H7" s="1">
        <v>0.61499999999999999</v>
      </c>
      <c r="I7" s="1">
        <v>0.56000000000000005</v>
      </c>
      <c r="J7" s="1">
        <v>0.90500000000000003</v>
      </c>
      <c r="K7" s="1">
        <v>0.73499999999999999</v>
      </c>
      <c r="L7" s="1">
        <v>0.38</v>
      </c>
      <c r="M7" s="1">
        <v>0.33</v>
      </c>
      <c r="N7" s="1">
        <v>0.36</v>
      </c>
      <c r="O7" s="1">
        <v>0.7024999999999999</v>
      </c>
      <c r="P7" s="1">
        <v>0.58750000000000002</v>
      </c>
      <c r="Q7" s="1">
        <v>0.82000000000000006</v>
      </c>
      <c r="R7" s="1">
        <v>0.73998893017398948</v>
      </c>
      <c r="S7" s="1">
        <v>0.41335687215889938</v>
      </c>
      <c r="T7" s="1">
        <v>0.5834421561301254</v>
      </c>
      <c r="U7" s="2">
        <v>2.4</v>
      </c>
      <c r="V7" s="2">
        <v>2.36</v>
      </c>
      <c r="W7" s="2">
        <v>2.95</v>
      </c>
      <c r="X7" s="1">
        <v>0.19</v>
      </c>
      <c r="Y7" s="1">
        <v>0.16500000000000001</v>
      </c>
      <c r="Z7" s="1">
        <v>0.18</v>
      </c>
      <c r="AA7" s="2">
        <v>8</v>
      </c>
      <c r="AB7" s="2">
        <v>5.9</v>
      </c>
      <c r="AC7" s="2">
        <v>2</v>
      </c>
      <c r="AD7" s="2">
        <v>21.7</v>
      </c>
      <c r="AE7" s="4" t="s">
        <v>866</v>
      </c>
      <c r="AF7" s="4">
        <v>1.19</v>
      </c>
      <c r="AH7" s="13" t="s">
        <v>872</v>
      </c>
      <c r="AI7" s="13" t="s">
        <v>924</v>
      </c>
      <c r="AJ7" s="18" t="s">
        <v>1377</v>
      </c>
      <c r="AK7" t="s">
        <v>960</v>
      </c>
      <c r="AL7" s="20" t="s">
        <v>1098</v>
      </c>
    </row>
    <row r="8" spans="1:38" x14ac:dyDescent="0.25">
      <c r="A8" s="14" t="s">
        <v>34</v>
      </c>
      <c r="B8" s="14" t="s">
        <v>35</v>
      </c>
      <c r="C8" s="14" t="s">
        <v>36</v>
      </c>
      <c r="D8" t="s">
        <v>1567</v>
      </c>
      <c r="E8" t="s">
        <v>1575</v>
      </c>
      <c r="F8" s="1">
        <v>1.7</v>
      </c>
      <c r="G8" s="1">
        <v>0.77500000000000002</v>
      </c>
      <c r="H8" s="1">
        <v>1.1850000000000001</v>
      </c>
      <c r="I8" s="1">
        <v>0.70499999999999996</v>
      </c>
      <c r="J8" s="1">
        <v>1.92</v>
      </c>
      <c r="K8" s="1">
        <v>1.095</v>
      </c>
      <c r="L8" s="1">
        <v>0.53</v>
      </c>
      <c r="M8" s="1">
        <v>0.53</v>
      </c>
      <c r="N8" s="1">
        <v>0.52</v>
      </c>
      <c r="O8" s="1">
        <v>1.2375</v>
      </c>
      <c r="P8" s="1">
        <v>0.94500000000000006</v>
      </c>
      <c r="Q8" s="1">
        <v>1.5074999999999998</v>
      </c>
      <c r="R8" s="1">
        <v>0.89004004419847127</v>
      </c>
      <c r="S8" s="1">
        <v>0.80377255019683769</v>
      </c>
      <c r="T8" s="1">
        <v>0.82142781322752279</v>
      </c>
      <c r="U8" s="2">
        <v>3.5700000000000003</v>
      </c>
      <c r="V8" s="2">
        <v>3.97</v>
      </c>
      <c r="W8" s="2">
        <v>5.86</v>
      </c>
      <c r="X8" s="1">
        <v>0.26500000000000001</v>
      </c>
      <c r="Y8" s="1">
        <v>0.26500000000000001</v>
      </c>
      <c r="Z8" s="1">
        <v>0.26</v>
      </c>
      <c r="AA8" s="2">
        <v>18.899999999999999</v>
      </c>
      <c r="AB8" s="2">
        <v>14.6</v>
      </c>
      <c r="AC8" s="2">
        <v>17.5</v>
      </c>
      <c r="AD8" s="2">
        <v>9.5</v>
      </c>
      <c r="AE8" s="4" t="s">
        <v>866</v>
      </c>
      <c r="AF8" s="4">
        <v>1.19</v>
      </c>
      <c r="AH8" s="13" t="s">
        <v>877</v>
      </c>
      <c r="AI8" s="13" t="s">
        <v>924</v>
      </c>
      <c r="AJ8" s="18" t="s">
        <v>1377</v>
      </c>
      <c r="AK8" t="s">
        <v>961</v>
      </c>
      <c r="AL8" s="20" t="s">
        <v>1098</v>
      </c>
    </row>
    <row r="9" spans="1:38" x14ac:dyDescent="0.25">
      <c r="A9" s="14" t="s">
        <v>37</v>
      </c>
      <c r="B9" s="14" t="s">
        <v>38</v>
      </c>
      <c r="C9" s="14" t="s">
        <v>39</v>
      </c>
      <c r="D9" s="14" t="s">
        <v>1597</v>
      </c>
      <c r="E9" s="14" t="s">
        <v>1597</v>
      </c>
      <c r="F9" s="1">
        <v>4.42</v>
      </c>
      <c r="G9" s="1">
        <v>2.75</v>
      </c>
      <c r="H9" s="1">
        <v>5.31</v>
      </c>
      <c r="I9" s="1">
        <v>2.21</v>
      </c>
      <c r="J9" s="1">
        <v>4.0199999999999996</v>
      </c>
      <c r="K9" s="1">
        <v>3.92</v>
      </c>
      <c r="L9" s="1">
        <v>1.1000000000000001</v>
      </c>
      <c r="M9" s="1">
        <v>0.95</v>
      </c>
      <c r="N9" s="1">
        <v>1.1100000000000001</v>
      </c>
      <c r="O9" s="1">
        <v>3.585</v>
      </c>
      <c r="P9" s="1">
        <v>3.76</v>
      </c>
      <c r="Q9" s="1">
        <v>3.9699999999999998</v>
      </c>
      <c r="R9" s="1">
        <v>0.78288062307237305</v>
      </c>
      <c r="S9" s="1">
        <v>0.90927499070471762</v>
      </c>
      <c r="T9" s="1">
        <v>0.22165840208900922</v>
      </c>
      <c r="U9" s="2">
        <v>16.399999999999999</v>
      </c>
      <c r="V9" s="2">
        <v>15.8</v>
      </c>
      <c r="W9" s="2">
        <v>19.5</v>
      </c>
      <c r="X9" s="1">
        <v>0.55000000000000004</v>
      </c>
      <c r="Y9" s="1">
        <v>0.47499999999999998</v>
      </c>
      <c r="Z9" s="1">
        <v>0.55500000000000005</v>
      </c>
      <c r="AA9" s="2">
        <v>206.3</v>
      </c>
      <c r="AB9" s="2">
        <v>104.9</v>
      </c>
      <c r="AC9" s="46">
        <v>42778.27</v>
      </c>
      <c r="AD9" s="2" t="s">
        <v>40</v>
      </c>
      <c r="AE9" s="4" t="s">
        <v>867</v>
      </c>
      <c r="AF9" s="4">
        <v>1.19</v>
      </c>
      <c r="AH9" s="13" t="s">
        <v>925</v>
      </c>
      <c r="AI9" s="13" t="s">
        <v>924</v>
      </c>
      <c r="AJ9" s="14" t="s">
        <v>953</v>
      </c>
      <c r="AK9" s="4" t="s">
        <v>40</v>
      </c>
      <c r="AL9" s="20" t="s">
        <v>1098</v>
      </c>
    </row>
    <row r="10" spans="1:38" x14ac:dyDescent="0.25">
      <c r="A10" s="14" t="s">
        <v>41</v>
      </c>
      <c r="B10" s="14" t="s">
        <v>42</v>
      </c>
      <c r="C10" s="14" t="s">
        <v>43</v>
      </c>
      <c r="D10" s="14" t="s">
        <v>1598</v>
      </c>
      <c r="E10" s="14" t="s">
        <v>1598</v>
      </c>
      <c r="F10" s="1">
        <v>2.5935000000000001</v>
      </c>
      <c r="G10" s="1">
        <v>1.913</v>
      </c>
      <c r="H10" s="1">
        <v>2.169</v>
      </c>
      <c r="I10" s="1">
        <v>2.1175000000000002</v>
      </c>
      <c r="J10" s="1">
        <v>3.6469999999999998</v>
      </c>
      <c r="K10" s="1">
        <v>2.75</v>
      </c>
      <c r="L10" s="1">
        <v>0.59699999999999998</v>
      </c>
      <c r="M10" s="1">
        <v>0.65300000000000002</v>
      </c>
      <c r="N10" s="1">
        <v>0.73699999999999999</v>
      </c>
      <c r="O10" s="1">
        <v>2.25325</v>
      </c>
      <c r="P10" s="1">
        <v>2.1432500000000001</v>
      </c>
      <c r="Q10" s="1">
        <v>3.1985000000000001</v>
      </c>
      <c r="R10" s="1">
        <v>0.67522342441293359</v>
      </c>
      <c r="S10" s="1">
        <v>0.21661846625826256</v>
      </c>
      <c r="T10" s="1">
        <v>0.65682342570842411</v>
      </c>
      <c r="U10" s="2">
        <v>7.4260000000000002</v>
      </c>
      <c r="V10" s="2">
        <v>9.09</v>
      </c>
      <c r="W10" s="2">
        <v>14.659000000000001</v>
      </c>
      <c r="X10" s="1">
        <v>0.29849999999999999</v>
      </c>
      <c r="Y10" s="1">
        <v>0.32650000000000001</v>
      </c>
      <c r="Z10" s="1">
        <v>0.36849999999999999</v>
      </c>
      <c r="AA10" s="2">
        <v>59.6</v>
      </c>
      <c r="AB10" s="2">
        <v>38.6</v>
      </c>
      <c r="AC10" s="46">
        <v>1115.8920000000001</v>
      </c>
      <c r="AD10" s="2" t="s">
        <v>40</v>
      </c>
      <c r="AE10" s="4" t="s">
        <v>867</v>
      </c>
      <c r="AF10" s="4">
        <v>1.19</v>
      </c>
      <c r="AH10" s="13" t="s">
        <v>925</v>
      </c>
      <c r="AI10" s="13" t="s">
        <v>924</v>
      </c>
      <c r="AJ10" s="14" t="s">
        <v>953</v>
      </c>
      <c r="AK10" s="4" t="s">
        <v>40</v>
      </c>
      <c r="AL10" s="20" t="s">
        <v>1098</v>
      </c>
    </row>
    <row r="11" spans="1:38" x14ac:dyDescent="0.25">
      <c r="A11" s="14" t="s">
        <v>44</v>
      </c>
      <c r="B11" s="14" t="s">
        <v>45</v>
      </c>
      <c r="C11" s="14" t="s">
        <v>46</v>
      </c>
      <c r="D11" s="14" t="s">
        <v>1598</v>
      </c>
      <c r="E11" s="14" t="s">
        <v>1598</v>
      </c>
      <c r="F11" s="48">
        <v>3.69</v>
      </c>
      <c r="G11" s="48">
        <v>2.92</v>
      </c>
      <c r="H11" s="48">
        <v>3.26</v>
      </c>
      <c r="I11" s="48">
        <v>2.98</v>
      </c>
      <c r="J11" s="1">
        <v>4.5425000000000004</v>
      </c>
      <c r="K11" s="1">
        <v>3.88</v>
      </c>
      <c r="L11" s="48">
        <v>0.72</v>
      </c>
      <c r="M11" s="48">
        <v>0.76</v>
      </c>
      <c r="N11" s="48">
        <v>0.87</v>
      </c>
      <c r="O11" s="3">
        <v>3.3049999999999997</v>
      </c>
      <c r="P11" s="3">
        <v>3.12</v>
      </c>
      <c r="Q11" s="1">
        <v>4.2112499999999997</v>
      </c>
      <c r="R11" s="3">
        <v>0.61139196401759588</v>
      </c>
      <c r="S11" s="3">
        <v>0.40546531636462096</v>
      </c>
      <c r="T11" s="1">
        <v>0.52001816584487615</v>
      </c>
      <c r="U11" s="46">
        <v>11.48</v>
      </c>
      <c r="V11" s="46">
        <v>13.04</v>
      </c>
      <c r="W11" s="2">
        <v>17.007999999999999</v>
      </c>
      <c r="X11" s="3">
        <v>0.36</v>
      </c>
      <c r="Y11" s="3">
        <v>0.38</v>
      </c>
      <c r="Z11" s="3">
        <v>0.435</v>
      </c>
      <c r="AA11" s="2">
        <v>184.9</v>
      </c>
      <c r="AB11" s="2">
        <v>109.4</v>
      </c>
      <c r="AC11" s="46">
        <v>40422.639999999999</v>
      </c>
      <c r="AD11" s="2" t="s">
        <v>40</v>
      </c>
      <c r="AE11" s="4" t="s">
        <v>867</v>
      </c>
      <c r="AF11" s="4">
        <v>1.19</v>
      </c>
      <c r="AH11" s="13" t="s">
        <v>925</v>
      </c>
      <c r="AI11" s="13" t="s">
        <v>1108</v>
      </c>
      <c r="AJ11" s="14" t="s">
        <v>953</v>
      </c>
      <c r="AK11" s="4" t="s">
        <v>40</v>
      </c>
      <c r="AL11" s="20" t="s">
        <v>1098</v>
      </c>
    </row>
    <row r="12" spans="1:38" x14ac:dyDescent="0.25">
      <c r="A12" s="14" t="s">
        <v>47</v>
      </c>
      <c r="B12" s="14" t="s">
        <v>48</v>
      </c>
      <c r="C12" s="14" t="s">
        <v>49</v>
      </c>
      <c r="D12" s="14" t="s">
        <v>1598</v>
      </c>
      <c r="E12" s="14" t="s">
        <v>1598</v>
      </c>
      <c r="F12" s="48">
        <v>2.76</v>
      </c>
      <c r="G12" s="48">
        <v>1.58</v>
      </c>
      <c r="H12" s="48">
        <v>2</v>
      </c>
      <c r="I12" s="48">
        <v>1.61</v>
      </c>
      <c r="J12" s="48">
        <v>2.2999999999999998</v>
      </c>
      <c r="K12" s="48">
        <v>1.76</v>
      </c>
      <c r="L12" s="1">
        <v>0.55000000000000004</v>
      </c>
      <c r="M12" s="1">
        <v>0.52</v>
      </c>
      <c r="N12" s="48">
        <v>0.62</v>
      </c>
      <c r="O12" s="3">
        <v>2.17</v>
      </c>
      <c r="P12" s="3">
        <v>1.8050000000000002</v>
      </c>
      <c r="Q12" s="3">
        <v>2.0299999999999998</v>
      </c>
      <c r="R12" s="3">
        <v>0.81993001786402286</v>
      </c>
      <c r="S12" s="3">
        <v>0.59327480984784775</v>
      </c>
      <c r="T12" s="3">
        <v>0.64377196587407304</v>
      </c>
      <c r="U12" s="46">
        <v>7.75</v>
      </c>
      <c r="V12" s="46">
        <v>6.44</v>
      </c>
      <c r="W12" s="46">
        <v>10.27</v>
      </c>
      <c r="X12" s="1">
        <v>0.27500000000000002</v>
      </c>
      <c r="Y12" s="1">
        <v>0.26</v>
      </c>
      <c r="Z12" s="3">
        <v>0.31</v>
      </c>
      <c r="AA12" s="2">
        <v>49</v>
      </c>
      <c r="AB12" s="2">
        <v>28.7</v>
      </c>
      <c r="AC12" s="46">
        <v>427.48329999999999</v>
      </c>
      <c r="AD12" s="2" t="s">
        <v>40</v>
      </c>
      <c r="AE12" s="4" t="s">
        <v>867</v>
      </c>
      <c r="AF12" s="4">
        <v>1.19</v>
      </c>
      <c r="AH12" s="13" t="s">
        <v>925</v>
      </c>
      <c r="AI12" s="13" t="s">
        <v>924</v>
      </c>
      <c r="AJ12" s="14" t="s">
        <v>953</v>
      </c>
      <c r="AK12" s="4" t="s">
        <v>40</v>
      </c>
      <c r="AL12" s="20" t="s">
        <v>1098</v>
      </c>
    </row>
    <row r="13" spans="1:38" x14ac:dyDescent="0.25">
      <c r="A13" s="14" t="s">
        <v>50</v>
      </c>
      <c r="B13" s="14" t="s">
        <v>51</v>
      </c>
      <c r="C13" s="14" t="s">
        <v>52</v>
      </c>
      <c r="D13" t="s">
        <v>1568</v>
      </c>
      <c r="E13" t="s">
        <v>1568</v>
      </c>
      <c r="F13" s="1">
        <v>4.5999999999999996</v>
      </c>
      <c r="G13" s="1">
        <v>2.0099999999999998</v>
      </c>
      <c r="H13" s="1">
        <v>4.6849999999999996</v>
      </c>
      <c r="I13" s="1">
        <v>2.0499999999999998</v>
      </c>
      <c r="J13" s="1">
        <v>4.49</v>
      </c>
      <c r="K13" s="1">
        <v>2.6749999999999998</v>
      </c>
      <c r="L13" s="1">
        <v>1.03</v>
      </c>
      <c r="M13" s="1">
        <v>0.97</v>
      </c>
      <c r="N13" s="1">
        <v>1.18</v>
      </c>
      <c r="O13" s="1">
        <v>3.3049999999999997</v>
      </c>
      <c r="P13" s="1">
        <v>3.3674999999999997</v>
      </c>
      <c r="Q13" s="1">
        <v>3.5825</v>
      </c>
      <c r="R13" s="1">
        <v>0.89948262801993062</v>
      </c>
      <c r="S13" s="1">
        <v>0.89918595467776574</v>
      </c>
      <c r="T13" s="1">
        <v>0.80315630131688454</v>
      </c>
      <c r="U13" s="2">
        <v>12.879999999999999</v>
      </c>
      <c r="V13" s="2">
        <v>12.4</v>
      </c>
      <c r="W13" s="2">
        <v>15.84</v>
      </c>
      <c r="X13" s="1">
        <v>0.51500000000000001</v>
      </c>
      <c r="Y13" s="1">
        <v>0.48499999999999999</v>
      </c>
      <c r="Z13" s="1">
        <v>0.59</v>
      </c>
      <c r="AA13" s="2">
        <v>85</v>
      </c>
      <c r="AB13" s="2">
        <v>72.400000000000006</v>
      </c>
      <c r="AC13" s="2">
        <v>13730</v>
      </c>
      <c r="AD13" s="2">
        <v>27.6</v>
      </c>
      <c r="AE13" s="4" t="s">
        <v>866</v>
      </c>
      <c r="AF13" s="4">
        <v>1.19</v>
      </c>
      <c r="AH13" s="13" t="s">
        <v>923</v>
      </c>
      <c r="AI13" s="13" t="s">
        <v>924</v>
      </c>
      <c r="AJ13" s="14" t="s">
        <v>1109</v>
      </c>
      <c r="AK13" t="s">
        <v>962</v>
      </c>
      <c r="AL13" s="20" t="s">
        <v>1098</v>
      </c>
    </row>
    <row r="14" spans="1:38" x14ac:dyDescent="0.25">
      <c r="A14" s="14" t="s">
        <v>53</v>
      </c>
      <c r="B14" s="14" t="s">
        <v>54</v>
      </c>
      <c r="C14" s="14" t="s">
        <v>55</v>
      </c>
      <c r="D14" t="s">
        <v>1568</v>
      </c>
      <c r="E14" t="s">
        <v>1568</v>
      </c>
      <c r="F14" s="1">
        <v>2.4319999999999999</v>
      </c>
      <c r="G14" s="1">
        <v>0.85950000000000004</v>
      </c>
      <c r="H14" s="1">
        <v>2.1280000000000001</v>
      </c>
      <c r="I14" s="1">
        <v>1.022</v>
      </c>
      <c r="J14" s="1">
        <v>2.3955000000000002</v>
      </c>
      <c r="K14" s="1">
        <v>1.5295000000000001</v>
      </c>
      <c r="L14" s="1">
        <v>0.44700000000000001</v>
      </c>
      <c r="M14" s="1">
        <v>0.497</v>
      </c>
      <c r="N14" s="1">
        <v>0.52</v>
      </c>
      <c r="O14" s="1">
        <v>1.64575</v>
      </c>
      <c r="P14" s="1">
        <v>1.5750000000000002</v>
      </c>
      <c r="Q14" s="1">
        <v>1.9625000000000001</v>
      </c>
      <c r="R14" s="1">
        <v>0.93546746193302632</v>
      </c>
      <c r="S14" s="1">
        <v>0.87712444907719622</v>
      </c>
      <c r="T14" s="1">
        <v>0.76963108684739812</v>
      </c>
      <c r="U14" s="2">
        <v>6.42</v>
      </c>
      <c r="V14" s="2">
        <v>6.1779999999999999</v>
      </c>
      <c r="W14" s="2">
        <v>7.6950000000000003</v>
      </c>
      <c r="X14" s="1">
        <v>0.2235</v>
      </c>
      <c r="Y14" s="1">
        <v>0.2485</v>
      </c>
      <c r="Z14" s="1">
        <v>0.26</v>
      </c>
      <c r="AA14" s="2">
        <v>28.8</v>
      </c>
      <c r="AB14" s="2">
        <v>24.2</v>
      </c>
      <c r="AC14" s="2">
        <v>80</v>
      </c>
      <c r="AD14" s="2">
        <v>24.4</v>
      </c>
      <c r="AE14" s="4" t="s">
        <v>866</v>
      </c>
      <c r="AF14" s="4">
        <v>1.19</v>
      </c>
      <c r="AH14" s="13" t="s">
        <v>923</v>
      </c>
      <c r="AI14" s="13" t="s">
        <v>923</v>
      </c>
      <c r="AJ14" s="14" t="s">
        <v>1109</v>
      </c>
      <c r="AK14" s="13" t="s">
        <v>963</v>
      </c>
      <c r="AL14" s="20" t="s">
        <v>1098</v>
      </c>
    </row>
    <row r="15" spans="1:38" x14ac:dyDescent="0.25">
      <c r="A15" s="14" t="s">
        <v>56</v>
      </c>
      <c r="B15" s="14" t="s">
        <v>57</v>
      </c>
      <c r="C15" s="14" t="s">
        <v>58</v>
      </c>
      <c r="D15" t="s">
        <v>1568</v>
      </c>
      <c r="E15" t="s">
        <v>1568</v>
      </c>
      <c r="F15" s="1">
        <v>7.5369999999999999</v>
      </c>
      <c r="G15" s="1">
        <v>4.5659999999999998</v>
      </c>
      <c r="H15" s="1">
        <v>7.1260000000000003</v>
      </c>
      <c r="I15" s="1">
        <v>3.93</v>
      </c>
      <c r="J15" s="1">
        <v>7.3574999999999999</v>
      </c>
      <c r="K15" s="1">
        <v>5.3419999999999996</v>
      </c>
      <c r="L15" s="1">
        <v>2.2570000000000001</v>
      </c>
      <c r="M15" s="1">
        <v>2.8029999999999999</v>
      </c>
      <c r="N15" s="1">
        <v>2.8650000000000002</v>
      </c>
      <c r="O15" s="1">
        <v>6.0514999999999999</v>
      </c>
      <c r="P15" s="1">
        <v>5.5280000000000005</v>
      </c>
      <c r="Q15" s="1">
        <v>6.3497500000000002</v>
      </c>
      <c r="R15" s="1">
        <v>0.79560834052494089</v>
      </c>
      <c r="S15" s="1">
        <v>0.83417387117997832</v>
      </c>
      <c r="T15" s="1">
        <v>0.68762940752119062</v>
      </c>
      <c r="U15" s="2">
        <v>19.411000000000001</v>
      </c>
      <c r="V15" s="2">
        <v>18.006</v>
      </c>
      <c r="W15" s="2">
        <v>25.448</v>
      </c>
      <c r="X15" s="1">
        <v>1.1285000000000001</v>
      </c>
      <c r="Y15" s="1">
        <v>1.4015</v>
      </c>
      <c r="Z15" s="1">
        <v>1.4325000000000001</v>
      </c>
      <c r="AA15" s="2">
        <v>153</v>
      </c>
      <c r="AB15" s="2">
        <v>101.5</v>
      </c>
      <c r="AC15" s="2">
        <v>48336</v>
      </c>
      <c r="AD15" s="2">
        <v>22</v>
      </c>
      <c r="AE15" s="4" t="s">
        <v>866</v>
      </c>
      <c r="AF15" s="4">
        <v>1.19</v>
      </c>
      <c r="AH15" s="13" t="s">
        <v>923</v>
      </c>
      <c r="AI15" s="13" t="s">
        <v>924</v>
      </c>
      <c r="AJ15" s="14" t="s">
        <v>1109</v>
      </c>
      <c r="AK15" s="13" t="s">
        <v>964</v>
      </c>
      <c r="AL15" s="20" t="s">
        <v>1098</v>
      </c>
    </row>
    <row r="16" spans="1:38" x14ac:dyDescent="0.25">
      <c r="A16" s="14" t="s">
        <v>59</v>
      </c>
      <c r="B16" s="14" t="s">
        <v>60</v>
      </c>
      <c r="C16" s="14" t="s">
        <v>61</v>
      </c>
      <c r="D16" t="s">
        <v>1568</v>
      </c>
      <c r="E16" t="s">
        <v>1568</v>
      </c>
      <c r="F16" s="1">
        <v>2.0960000000000001</v>
      </c>
      <c r="G16" s="1">
        <v>1.002</v>
      </c>
      <c r="H16" s="1">
        <v>2.0270000000000001</v>
      </c>
      <c r="I16" s="1">
        <v>1.151</v>
      </c>
      <c r="J16" s="1">
        <v>2.4394999999999998</v>
      </c>
      <c r="K16" s="1">
        <v>1.1984999999999999</v>
      </c>
      <c r="L16" s="1">
        <v>0.55600000000000005</v>
      </c>
      <c r="M16" s="1">
        <v>0.56399999999999995</v>
      </c>
      <c r="N16" s="1">
        <v>0.59299999999999997</v>
      </c>
      <c r="O16" s="1">
        <v>1.5489999999999999</v>
      </c>
      <c r="P16" s="1">
        <v>1.589</v>
      </c>
      <c r="Q16" s="1">
        <v>1.819</v>
      </c>
      <c r="R16" s="1">
        <v>0.87833075385940063</v>
      </c>
      <c r="S16" s="1">
        <v>0.82314292707502179</v>
      </c>
      <c r="T16" s="1">
        <v>0.87099651166511982</v>
      </c>
      <c r="U16" s="2">
        <v>5.6840000000000002</v>
      </c>
      <c r="V16" s="2">
        <v>6.3410000000000002</v>
      </c>
      <c r="W16" s="2">
        <v>7.5960000000000001</v>
      </c>
      <c r="X16" s="1">
        <v>0.27800000000000002</v>
      </c>
      <c r="Y16" s="1">
        <v>0.28199999999999997</v>
      </c>
      <c r="Z16" s="1">
        <v>0.29649999999999999</v>
      </c>
      <c r="AA16" s="2">
        <v>28.1</v>
      </c>
      <c r="AB16" s="2">
        <v>25</v>
      </c>
      <c r="AC16" s="2">
        <v>255</v>
      </c>
      <c r="AD16" s="2">
        <v>24.5</v>
      </c>
      <c r="AE16" s="4" t="s">
        <v>866</v>
      </c>
      <c r="AF16" s="4">
        <v>1.19</v>
      </c>
      <c r="AH16" s="13" t="s">
        <v>923</v>
      </c>
      <c r="AI16" s="13" t="s">
        <v>923</v>
      </c>
      <c r="AJ16" s="14" t="s">
        <v>1109</v>
      </c>
      <c r="AK16" t="s">
        <v>1021</v>
      </c>
      <c r="AL16" s="20" t="s">
        <v>1098</v>
      </c>
    </row>
    <row r="17" spans="1:38" x14ac:dyDescent="0.25">
      <c r="A17" s="14" t="s">
        <v>62</v>
      </c>
      <c r="B17" s="14" t="s">
        <v>63</v>
      </c>
      <c r="C17" s="14" t="s">
        <v>64</v>
      </c>
      <c r="D17" t="s">
        <v>1568</v>
      </c>
      <c r="E17" t="s">
        <v>1568</v>
      </c>
      <c r="F17" s="1">
        <v>1.75</v>
      </c>
      <c r="G17" s="1">
        <v>0.89</v>
      </c>
      <c r="H17" s="1">
        <v>1.51</v>
      </c>
      <c r="I17" s="1">
        <v>0.77500000000000002</v>
      </c>
      <c r="J17" s="1">
        <v>1.78</v>
      </c>
      <c r="K17" s="1">
        <v>0.90500000000000003</v>
      </c>
      <c r="L17" s="1">
        <v>0.51</v>
      </c>
      <c r="M17" s="1">
        <v>0.59</v>
      </c>
      <c r="N17" s="1">
        <v>0.54</v>
      </c>
      <c r="O17" s="1">
        <v>1.32</v>
      </c>
      <c r="P17" s="1">
        <v>1.1425000000000001</v>
      </c>
      <c r="Q17" s="1">
        <v>1.3425</v>
      </c>
      <c r="R17" s="1">
        <v>0.86101980351256513</v>
      </c>
      <c r="S17" s="1">
        <v>0.85824211967559816</v>
      </c>
      <c r="T17" s="1">
        <v>0.86110511550389501</v>
      </c>
      <c r="U17" s="2">
        <v>5.2000000000000011</v>
      </c>
      <c r="V17" s="2">
        <v>5.0100000000000007</v>
      </c>
      <c r="W17" s="2">
        <v>6.32</v>
      </c>
      <c r="X17" s="1">
        <v>0.255</v>
      </c>
      <c r="Y17" s="1">
        <v>0.29499999999999998</v>
      </c>
      <c r="Z17" s="1">
        <v>0.27</v>
      </c>
      <c r="AA17" s="2">
        <v>18.899999999999999</v>
      </c>
      <c r="AB17" s="2">
        <v>16.2</v>
      </c>
      <c r="AC17" s="2">
        <v>120</v>
      </c>
      <c r="AD17" s="2">
        <v>22.5</v>
      </c>
      <c r="AE17" s="4" t="s">
        <v>866</v>
      </c>
      <c r="AF17" s="4">
        <v>1.19</v>
      </c>
      <c r="AH17" s="13" t="s">
        <v>923</v>
      </c>
      <c r="AI17" s="13" t="s">
        <v>924</v>
      </c>
      <c r="AJ17" s="14" t="s">
        <v>1109</v>
      </c>
      <c r="AK17" t="s">
        <v>965</v>
      </c>
      <c r="AL17" s="20" t="s">
        <v>1098</v>
      </c>
    </row>
    <row r="18" spans="1:38" x14ac:dyDescent="0.25">
      <c r="A18" s="33" t="s">
        <v>1336</v>
      </c>
      <c r="B18" s="34" t="s">
        <v>1335</v>
      </c>
      <c r="C18" s="18" t="s">
        <v>1409</v>
      </c>
      <c r="D18" t="s">
        <v>1568</v>
      </c>
      <c r="E18" t="s">
        <v>1568</v>
      </c>
      <c r="F18" s="1">
        <v>3.37</v>
      </c>
      <c r="G18" s="1">
        <v>1.415</v>
      </c>
      <c r="H18" s="1">
        <v>2.94</v>
      </c>
      <c r="I18" s="1">
        <v>1.415</v>
      </c>
      <c r="J18" s="1">
        <v>2.625</v>
      </c>
      <c r="K18" s="1">
        <v>1.84</v>
      </c>
      <c r="L18" s="1">
        <v>0.89</v>
      </c>
      <c r="M18" s="1">
        <v>1.0900000000000001</v>
      </c>
      <c r="N18" s="1">
        <v>1.01</v>
      </c>
      <c r="O18" s="1">
        <v>2.3925000000000001</v>
      </c>
      <c r="P18" s="1">
        <v>2.1775000000000002</v>
      </c>
      <c r="Q18" s="1">
        <v>2.2324999999999999</v>
      </c>
      <c r="R18" s="1">
        <v>0.90757902640802768</v>
      </c>
      <c r="S18" s="1">
        <v>0.8765600453324669</v>
      </c>
      <c r="T18" s="1">
        <v>0.71320807597586011</v>
      </c>
      <c r="U18" s="2">
        <v>8.09</v>
      </c>
      <c r="V18" s="2">
        <v>8.16</v>
      </c>
      <c r="W18" s="2">
        <v>8.51</v>
      </c>
      <c r="X18" s="1">
        <v>0.44500000000000001</v>
      </c>
      <c r="Y18" s="1">
        <v>0.54500000000000004</v>
      </c>
      <c r="Z18" s="1">
        <v>0.505</v>
      </c>
      <c r="AA18" s="2">
        <v>52.56315789473684</v>
      </c>
      <c r="AB18" s="2">
        <v>33.299999999999997</v>
      </c>
      <c r="AC18" s="2">
        <v>2500</v>
      </c>
      <c r="AD18" s="38">
        <v>25.6</v>
      </c>
      <c r="AE18" s="36" t="s">
        <v>866</v>
      </c>
      <c r="AF18" s="4">
        <v>1.19</v>
      </c>
      <c r="AH18" s="21" t="s">
        <v>1617</v>
      </c>
      <c r="AI18" s="21" t="s">
        <v>1616</v>
      </c>
      <c r="AJ18" s="24" t="s">
        <v>1405</v>
      </c>
      <c r="AK18" s="24" t="s">
        <v>1404</v>
      </c>
      <c r="AL18" s="20" t="s">
        <v>1098</v>
      </c>
    </row>
    <row r="19" spans="1:38" x14ac:dyDescent="0.25">
      <c r="A19" s="14" t="s">
        <v>65</v>
      </c>
      <c r="B19" s="14" t="s">
        <v>66</v>
      </c>
      <c r="C19" s="14" t="s">
        <v>67</v>
      </c>
      <c r="D19" s="14" t="s">
        <v>1595</v>
      </c>
      <c r="E19" s="14" t="s">
        <v>1595</v>
      </c>
      <c r="F19" s="1">
        <v>3.43</v>
      </c>
      <c r="G19" s="1">
        <v>1.92</v>
      </c>
      <c r="H19" s="1">
        <v>2.23</v>
      </c>
      <c r="I19" s="1">
        <v>2.04</v>
      </c>
      <c r="J19" s="1">
        <v>2.62</v>
      </c>
      <c r="K19" s="1">
        <v>2.04</v>
      </c>
      <c r="L19" s="1">
        <v>0.7</v>
      </c>
      <c r="M19" s="1">
        <v>0.72</v>
      </c>
      <c r="N19" s="1">
        <v>0.85</v>
      </c>
      <c r="O19" s="1">
        <v>2.6749999999999998</v>
      </c>
      <c r="P19" s="1">
        <v>2.1349999999999998</v>
      </c>
      <c r="Q19" s="1">
        <v>2.33</v>
      </c>
      <c r="R19" s="1">
        <v>0.82865020973308978</v>
      </c>
      <c r="S19" s="1">
        <v>0.40391118057130404</v>
      </c>
      <c r="T19" s="1">
        <v>0.62748834526907116</v>
      </c>
      <c r="U19" s="2">
        <v>9.5</v>
      </c>
      <c r="V19" s="2">
        <v>7</v>
      </c>
      <c r="W19" s="2">
        <v>13.3</v>
      </c>
      <c r="X19" s="1">
        <v>0.35</v>
      </c>
      <c r="Y19" s="1">
        <v>0.36</v>
      </c>
      <c r="Z19" s="1">
        <v>0.42499999999999999</v>
      </c>
      <c r="AA19" s="2">
        <v>57.3</v>
      </c>
      <c r="AB19" s="2">
        <v>30.2</v>
      </c>
      <c r="AC19" s="46">
        <v>570.00840000000005</v>
      </c>
      <c r="AD19" s="2" t="s">
        <v>40</v>
      </c>
      <c r="AE19" s="4" t="s">
        <v>867</v>
      </c>
      <c r="AF19" s="4">
        <v>1.19</v>
      </c>
      <c r="AH19" s="13" t="s">
        <v>925</v>
      </c>
      <c r="AI19" s="13" t="s">
        <v>924</v>
      </c>
      <c r="AJ19" s="14" t="s">
        <v>953</v>
      </c>
      <c r="AK19" s="4" t="s">
        <v>40</v>
      </c>
      <c r="AL19" s="20" t="s">
        <v>1098</v>
      </c>
    </row>
    <row r="20" spans="1:38" x14ac:dyDescent="0.25">
      <c r="A20" s="14" t="s">
        <v>68</v>
      </c>
      <c r="B20" s="14" t="s">
        <v>69</v>
      </c>
      <c r="C20" s="14" t="s">
        <v>70</v>
      </c>
      <c r="D20" t="s">
        <v>1569</v>
      </c>
      <c r="E20" t="s">
        <v>1569</v>
      </c>
      <c r="F20" s="1">
        <v>4.5650000000000004</v>
      </c>
      <c r="G20" s="1">
        <v>2.54</v>
      </c>
      <c r="H20" s="1">
        <v>3.96</v>
      </c>
      <c r="I20" s="1">
        <v>1.9850000000000001</v>
      </c>
      <c r="J20" s="1">
        <v>3.53</v>
      </c>
      <c r="K20" s="1">
        <v>2.19</v>
      </c>
      <c r="L20" s="1">
        <v>1.17</v>
      </c>
      <c r="M20" s="1">
        <v>1.26</v>
      </c>
      <c r="N20" s="1">
        <v>1.1599999999999999</v>
      </c>
      <c r="O20" s="1">
        <v>3.5525000000000002</v>
      </c>
      <c r="P20" s="1">
        <v>2.9725000000000001</v>
      </c>
      <c r="Q20" s="1">
        <v>2.86</v>
      </c>
      <c r="R20" s="1">
        <v>0.83090959306014744</v>
      </c>
      <c r="S20" s="1">
        <v>0.86529519790201925</v>
      </c>
      <c r="T20" s="1">
        <v>0.78428824930980634</v>
      </c>
      <c r="U20" s="2">
        <v>13.41</v>
      </c>
      <c r="V20" s="2">
        <v>10.62</v>
      </c>
      <c r="W20" s="2">
        <v>11.68</v>
      </c>
      <c r="X20" s="1">
        <v>0.58499999999999996</v>
      </c>
      <c r="Y20" s="1">
        <v>0.63</v>
      </c>
      <c r="Z20" s="1">
        <v>0.57999999999999996</v>
      </c>
      <c r="AA20" s="2">
        <v>196.3</v>
      </c>
      <c r="AB20" s="2">
        <v>72.400000000000006</v>
      </c>
      <c r="AC20" s="2">
        <v>15848</v>
      </c>
      <c r="AD20" s="2">
        <v>32.5</v>
      </c>
      <c r="AE20" s="4" t="s">
        <v>866</v>
      </c>
      <c r="AF20" s="4">
        <v>1.19</v>
      </c>
      <c r="AH20" s="13" t="s">
        <v>923</v>
      </c>
      <c r="AI20" s="13" t="s">
        <v>924</v>
      </c>
      <c r="AJ20" s="14" t="s">
        <v>1111</v>
      </c>
      <c r="AK20" t="s">
        <v>966</v>
      </c>
      <c r="AL20" s="20" t="s">
        <v>1098</v>
      </c>
    </row>
    <row r="21" spans="1:38" x14ac:dyDescent="0.25">
      <c r="A21" s="14" t="s">
        <v>71</v>
      </c>
      <c r="B21" s="14" t="s">
        <v>72</v>
      </c>
      <c r="C21" s="14" t="s">
        <v>73</v>
      </c>
      <c r="D21" t="s">
        <v>1569</v>
      </c>
      <c r="E21" t="s">
        <v>1569</v>
      </c>
      <c r="F21" s="1">
        <v>4.34</v>
      </c>
      <c r="G21" s="1">
        <v>2.17</v>
      </c>
      <c r="H21" s="1">
        <v>3.2149999999999999</v>
      </c>
      <c r="I21" s="1">
        <v>1.895</v>
      </c>
      <c r="J21" s="1">
        <v>3.5150000000000001</v>
      </c>
      <c r="K21" s="1">
        <v>2.0550000000000002</v>
      </c>
      <c r="L21" s="1">
        <v>0.61</v>
      </c>
      <c r="M21" s="1">
        <v>0.52</v>
      </c>
      <c r="N21" s="1">
        <v>0.69</v>
      </c>
      <c r="O21" s="1">
        <v>3.2549999999999999</v>
      </c>
      <c r="P21" s="1">
        <v>2.5549999999999997</v>
      </c>
      <c r="Q21" s="1">
        <v>2.7850000000000001</v>
      </c>
      <c r="R21" s="1">
        <v>0.8660254037844386</v>
      </c>
      <c r="S21" s="1">
        <v>0.80782341730641338</v>
      </c>
      <c r="T21" s="1">
        <v>0.81129480700556122</v>
      </c>
      <c r="U21" s="2">
        <v>12.85</v>
      </c>
      <c r="V21" s="2">
        <v>8.75</v>
      </c>
      <c r="W21" s="2">
        <v>11.93</v>
      </c>
      <c r="X21" s="1">
        <v>0.30499999999999999</v>
      </c>
      <c r="Y21" s="1">
        <v>0.26</v>
      </c>
      <c r="Z21" s="1">
        <v>0.34499999999999997</v>
      </c>
      <c r="AA21" s="2">
        <v>115.8</v>
      </c>
      <c r="AB21" s="2">
        <v>48.1</v>
      </c>
      <c r="AC21" s="2">
        <v>7000</v>
      </c>
      <c r="AD21" s="2">
        <v>32.5</v>
      </c>
      <c r="AE21" s="4" t="s">
        <v>866</v>
      </c>
      <c r="AF21" s="4">
        <v>1.19</v>
      </c>
      <c r="AH21" s="13" t="s">
        <v>923</v>
      </c>
      <c r="AI21" s="13" t="s">
        <v>924</v>
      </c>
      <c r="AJ21" s="14" t="s">
        <v>1112</v>
      </c>
      <c r="AK21" t="s">
        <v>966</v>
      </c>
      <c r="AL21" s="20" t="s">
        <v>1098</v>
      </c>
    </row>
    <row r="22" spans="1:38" x14ac:dyDescent="0.25">
      <c r="A22" s="14" t="s">
        <v>74</v>
      </c>
      <c r="B22" s="14" t="s">
        <v>75</v>
      </c>
      <c r="C22" s="14" t="s">
        <v>1189</v>
      </c>
      <c r="D22" t="s">
        <v>1569</v>
      </c>
      <c r="E22" t="s">
        <v>1569</v>
      </c>
      <c r="F22" s="1">
        <v>7.5510000000000002</v>
      </c>
      <c r="G22" s="1">
        <v>3.7105000000000001</v>
      </c>
      <c r="H22" s="1">
        <v>6.8129999999999997</v>
      </c>
      <c r="I22" s="1">
        <v>3.1435</v>
      </c>
      <c r="J22" s="1">
        <v>6.8555000000000001</v>
      </c>
      <c r="K22" s="1">
        <v>4.9889999999999999</v>
      </c>
      <c r="L22" s="1">
        <v>1.6579999999999999</v>
      </c>
      <c r="M22" s="1">
        <v>1.6614</v>
      </c>
      <c r="N22" s="1">
        <v>2.0893999999999999</v>
      </c>
      <c r="O22" s="1">
        <v>5.6307499999999999</v>
      </c>
      <c r="P22" s="1">
        <v>4.9782500000000001</v>
      </c>
      <c r="Q22" s="1">
        <v>5.92225</v>
      </c>
      <c r="R22" s="1">
        <v>0.87093859223689674</v>
      </c>
      <c r="S22" s="1">
        <v>0.88719361197382718</v>
      </c>
      <c r="T22" s="1">
        <v>0.68585645136686235</v>
      </c>
      <c r="U22" s="2">
        <v>21.111999999999998</v>
      </c>
      <c r="V22" s="2">
        <v>17.356000000000002</v>
      </c>
      <c r="W22" s="2">
        <v>22.926000000000002</v>
      </c>
      <c r="X22" s="1">
        <v>0.82899999999999996</v>
      </c>
      <c r="Y22" s="1">
        <v>0.83069999999999999</v>
      </c>
      <c r="Z22" s="1">
        <v>1.0447</v>
      </c>
      <c r="AA22" s="2">
        <v>567.9</v>
      </c>
      <c r="AB22" s="2">
        <v>189.3</v>
      </c>
      <c r="AC22" s="2">
        <v>251188</v>
      </c>
      <c r="AD22" s="2">
        <v>25.5</v>
      </c>
      <c r="AE22" s="4" t="s">
        <v>866</v>
      </c>
      <c r="AF22" s="4">
        <v>1.19</v>
      </c>
      <c r="AH22" s="13" t="s">
        <v>925</v>
      </c>
      <c r="AI22" s="13" t="s">
        <v>924</v>
      </c>
      <c r="AJ22" s="14" t="s">
        <v>1110</v>
      </c>
      <c r="AK22" t="s">
        <v>967</v>
      </c>
      <c r="AL22" s="20" t="s">
        <v>1098</v>
      </c>
    </row>
    <row r="23" spans="1:38" x14ac:dyDescent="0.25">
      <c r="A23" s="14" t="s">
        <v>76</v>
      </c>
      <c r="B23" s="14" t="s">
        <v>77</v>
      </c>
      <c r="C23" s="14" t="s">
        <v>78</v>
      </c>
      <c r="D23" t="s">
        <v>1569</v>
      </c>
      <c r="E23" t="s">
        <v>1569</v>
      </c>
      <c r="F23" s="1">
        <v>8.9350000000000005</v>
      </c>
      <c r="G23" s="1">
        <v>4.07</v>
      </c>
      <c r="H23" s="1">
        <v>7.67</v>
      </c>
      <c r="I23" s="1">
        <v>4.09</v>
      </c>
      <c r="J23" s="1">
        <v>8.0749999999999993</v>
      </c>
      <c r="K23" s="1">
        <v>6.3849999999999998</v>
      </c>
      <c r="L23" s="1">
        <v>1.36</v>
      </c>
      <c r="M23" s="1">
        <v>1.87</v>
      </c>
      <c r="N23" s="1">
        <v>1.85</v>
      </c>
      <c r="O23" s="1">
        <v>6.5025000000000004</v>
      </c>
      <c r="P23" s="1">
        <v>5.88</v>
      </c>
      <c r="Q23" s="1">
        <v>7.2299999999999995</v>
      </c>
      <c r="R23" s="1">
        <v>0.89022962729109489</v>
      </c>
      <c r="S23" s="1">
        <v>0.84595996436813847</v>
      </c>
      <c r="T23" s="1">
        <v>0.61218821905587628</v>
      </c>
      <c r="U23" s="2">
        <v>25.549999999999997</v>
      </c>
      <c r="V23" s="2">
        <v>20.64</v>
      </c>
      <c r="W23" s="2">
        <v>29.520000000000003</v>
      </c>
      <c r="X23" s="1">
        <v>0.68</v>
      </c>
      <c r="Y23" s="1">
        <v>0.93500000000000005</v>
      </c>
      <c r="Z23" s="1">
        <v>0.92500000000000004</v>
      </c>
      <c r="AA23" s="2">
        <v>511.43</v>
      </c>
      <c r="AB23" s="2">
        <v>141.4</v>
      </c>
      <c r="AC23" s="2">
        <v>158480</v>
      </c>
      <c r="AD23" s="2" t="s">
        <v>40</v>
      </c>
      <c r="AE23" s="4" t="s">
        <v>866</v>
      </c>
      <c r="AF23" s="4">
        <v>1.19</v>
      </c>
      <c r="AH23" s="13" t="s">
        <v>925</v>
      </c>
      <c r="AI23" s="13" t="s">
        <v>924</v>
      </c>
      <c r="AJ23" s="14" t="s">
        <v>1110</v>
      </c>
      <c r="AK23" s="4" t="s">
        <v>40</v>
      </c>
      <c r="AL23" s="20" t="s">
        <v>1098</v>
      </c>
    </row>
    <row r="24" spans="1:38" x14ac:dyDescent="0.25">
      <c r="A24" s="14" t="s">
        <v>79</v>
      </c>
      <c r="B24" s="14" t="s">
        <v>80</v>
      </c>
      <c r="C24" s="14" t="s">
        <v>81</v>
      </c>
      <c r="D24" t="s">
        <v>1569</v>
      </c>
      <c r="E24" t="s">
        <v>1569</v>
      </c>
      <c r="F24" s="1">
        <v>3.52</v>
      </c>
      <c r="G24" s="1">
        <v>1.8394999999999999</v>
      </c>
      <c r="H24" s="1">
        <v>3.0350000000000001</v>
      </c>
      <c r="I24" s="1">
        <v>1.49</v>
      </c>
      <c r="J24" s="1">
        <v>2.827</v>
      </c>
      <c r="K24" s="1">
        <v>1.8220000000000001</v>
      </c>
      <c r="L24" s="1">
        <v>0.67200000000000004</v>
      </c>
      <c r="M24" s="1">
        <v>0.71599999999999997</v>
      </c>
      <c r="N24" s="1">
        <v>0.69299999999999995</v>
      </c>
      <c r="O24" s="1">
        <v>2.6797499999999999</v>
      </c>
      <c r="P24" s="1">
        <v>2.2625000000000002</v>
      </c>
      <c r="Q24" s="1">
        <v>2.3245</v>
      </c>
      <c r="R24" s="1">
        <v>0.85258705141252988</v>
      </c>
      <c r="S24" s="1">
        <v>0.87119392479747548</v>
      </c>
      <c r="T24" s="1">
        <v>0.76460475668170647</v>
      </c>
      <c r="U24" s="2">
        <v>10.444000000000001</v>
      </c>
      <c r="V24" s="2">
        <v>9.2170000000000005</v>
      </c>
      <c r="W24" s="2">
        <v>11.164999999999999</v>
      </c>
      <c r="X24" s="1">
        <v>0.33600000000000002</v>
      </c>
      <c r="Y24" s="1">
        <v>0.35799999999999998</v>
      </c>
      <c r="Z24" s="1">
        <v>0.34649999999999997</v>
      </c>
      <c r="AA24" s="2">
        <v>120</v>
      </c>
      <c r="AB24" s="2">
        <v>44.1</v>
      </c>
      <c r="AC24" s="2">
        <v>3160</v>
      </c>
      <c r="AD24" s="2">
        <v>31</v>
      </c>
      <c r="AE24" s="4" t="s">
        <v>866</v>
      </c>
      <c r="AF24" s="4">
        <v>1.19</v>
      </c>
      <c r="AH24" s="13" t="s">
        <v>926</v>
      </c>
      <c r="AI24" s="13" t="s">
        <v>924</v>
      </c>
      <c r="AJ24" s="14" t="s">
        <v>882</v>
      </c>
      <c r="AK24" t="s">
        <v>966</v>
      </c>
      <c r="AL24" s="20" t="s">
        <v>1098</v>
      </c>
    </row>
    <row r="25" spans="1:38" x14ac:dyDescent="0.25">
      <c r="A25" s="14" t="s">
        <v>79</v>
      </c>
      <c r="B25" s="14" t="s">
        <v>82</v>
      </c>
      <c r="C25" s="14" t="s">
        <v>83</v>
      </c>
      <c r="D25" t="s">
        <v>1569</v>
      </c>
      <c r="E25" t="s">
        <v>1569</v>
      </c>
      <c r="F25" s="1">
        <v>8.3249999999999993</v>
      </c>
      <c r="G25" s="1">
        <v>4.2765000000000004</v>
      </c>
      <c r="H25" s="1">
        <v>6.6284999999999998</v>
      </c>
      <c r="I25" s="1">
        <v>3.9830000000000001</v>
      </c>
      <c r="J25" s="1">
        <v>7.4880000000000004</v>
      </c>
      <c r="K25" s="1">
        <v>5.3470000000000004</v>
      </c>
      <c r="L25" s="1">
        <v>1.448</v>
      </c>
      <c r="M25" s="1">
        <v>1.772</v>
      </c>
      <c r="N25" s="1">
        <v>2.1560000000000001</v>
      </c>
      <c r="O25" s="1">
        <v>6.3007499999999999</v>
      </c>
      <c r="P25" s="1">
        <v>5.3057499999999997</v>
      </c>
      <c r="Q25" s="1">
        <v>6.4175000000000004</v>
      </c>
      <c r="R25" s="1">
        <v>0.85797365289344951</v>
      </c>
      <c r="S25" s="1">
        <v>0.79933165380293447</v>
      </c>
      <c r="T25" s="1">
        <v>0.70006833504540389</v>
      </c>
      <c r="U25" s="2">
        <v>22.41</v>
      </c>
      <c r="V25" s="2">
        <v>19.114000000000001</v>
      </c>
      <c r="W25" s="2">
        <v>26.298999999999999</v>
      </c>
      <c r="X25" s="1">
        <v>0.72399999999999998</v>
      </c>
      <c r="Y25" s="1">
        <v>0.88600000000000001</v>
      </c>
      <c r="Z25" s="1">
        <v>1.0780000000000001</v>
      </c>
      <c r="AA25" s="2">
        <v>463.7</v>
      </c>
      <c r="AB25" s="2">
        <v>160.4</v>
      </c>
      <c r="AC25" s="2">
        <v>199520</v>
      </c>
      <c r="AD25" s="2">
        <v>26.8</v>
      </c>
      <c r="AE25" s="4" t="s">
        <v>866</v>
      </c>
      <c r="AF25" s="4">
        <v>1.19</v>
      </c>
      <c r="AH25" s="14" t="s">
        <v>927</v>
      </c>
      <c r="AI25" s="13" t="s">
        <v>924</v>
      </c>
      <c r="AJ25" s="14" t="s">
        <v>882</v>
      </c>
      <c r="AK25" t="s">
        <v>968</v>
      </c>
      <c r="AL25" s="20" t="s">
        <v>1098</v>
      </c>
    </row>
    <row r="26" spans="1:38" x14ac:dyDescent="0.25">
      <c r="A26" s="14" t="s">
        <v>79</v>
      </c>
      <c r="B26" s="14" t="s">
        <v>84</v>
      </c>
      <c r="C26" s="14" t="s">
        <v>85</v>
      </c>
      <c r="D26" t="s">
        <v>1569</v>
      </c>
      <c r="E26" t="s">
        <v>1569</v>
      </c>
      <c r="F26" s="1">
        <v>6.2249999999999996</v>
      </c>
      <c r="G26" s="1">
        <v>3.415</v>
      </c>
      <c r="H26" s="1">
        <v>5.4349999999999996</v>
      </c>
      <c r="I26" s="1">
        <v>2.82</v>
      </c>
      <c r="J26" s="1">
        <v>5.86</v>
      </c>
      <c r="K26" s="1">
        <v>3.3050000000000002</v>
      </c>
      <c r="L26" s="1">
        <v>0.94</v>
      </c>
      <c r="M26" s="1">
        <v>1.1100000000000001</v>
      </c>
      <c r="N26" s="1">
        <v>1.3</v>
      </c>
      <c r="O26" s="1">
        <v>4.82</v>
      </c>
      <c r="P26" s="1">
        <v>4.1274999999999995</v>
      </c>
      <c r="Q26" s="1">
        <v>4.5825000000000005</v>
      </c>
      <c r="R26" s="1">
        <v>0.8360886370262256</v>
      </c>
      <c r="S26" s="1">
        <v>0.85485968627844766</v>
      </c>
      <c r="T26" s="1">
        <v>0.82577944973952311</v>
      </c>
      <c r="U26" s="2">
        <v>18.119999999999997</v>
      </c>
      <c r="V26" s="2">
        <v>15.44</v>
      </c>
      <c r="W26" s="2">
        <v>19.45</v>
      </c>
      <c r="X26" s="1">
        <v>0.47</v>
      </c>
      <c r="Y26" s="1">
        <v>0.55500000000000005</v>
      </c>
      <c r="Z26" s="1">
        <v>0.65</v>
      </c>
      <c r="AA26" s="2">
        <v>276.8</v>
      </c>
      <c r="AB26" s="2">
        <v>104.3</v>
      </c>
      <c r="AC26" s="2">
        <v>31600</v>
      </c>
      <c r="AD26" s="2" t="s">
        <v>40</v>
      </c>
      <c r="AE26" s="4" t="s">
        <v>866</v>
      </c>
      <c r="AF26" s="4">
        <v>1.19</v>
      </c>
      <c r="AH26" s="13" t="s">
        <v>925</v>
      </c>
      <c r="AI26" s="13" t="s">
        <v>924</v>
      </c>
      <c r="AJ26" s="14" t="s">
        <v>882</v>
      </c>
      <c r="AK26" s="4" t="s">
        <v>40</v>
      </c>
      <c r="AL26" s="20" t="s">
        <v>1098</v>
      </c>
    </row>
    <row r="27" spans="1:38" x14ac:dyDescent="0.25">
      <c r="A27" s="14" t="s">
        <v>79</v>
      </c>
      <c r="B27" s="14" t="s">
        <v>86</v>
      </c>
      <c r="C27" s="14" t="s">
        <v>87</v>
      </c>
      <c r="D27" t="s">
        <v>1569</v>
      </c>
      <c r="E27" t="s">
        <v>1569</v>
      </c>
      <c r="F27" s="1">
        <v>7.2640000000000002</v>
      </c>
      <c r="G27" s="1">
        <v>4.2060000000000004</v>
      </c>
      <c r="H27" s="1">
        <v>6.2089999999999996</v>
      </c>
      <c r="I27" s="1">
        <v>3.2069999999999999</v>
      </c>
      <c r="J27" s="1">
        <v>7.165</v>
      </c>
      <c r="K27" s="1">
        <v>3.9009999999999998</v>
      </c>
      <c r="L27" s="1">
        <v>1.07</v>
      </c>
      <c r="M27" s="1">
        <v>1.2509999999999999</v>
      </c>
      <c r="N27" s="1">
        <v>1.1950000000000001</v>
      </c>
      <c r="O27" s="1">
        <v>5.7350000000000003</v>
      </c>
      <c r="P27" s="1">
        <v>4.7080000000000002</v>
      </c>
      <c r="Q27" s="1">
        <v>5.5329999999999995</v>
      </c>
      <c r="R27" s="1">
        <v>0.81531346343592337</v>
      </c>
      <c r="S27" s="1">
        <v>0.85628218585013793</v>
      </c>
      <c r="T27" s="1">
        <v>0.8387918716170546</v>
      </c>
      <c r="U27" s="2">
        <v>20.507999999999999</v>
      </c>
      <c r="V27" s="2">
        <v>17.683</v>
      </c>
      <c r="W27" s="2">
        <v>23.286000000000001</v>
      </c>
      <c r="X27" s="1">
        <v>0.53500000000000003</v>
      </c>
      <c r="Y27" s="1">
        <v>0.62549999999999994</v>
      </c>
      <c r="Z27" s="1">
        <v>0.59750000000000003</v>
      </c>
      <c r="AA27" s="2">
        <v>560</v>
      </c>
      <c r="AB27" s="2">
        <v>157.69999999999999</v>
      </c>
      <c r="AC27" s="2">
        <v>126000</v>
      </c>
      <c r="AD27" s="2">
        <v>24</v>
      </c>
      <c r="AE27" s="4" t="s">
        <v>866</v>
      </c>
      <c r="AF27" s="4">
        <v>1.19</v>
      </c>
      <c r="AH27" s="13" t="s">
        <v>925</v>
      </c>
      <c r="AI27" s="13" t="s">
        <v>924</v>
      </c>
      <c r="AJ27" s="14" t="s">
        <v>882</v>
      </c>
      <c r="AK27" t="s">
        <v>967</v>
      </c>
      <c r="AL27" s="20" t="s">
        <v>1098</v>
      </c>
    </row>
    <row r="28" spans="1:38" x14ac:dyDescent="0.25">
      <c r="A28" s="14" t="s">
        <v>79</v>
      </c>
      <c r="B28" s="14" t="s">
        <v>88</v>
      </c>
      <c r="C28" s="14" t="s">
        <v>89</v>
      </c>
      <c r="D28" t="s">
        <v>1569</v>
      </c>
      <c r="E28" t="s">
        <v>1569</v>
      </c>
      <c r="F28" s="1">
        <v>7.2154999999999996</v>
      </c>
      <c r="G28" s="1">
        <v>4.0759999999999996</v>
      </c>
      <c r="H28" s="1">
        <v>5.8570000000000002</v>
      </c>
      <c r="I28" s="1">
        <v>3.4929999999999999</v>
      </c>
      <c r="J28" s="1">
        <v>6.8719999999999999</v>
      </c>
      <c r="K28" s="1">
        <v>4.6180000000000003</v>
      </c>
      <c r="L28" s="1">
        <v>1.4219999999999999</v>
      </c>
      <c r="M28" s="1">
        <v>1.7909999999999999</v>
      </c>
      <c r="N28" s="1">
        <v>1.6990000000000001</v>
      </c>
      <c r="O28" s="1">
        <v>5.6457499999999996</v>
      </c>
      <c r="P28" s="1">
        <v>4.6749999999999998</v>
      </c>
      <c r="Q28" s="1">
        <v>5.7450000000000001</v>
      </c>
      <c r="R28" s="1">
        <v>0.82516278334112914</v>
      </c>
      <c r="S28" s="1">
        <v>0.80270194908574355</v>
      </c>
      <c r="T28" s="1">
        <v>0.74054903333577826</v>
      </c>
      <c r="U28" s="2">
        <v>21.341999999999999</v>
      </c>
      <c r="V28" s="2">
        <v>18.689</v>
      </c>
      <c r="W28" s="2">
        <v>23.715</v>
      </c>
      <c r="X28" s="1">
        <v>0.71099999999999997</v>
      </c>
      <c r="Y28" s="1">
        <v>0.89549999999999996</v>
      </c>
      <c r="Z28" s="1">
        <v>0.84950000000000003</v>
      </c>
      <c r="AA28" s="2">
        <v>416.14</v>
      </c>
      <c r="AB28" s="2">
        <v>160.30000000000001</v>
      </c>
      <c r="AC28" s="2">
        <v>316277</v>
      </c>
      <c r="AD28" s="2" t="s">
        <v>40</v>
      </c>
      <c r="AE28" s="4" t="s">
        <v>866</v>
      </c>
      <c r="AF28" s="4">
        <v>1.19</v>
      </c>
      <c r="AH28" s="13" t="s">
        <v>925</v>
      </c>
      <c r="AI28" s="13" t="s">
        <v>924</v>
      </c>
      <c r="AJ28" s="14" t="s">
        <v>882</v>
      </c>
      <c r="AK28" s="4" t="s">
        <v>40</v>
      </c>
      <c r="AL28" s="20" t="s">
        <v>1098</v>
      </c>
    </row>
    <row r="29" spans="1:38" x14ac:dyDescent="0.25">
      <c r="A29" s="14" t="s">
        <v>90</v>
      </c>
      <c r="B29" s="14" t="s">
        <v>91</v>
      </c>
      <c r="C29" s="14" t="s">
        <v>1190</v>
      </c>
      <c r="D29" t="s">
        <v>1570</v>
      </c>
      <c r="E29" t="s">
        <v>1576</v>
      </c>
      <c r="F29" s="1">
        <v>6.9775</v>
      </c>
      <c r="G29" s="1">
        <v>3.8264999999999998</v>
      </c>
      <c r="H29" s="1">
        <v>4.2385000000000002</v>
      </c>
      <c r="I29" s="1">
        <v>2.9180000000000001</v>
      </c>
      <c r="J29" s="1">
        <v>3.7250000000000001</v>
      </c>
      <c r="K29" s="1">
        <v>2.9024999999999999</v>
      </c>
      <c r="L29" s="1">
        <v>0.81940000000000013</v>
      </c>
      <c r="M29" s="1">
        <v>0.89119999999999988</v>
      </c>
      <c r="N29" s="1">
        <v>0.89860000000000007</v>
      </c>
      <c r="O29" s="1">
        <f>(F29+G29)/2</f>
        <v>5.4020000000000001</v>
      </c>
      <c r="P29" s="1">
        <f>(H29+I29)/2</f>
        <v>3.5782500000000002</v>
      </c>
      <c r="Q29" s="1">
        <f>(J29+K29)/2</f>
        <v>3.3137499999999998</v>
      </c>
      <c r="R29" s="1">
        <f>(1-((MIN(F29:G29)/MAX(F29:G29))^2))^0.5</f>
        <v>0.83621247869240178</v>
      </c>
      <c r="S29" s="1">
        <f>(1-((MIN(H29:I29)/MAX(H29:I29))^2))^0.5</f>
        <v>0.72528275782577478</v>
      </c>
      <c r="T29" s="1">
        <f>(1-((MIN(J29:K29)/MAX(J29:K29))^2))^0.5</f>
        <v>0.62678204123881431</v>
      </c>
      <c r="U29" s="2">
        <v>27.309000000000001</v>
      </c>
      <c r="V29" s="2">
        <v>17.533000000000001</v>
      </c>
      <c r="W29" s="2">
        <v>14.734</v>
      </c>
      <c r="X29" s="1">
        <v>0.40970000000000006</v>
      </c>
      <c r="Y29" s="1">
        <v>0.44559999999999994</v>
      </c>
      <c r="Z29" s="1">
        <v>0.44930000000000003</v>
      </c>
      <c r="AA29" s="2">
        <v>186.5</v>
      </c>
      <c r="AB29" s="2">
        <v>83.2</v>
      </c>
      <c r="AC29" s="2">
        <v>110000</v>
      </c>
      <c r="AD29" s="2">
        <v>38.700000000000003</v>
      </c>
      <c r="AE29" s="4" t="s">
        <v>868</v>
      </c>
      <c r="AF29" s="4">
        <v>1.91</v>
      </c>
      <c r="AH29" s="13" t="s">
        <v>928</v>
      </c>
      <c r="AI29" s="13" t="s">
        <v>924</v>
      </c>
      <c r="AJ29" s="14" t="s">
        <v>883</v>
      </c>
      <c r="AK29" t="s">
        <v>969</v>
      </c>
      <c r="AL29" s="20" t="s">
        <v>1098</v>
      </c>
    </row>
    <row r="30" spans="1:38" x14ac:dyDescent="0.25">
      <c r="A30" s="14" t="s">
        <v>92</v>
      </c>
      <c r="B30" s="14" t="s">
        <v>93</v>
      </c>
      <c r="C30" s="14" t="s">
        <v>94</v>
      </c>
      <c r="D30" t="s">
        <v>1570</v>
      </c>
      <c r="E30" t="s">
        <v>1576</v>
      </c>
      <c r="F30" s="1">
        <v>3.01</v>
      </c>
      <c r="G30" s="1">
        <v>1.5</v>
      </c>
      <c r="H30" s="1">
        <v>2.3849999999999998</v>
      </c>
      <c r="I30" s="1">
        <v>1.62</v>
      </c>
      <c r="J30" s="1">
        <v>2.2749999999999999</v>
      </c>
      <c r="K30" s="1">
        <v>2.23</v>
      </c>
      <c r="L30" s="1">
        <v>0.51</v>
      </c>
      <c r="M30" s="1">
        <v>0.45</v>
      </c>
      <c r="N30" s="1">
        <v>0.47</v>
      </c>
      <c r="O30" s="1">
        <v>2.2549999999999999</v>
      </c>
      <c r="P30" s="1">
        <v>2.0024999999999999</v>
      </c>
      <c r="Q30" s="1">
        <v>2.2524999999999999</v>
      </c>
      <c r="R30" s="1">
        <v>0.86698233558513993</v>
      </c>
      <c r="S30" s="1">
        <v>0.73391133353874427</v>
      </c>
      <c r="T30" s="1">
        <v>0.19791205740400364</v>
      </c>
      <c r="U30" s="2">
        <v>10.59</v>
      </c>
      <c r="V30" s="2">
        <v>8.16</v>
      </c>
      <c r="W30" s="2">
        <v>8.9400000000000013</v>
      </c>
      <c r="X30" s="1">
        <v>0.255</v>
      </c>
      <c r="Y30" s="1">
        <v>0.22500000000000001</v>
      </c>
      <c r="Z30" s="1">
        <v>0.23499999999999999</v>
      </c>
      <c r="AA30" s="2">
        <v>150</v>
      </c>
      <c r="AB30" s="2">
        <v>36</v>
      </c>
      <c r="AC30" s="2">
        <v>3250</v>
      </c>
      <c r="AD30" s="2">
        <v>39</v>
      </c>
      <c r="AE30" s="4" t="s">
        <v>868</v>
      </c>
      <c r="AF30" s="4">
        <v>1.91</v>
      </c>
      <c r="AH30" s="13" t="s">
        <v>923</v>
      </c>
      <c r="AI30" s="13" t="s">
        <v>923</v>
      </c>
      <c r="AJ30" s="14" t="s">
        <v>884</v>
      </c>
      <c r="AK30" t="s">
        <v>969</v>
      </c>
      <c r="AL30" s="20" t="s">
        <v>1098</v>
      </c>
    </row>
    <row r="31" spans="1:38" x14ac:dyDescent="0.25">
      <c r="A31" s="14" t="s">
        <v>95</v>
      </c>
      <c r="B31" s="14" t="s">
        <v>96</v>
      </c>
      <c r="C31" s="14" t="s">
        <v>97</v>
      </c>
      <c r="D31" t="s">
        <v>1570</v>
      </c>
      <c r="E31" t="s">
        <v>1576</v>
      </c>
      <c r="F31" s="1">
        <v>5.66</v>
      </c>
      <c r="G31" s="1">
        <v>3.29</v>
      </c>
      <c r="H31" s="1">
        <v>3.85</v>
      </c>
      <c r="I31" s="1">
        <v>2.78</v>
      </c>
      <c r="J31" s="1">
        <v>3.63</v>
      </c>
      <c r="K31" s="1">
        <v>3</v>
      </c>
      <c r="L31" s="1">
        <v>0.78</v>
      </c>
      <c r="M31" s="1">
        <v>0.85</v>
      </c>
      <c r="N31" s="1">
        <v>0.76</v>
      </c>
      <c r="O31" s="1">
        <v>4.4749999999999996</v>
      </c>
      <c r="P31" s="1">
        <v>3.3149999999999999</v>
      </c>
      <c r="Q31" s="1">
        <v>3.3149999999999999</v>
      </c>
      <c r="R31" s="1">
        <v>0.81370926222188777</v>
      </c>
      <c r="S31" s="1">
        <v>0.69181173338389568</v>
      </c>
      <c r="T31" s="1">
        <v>0.56301558116532557</v>
      </c>
      <c r="U31" s="2">
        <v>19.899999999999999</v>
      </c>
      <c r="V31" s="2">
        <v>12.5</v>
      </c>
      <c r="W31" s="2">
        <v>15.3</v>
      </c>
      <c r="X31" s="1">
        <v>0.39</v>
      </c>
      <c r="Y31" s="1">
        <v>0.42499999999999999</v>
      </c>
      <c r="Z31" s="1">
        <v>0.38</v>
      </c>
      <c r="AA31" s="2">
        <v>153.4</v>
      </c>
      <c r="AB31" s="2">
        <v>75.3</v>
      </c>
      <c r="AC31" s="2">
        <v>38000</v>
      </c>
      <c r="AD31" s="2">
        <v>39</v>
      </c>
      <c r="AE31" s="4" t="s">
        <v>868</v>
      </c>
      <c r="AF31" s="4">
        <v>1.91</v>
      </c>
      <c r="AH31" s="13" t="s">
        <v>925</v>
      </c>
      <c r="AI31" s="13" t="s">
        <v>924</v>
      </c>
      <c r="AJ31" s="14" t="s">
        <v>885</v>
      </c>
      <c r="AK31" t="s">
        <v>969</v>
      </c>
      <c r="AL31" s="20" t="s">
        <v>1098</v>
      </c>
    </row>
    <row r="32" spans="1:38" x14ac:dyDescent="0.25">
      <c r="A32" s="14" t="s">
        <v>98</v>
      </c>
      <c r="B32" s="14" t="s">
        <v>99</v>
      </c>
      <c r="C32" s="14" t="s">
        <v>100</v>
      </c>
      <c r="D32" t="s">
        <v>1570</v>
      </c>
      <c r="E32" t="s">
        <v>1576</v>
      </c>
      <c r="F32" s="1">
        <v>8.1199999999999992</v>
      </c>
      <c r="G32" s="1">
        <v>3.98</v>
      </c>
      <c r="H32" s="1">
        <v>4.92</v>
      </c>
      <c r="I32" s="1">
        <v>3.34</v>
      </c>
      <c r="J32" s="1">
        <v>4.8600000000000003</v>
      </c>
      <c r="K32" s="1">
        <v>3.48</v>
      </c>
      <c r="L32" s="1">
        <v>0.89</v>
      </c>
      <c r="M32" s="1">
        <v>0.98</v>
      </c>
      <c r="N32" s="1">
        <v>0.88</v>
      </c>
      <c r="O32" s="1">
        <v>6.05</v>
      </c>
      <c r="P32" s="1">
        <v>4.13</v>
      </c>
      <c r="Q32" s="1">
        <v>4.17</v>
      </c>
      <c r="R32" s="1">
        <v>0.87163934661871689</v>
      </c>
      <c r="S32" s="1">
        <v>0.73426607708277281</v>
      </c>
      <c r="T32" s="1">
        <v>0.69804962682603355</v>
      </c>
      <c r="U32" s="2">
        <v>27.8</v>
      </c>
      <c r="V32" s="2">
        <v>17.399999999999999</v>
      </c>
      <c r="W32" s="2">
        <v>20.9</v>
      </c>
      <c r="X32" s="1">
        <v>0.44500000000000001</v>
      </c>
      <c r="Y32" s="1">
        <v>0.49</v>
      </c>
      <c r="Z32" s="1">
        <v>0.44</v>
      </c>
      <c r="AA32" s="2">
        <v>187.5</v>
      </c>
      <c r="AB32" s="2">
        <v>89.9</v>
      </c>
      <c r="AC32" s="2">
        <v>44000</v>
      </c>
      <c r="AD32" s="2">
        <v>39</v>
      </c>
      <c r="AE32" s="4" t="s">
        <v>868</v>
      </c>
      <c r="AF32" s="4">
        <v>1.91</v>
      </c>
      <c r="AH32" s="13" t="s">
        <v>923</v>
      </c>
      <c r="AI32" s="13" t="s">
        <v>924</v>
      </c>
      <c r="AJ32" s="14" t="s">
        <v>886</v>
      </c>
      <c r="AK32" t="s">
        <v>969</v>
      </c>
      <c r="AL32" s="20" t="s">
        <v>1098</v>
      </c>
    </row>
    <row r="33" spans="1:38" x14ac:dyDescent="0.25">
      <c r="A33" s="14" t="s">
        <v>101</v>
      </c>
      <c r="B33" s="14" t="s">
        <v>102</v>
      </c>
      <c r="C33" s="14" t="s">
        <v>103</v>
      </c>
      <c r="D33" t="s">
        <v>1570</v>
      </c>
      <c r="E33" t="s">
        <v>1576</v>
      </c>
      <c r="F33" s="1">
        <v>3.08</v>
      </c>
      <c r="G33" s="1">
        <v>2.12</v>
      </c>
      <c r="H33" s="1">
        <v>2.37</v>
      </c>
      <c r="I33" s="1">
        <v>1.915</v>
      </c>
      <c r="J33" s="1">
        <v>2.73</v>
      </c>
      <c r="K33" s="1">
        <v>1.9350000000000001</v>
      </c>
      <c r="L33" s="1">
        <v>0.52</v>
      </c>
      <c r="M33" s="1">
        <v>0.52</v>
      </c>
      <c r="N33" s="1">
        <v>0.57999999999999996</v>
      </c>
      <c r="O33" s="1">
        <v>2.6</v>
      </c>
      <c r="P33" s="1">
        <v>2.1425000000000001</v>
      </c>
      <c r="Q33" s="1">
        <v>2.3325</v>
      </c>
      <c r="R33" s="1">
        <v>0.72541506720877613</v>
      </c>
      <c r="S33" s="1">
        <v>0.58915933791593422</v>
      </c>
      <c r="T33" s="1">
        <v>0.70541833144616883</v>
      </c>
      <c r="U33" s="2">
        <v>13.31</v>
      </c>
      <c r="V33" s="2">
        <v>9.7899999999999974</v>
      </c>
      <c r="W33" s="2">
        <v>12.499999999999996</v>
      </c>
      <c r="X33" s="1">
        <v>0.26</v>
      </c>
      <c r="Y33" s="1">
        <v>0.26</v>
      </c>
      <c r="Z33" s="1">
        <v>0.28999999999999998</v>
      </c>
      <c r="AA33" s="2">
        <v>68</v>
      </c>
      <c r="AB33" s="2">
        <v>28.6</v>
      </c>
      <c r="AC33" s="2">
        <v>980</v>
      </c>
      <c r="AD33" s="2">
        <v>40.03</v>
      </c>
      <c r="AE33" s="4" t="s">
        <v>868</v>
      </c>
      <c r="AF33" s="4">
        <v>1.91</v>
      </c>
      <c r="AH33" s="13" t="s">
        <v>923</v>
      </c>
      <c r="AI33" s="13" t="s">
        <v>924</v>
      </c>
      <c r="AJ33" s="14" t="s">
        <v>954</v>
      </c>
      <c r="AK33" t="s">
        <v>970</v>
      </c>
      <c r="AL33" s="20" t="s">
        <v>1098</v>
      </c>
    </row>
    <row r="34" spans="1:38" x14ac:dyDescent="0.25">
      <c r="A34" s="14" t="s">
        <v>104</v>
      </c>
      <c r="B34" s="14" t="s">
        <v>105</v>
      </c>
      <c r="C34" s="14" t="s">
        <v>1191</v>
      </c>
      <c r="D34" t="s">
        <v>1570</v>
      </c>
      <c r="E34" t="s">
        <v>1577</v>
      </c>
      <c r="F34" s="1">
        <v>4.7699999999999996</v>
      </c>
      <c r="G34" s="1">
        <v>2.88</v>
      </c>
      <c r="H34" s="1">
        <v>3.25</v>
      </c>
      <c r="I34" s="1">
        <v>2.35</v>
      </c>
      <c r="J34" s="1">
        <v>3.81</v>
      </c>
      <c r="K34" s="1">
        <v>2.65</v>
      </c>
      <c r="L34" s="1">
        <v>0.64</v>
      </c>
      <c r="M34" s="1">
        <v>0.72</v>
      </c>
      <c r="N34" s="1">
        <v>0.72</v>
      </c>
      <c r="O34" s="1">
        <v>3.8249999999999997</v>
      </c>
      <c r="P34" s="1">
        <v>2.8</v>
      </c>
      <c r="Q34" s="1">
        <v>3.23</v>
      </c>
      <c r="R34" s="1">
        <v>0.79715585563311731</v>
      </c>
      <c r="S34" s="1">
        <v>0.69076751755826615</v>
      </c>
      <c r="T34" s="1">
        <v>0.71848925547387155</v>
      </c>
      <c r="U34" s="2">
        <v>20.5</v>
      </c>
      <c r="V34" s="2">
        <v>12.9</v>
      </c>
      <c r="W34" s="2">
        <v>16.2</v>
      </c>
      <c r="X34" s="1">
        <v>0.32</v>
      </c>
      <c r="Y34" s="1">
        <v>0.36</v>
      </c>
      <c r="Z34" s="1">
        <v>0.36</v>
      </c>
      <c r="AA34" s="2">
        <v>97.1</v>
      </c>
      <c r="AB34" s="2">
        <v>56.2</v>
      </c>
      <c r="AC34" s="2">
        <v>10890</v>
      </c>
      <c r="AD34" s="2">
        <v>41.2</v>
      </c>
      <c r="AE34" s="4" t="s">
        <v>868</v>
      </c>
      <c r="AF34" s="4">
        <v>1.91</v>
      </c>
      <c r="AH34" s="13" t="s">
        <v>925</v>
      </c>
      <c r="AI34" s="13" t="s">
        <v>924</v>
      </c>
      <c r="AJ34" s="14" t="s">
        <v>887</v>
      </c>
      <c r="AK34" t="s">
        <v>969</v>
      </c>
      <c r="AL34" s="20" t="s">
        <v>1098</v>
      </c>
    </row>
    <row r="35" spans="1:38" x14ac:dyDescent="0.25">
      <c r="A35" s="14" t="s">
        <v>106</v>
      </c>
      <c r="B35" s="14" t="s">
        <v>107</v>
      </c>
      <c r="C35" s="14" t="s">
        <v>108</v>
      </c>
      <c r="D35" t="s">
        <v>1570</v>
      </c>
      <c r="E35" t="s">
        <v>1577</v>
      </c>
      <c r="F35" s="1">
        <v>3.8250000000000002</v>
      </c>
      <c r="G35" s="1">
        <v>2.27</v>
      </c>
      <c r="H35" s="1">
        <v>2.6749999999999998</v>
      </c>
      <c r="I35" s="1">
        <v>2.0350000000000001</v>
      </c>
      <c r="J35" s="1">
        <v>2.96</v>
      </c>
      <c r="K35" s="1">
        <v>2.15</v>
      </c>
      <c r="L35" s="1">
        <v>0.5</v>
      </c>
      <c r="M35" s="1">
        <v>0.46</v>
      </c>
      <c r="N35" s="1">
        <v>0.56000000000000005</v>
      </c>
      <c r="O35" s="1">
        <v>3.0475000000000003</v>
      </c>
      <c r="P35" s="1">
        <v>2.355</v>
      </c>
      <c r="Q35" s="1">
        <v>2.5549999999999997</v>
      </c>
      <c r="R35" s="1">
        <v>0.80486049638580381</v>
      </c>
      <c r="S35" s="1">
        <v>0.64904775818200222</v>
      </c>
      <c r="T35" s="1">
        <v>0.68732358783186376</v>
      </c>
      <c r="U35" s="2">
        <v>16.25</v>
      </c>
      <c r="V35" s="2">
        <v>11.04</v>
      </c>
      <c r="W35" s="2">
        <v>13.490000000000002</v>
      </c>
      <c r="X35" s="1">
        <v>0.25</v>
      </c>
      <c r="Y35" s="1">
        <v>0.23</v>
      </c>
      <c r="Z35" s="1">
        <v>0.28000000000000003</v>
      </c>
      <c r="AA35" s="2">
        <v>81</v>
      </c>
      <c r="AB35" s="2">
        <v>45.1</v>
      </c>
      <c r="AC35" s="2">
        <v>1000</v>
      </c>
      <c r="AD35" s="2">
        <v>41.5</v>
      </c>
      <c r="AE35" s="4" t="s">
        <v>868</v>
      </c>
      <c r="AF35" s="4">
        <v>1.91</v>
      </c>
      <c r="AH35" s="13" t="s">
        <v>925</v>
      </c>
      <c r="AI35" s="13" t="s">
        <v>924</v>
      </c>
      <c r="AJ35" s="14" t="s">
        <v>954</v>
      </c>
      <c r="AK35" t="s">
        <v>969</v>
      </c>
      <c r="AL35" s="20" t="s">
        <v>1098</v>
      </c>
    </row>
    <row r="36" spans="1:38" x14ac:dyDescent="0.25">
      <c r="A36" s="14" t="s">
        <v>109</v>
      </c>
      <c r="B36" s="14" t="s">
        <v>110</v>
      </c>
      <c r="C36" s="14" t="s">
        <v>111</v>
      </c>
      <c r="D36" t="s">
        <v>1570</v>
      </c>
      <c r="E36" t="s">
        <v>1577</v>
      </c>
      <c r="F36" s="1">
        <v>3.28</v>
      </c>
      <c r="G36" s="1">
        <v>2.39</v>
      </c>
      <c r="H36" s="1">
        <v>2.69</v>
      </c>
      <c r="I36" s="1">
        <v>1.83</v>
      </c>
      <c r="J36" s="1">
        <v>2.78</v>
      </c>
      <c r="K36" s="1">
        <v>1.875</v>
      </c>
      <c r="L36" s="1">
        <v>0.56000000000000005</v>
      </c>
      <c r="M36" s="1">
        <v>0.57999999999999996</v>
      </c>
      <c r="N36" s="1">
        <v>0.66</v>
      </c>
      <c r="O36" s="1">
        <v>2.835</v>
      </c>
      <c r="P36" s="1">
        <v>2.2599999999999998</v>
      </c>
      <c r="Q36" s="1">
        <v>2.3274999999999997</v>
      </c>
      <c r="R36" s="1">
        <v>0.6848771693240131</v>
      </c>
      <c r="S36" s="1">
        <v>0.73293618452633646</v>
      </c>
      <c r="T36" s="1">
        <v>0.73831099553791535</v>
      </c>
      <c r="U36" s="2">
        <v>14.76</v>
      </c>
      <c r="V36" s="2">
        <v>11.020000000000001</v>
      </c>
      <c r="W36" s="2">
        <v>12.639999999999997</v>
      </c>
      <c r="X36" s="1">
        <v>0.28000000000000003</v>
      </c>
      <c r="Y36" s="1">
        <v>0.28999999999999998</v>
      </c>
      <c r="Z36" s="1">
        <v>0.33</v>
      </c>
      <c r="AA36" s="2">
        <v>72</v>
      </c>
      <c r="AB36" s="2">
        <v>42.4</v>
      </c>
      <c r="AC36" s="2">
        <v>1222</v>
      </c>
      <c r="AD36" s="2" t="s">
        <v>40</v>
      </c>
      <c r="AE36" s="4" t="s">
        <v>868</v>
      </c>
      <c r="AF36" s="4">
        <v>1.91</v>
      </c>
      <c r="AH36" s="13" t="s">
        <v>925</v>
      </c>
      <c r="AI36" s="13" t="s">
        <v>924</v>
      </c>
      <c r="AJ36" s="14" t="s">
        <v>954</v>
      </c>
      <c r="AK36" s="4" t="s">
        <v>40</v>
      </c>
      <c r="AL36" s="20" t="s">
        <v>1098</v>
      </c>
    </row>
    <row r="37" spans="1:38" x14ac:dyDescent="0.25">
      <c r="A37" s="14" t="s">
        <v>112</v>
      </c>
      <c r="B37" s="14" t="s">
        <v>113</v>
      </c>
      <c r="C37" s="14" t="s">
        <v>114</v>
      </c>
      <c r="D37" t="s">
        <v>1570</v>
      </c>
      <c r="E37" t="s">
        <v>1577</v>
      </c>
      <c r="F37" s="1">
        <v>2.89</v>
      </c>
      <c r="G37" s="1">
        <v>2.1</v>
      </c>
      <c r="H37" s="1">
        <v>2.3250000000000002</v>
      </c>
      <c r="I37" s="1">
        <v>1.885</v>
      </c>
      <c r="J37" s="1">
        <v>2.54</v>
      </c>
      <c r="K37" s="1">
        <v>1.9450000000000001</v>
      </c>
      <c r="L37" s="1">
        <v>0.48</v>
      </c>
      <c r="M37" s="1">
        <v>0.45</v>
      </c>
      <c r="N37" s="1">
        <v>0.53</v>
      </c>
      <c r="O37" s="1">
        <v>2.4950000000000001</v>
      </c>
      <c r="P37" s="1">
        <v>2.105</v>
      </c>
      <c r="Q37" s="1">
        <v>2.2425000000000002</v>
      </c>
      <c r="R37" s="1">
        <v>0.68701461453924706</v>
      </c>
      <c r="S37" s="1">
        <v>0.58538882686792559</v>
      </c>
      <c r="T37" s="1">
        <v>0.64314069398530871</v>
      </c>
      <c r="U37" s="2">
        <v>12.45</v>
      </c>
      <c r="V37" s="2">
        <v>9.5399999999999991</v>
      </c>
      <c r="W37" s="2">
        <v>11.32</v>
      </c>
      <c r="X37" s="1">
        <v>0.24</v>
      </c>
      <c r="Y37" s="1">
        <v>0.22500000000000001</v>
      </c>
      <c r="Z37" s="1">
        <v>0.26500000000000001</v>
      </c>
      <c r="AA37" s="2">
        <v>74</v>
      </c>
      <c r="AB37" s="2">
        <v>44.7</v>
      </c>
      <c r="AC37" s="2">
        <v>1000</v>
      </c>
      <c r="AD37" s="2">
        <v>41.8</v>
      </c>
      <c r="AE37" s="4" t="s">
        <v>868</v>
      </c>
      <c r="AF37" s="4">
        <v>1.91</v>
      </c>
      <c r="AH37" s="13" t="s">
        <v>925</v>
      </c>
      <c r="AI37" s="13" t="s">
        <v>924</v>
      </c>
      <c r="AJ37" s="14" t="s">
        <v>888</v>
      </c>
      <c r="AK37" t="s">
        <v>971</v>
      </c>
      <c r="AL37" s="20" t="s">
        <v>1098</v>
      </c>
    </row>
    <row r="38" spans="1:38" x14ac:dyDescent="0.25">
      <c r="A38" s="14" t="s">
        <v>115</v>
      </c>
      <c r="B38" s="14" t="s">
        <v>116</v>
      </c>
      <c r="C38" s="14" t="s">
        <v>117</v>
      </c>
      <c r="D38" t="s">
        <v>1570</v>
      </c>
      <c r="E38" t="s">
        <v>1577</v>
      </c>
      <c r="F38" s="1">
        <v>2.0350000000000001</v>
      </c>
      <c r="G38" s="1">
        <v>1.49</v>
      </c>
      <c r="H38" s="1">
        <v>1.73</v>
      </c>
      <c r="I38" s="1">
        <v>1.3</v>
      </c>
      <c r="J38" s="1">
        <v>2.0049999999999999</v>
      </c>
      <c r="K38" s="1">
        <v>1.2549999999999999</v>
      </c>
      <c r="L38" s="1">
        <v>0.43</v>
      </c>
      <c r="M38" s="1">
        <v>0.38</v>
      </c>
      <c r="N38" s="1">
        <v>0.47</v>
      </c>
      <c r="O38" s="1">
        <v>1.7625000000000002</v>
      </c>
      <c r="P38" s="1">
        <v>1.5150000000000001</v>
      </c>
      <c r="Q38" s="1">
        <v>1.63</v>
      </c>
      <c r="R38" s="1">
        <v>0.68110394890186521</v>
      </c>
      <c r="S38" s="1">
        <v>0.65979563628945814</v>
      </c>
      <c r="T38" s="1">
        <v>0.77987510080358557</v>
      </c>
      <c r="U38" s="2">
        <v>9.17</v>
      </c>
      <c r="V38" s="2">
        <v>7.32</v>
      </c>
      <c r="W38" s="2">
        <v>8.9400000000000013</v>
      </c>
      <c r="X38" s="1">
        <v>0.215</v>
      </c>
      <c r="Y38" s="1">
        <v>0.19</v>
      </c>
      <c r="Z38" s="1">
        <v>0.23499999999999999</v>
      </c>
      <c r="AA38" s="2">
        <v>48</v>
      </c>
      <c r="AB38" s="2">
        <v>28.5</v>
      </c>
      <c r="AC38" s="2">
        <v>112.5</v>
      </c>
      <c r="AD38" s="2">
        <v>42</v>
      </c>
      <c r="AE38" s="4" t="s">
        <v>868</v>
      </c>
      <c r="AF38" s="4">
        <v>1.91</v>
      </c>
      <c r="AH38" s="13" t="s">
        <v>925</v>
      </c>
      <c r="AI38" s="13" t="s">
        <v>924</v>
      </c>
      <c r="AJ38" s="14" t="s">
        <v>889</v>
      </c>
      <c r="AK38" t="s">
        <v>972</v>
      </c>
      <c r="AL38" s="20" t="s">
        <v>1098</v>
      </c>
    </row>
    <row r="39" spans="1:38" x14ac:dyDescent="0.25">
      <c r="A39" s="14" t="s">
        <v>118</v>
      </c>
      <c r="B39" s="14" t="s">
        <v>119</v>
      </c>
      <c r="C39" s="14" t="s">
        <v>120</v>
      </c>
      <c r="D39" t="s">
        <v>1570</v>
      </c>
      <c r="E39" t="s">
        <v>1577</v>
      </c>
      <c r="F39" s="1">
        <v>4.7394999999999996</v>
      </c>
      <c r="G39" s="1">
        <v>2.4550000000000001</v>
      </c>
      <c r="H39" s="1">
        <v>2.92</v>
      </c>
      <c r="I39" s="1">
        <v>2.9140000000000001</v>
      </c>
      <c r="J39" s="1">
        <v>3.0585</v>
      </c>
      <c r="K39" s="1">
        <v>3.0190000000000001</v>
      </c>
      <c r="L39" s="1">
        <v>0.82199999999999995</v>
      </c>
      <c r="M39" s="1">
        <v>0.85299999999999998</v>
      </c>
      <c r="N39" s="1">
        <v>0.93200000000000005</v>
      </c>
      <c r="O39" s="1">
        <v>3.5972499999999998</v>
      </c>
      <c r="P39" s="1">
        <v>2.9169999999999998</v>
      </c>
      <c r="Q39" s="1">
        <v>3.0387500000000003</v>
      </c>
      <c r="R39" s="1">
        <v>0.85538841103344931</v>
      </c>
      <c r="S39" s="1">
        <v>6.4073136809228923E-2</v>
      </c>
      <c r="T39" s="1">
        <v>0.16019632420734342</v>
      </c>
      <c r="U39" s="2">
        <v>15.634</v>
      </c>
      <c r="V39" s="2">
        <v>11.818</v>
      </c>
      <c r="W39" s="2">
        <v>12.784000000000001</v>
      </c>
      <c r="X39" s="1">
        <v>0.41099999999999998</v>
      </c>
      <c r="Y39" s="1">
        <v>0.42649999999999999</v>
      </c>
      <c r="Z39" s="1">
        <v>0.46600000000000003</v>
      </c>
      <c r="AA39" s="2">
        <v>178</v>
      </c>
      <c r="AB39" s="2">
        <v>56.4</v>
      </c>
      <c r="AC39" s="2">
        <v>10950</v>
      </c>
      <c r="AD39" s="2">
        <v>40.1</v>
      </c>
      <c r="AE39" s="4" t="s">
        <v>868</v>
      </c>
      <c r="AF39" s="4">
        <v>1.91</v>
      </c>
      <c r="AH39" s="13" t="s">
        <v>925</v>
      </c>
      <c r="AI39" s="13" t="s">
        <v>924</v>
      </c>
      <c r="AJ39" s="14" t="s">
        <v>890</v>
      </c>
      <c r="AK39" t="s">
        <v>973</v>
      </c>
      <c r="AL39" s="20" t="s">
        <v>1098</v>
      </c>
    </row>
    <row r="40" spans="1:38" x14ac:dyDescent="0.25">
      <c r="A40" s="14" t="s">
        <v>121</v>
      </c>
      <c r="B40" s="14" t="s">
        <v>122</v>
      </c>
      <c r="C40" s="14" t="s">
        <v>1259</v>
      </c>
      <c r="D40" t="s">
        <v>1570</v>
      </c>
      <c r="E40" t="s">
        <v>1577</v>
      </c>
      <c r="F40" s="1">
        <v>2.77</v>
      </c>
      <c r="G40" s="1">
        <v>1.45</v>
      </c>
      <c r="H40" s="1">
        <v>2.2400000000000002</v>
      </c>
      <c r="I40" s="1">
        <v>1.36</v>
      </c>
      <c r="J40" s="1">
        <v>2.2000000000000002</v>
      </c>
      <c r="K40" s="1">
        <v>1.63</v>
      </c>
      <c r="L40" s="1">
        <v>0.49</v>
      </c>
      <c r="M40" s="1">
        <v>0.61</v>
      </c>
      <c r="N40" s="1">
        <v>0.49</v>
      </c>
      <c r="O40" s="1">
        <v>2.11</v>
      </c>
      <c r="P40" s="1">
        <v>1.8000000000000003</v>
      </c>
      <c r="Q40" s="1">
        <v>1.915</v>
      </c>
      <c r="R40" s="1">
        <v>0.85204674564604777</v>
      </c>
      <c r="S40" s="1">
        <v>0.79459269504596397</v>
      </c>
      <c r="T40" s="1">
        <v>0.67160532979441467</v>
      </c>
      <c r="U40" s="2">
        <v>9.8000000000000007</v>
      </c>
      <c r="V40" s="2">
        <v>8.9</v>
      </c>
      <c r="W40" s="2">
        <v>9.1</v>
      </c>
      <c r="X40" s="1">
        <v>0.245</v>
      </c>
      <c r="Y40" s="1">
        <v>0.30499999999999999</v>
      </c>
      <c r="Z40" s="1">
        <v>0.245</v>
      </c>
      <c r="AA40" s="2">
        <v>104</v>
      </c>
      <c r="AB40" s="2">
        <v>45.8</v>
      </c>
      <c r="AC40" s="2">
        <v>965</v>
      </c>
      <c r="AD40" s="2" t="s">
        <v>40</v>
      </c>
      <c r="AE40" s="4" t="s">
        <v>868</v>
      </c>
      <c r="AF40" s="4">
        <v>1.91</v>
      </c>
      <c r="AH40" s="13" t="s">
        <v>929</v>
      </c>
      <c r="AI40" s="13" t="s">
        <v>929</v>
      </c>
      <c r="AJ40" s="14" t="s">
        <v>1099</v>
      </c>
      <c r="AK40" s="4" t="s">
        <v>40</v>
      </c>
      <c r="AL40" s="20" t="s">
        <v>1098</v>
      </c>
    </row>
    <row r="41" spans="1:38" x14ac:dyDescent="0.25">
      <c r="A41" s="14" t="s">
        <v>123</v>
      </c>
      <c r="B41" s="14" t="s">
        <v>124</v>
      </c>
      <c r="C41" s="14" t="s">
        <v>125</v>
      </c>
      <c r="D41" t="s">
        <v>1570</v>
      </c>
      <c r="E41" t="s">
        <v>1577</v>
      </c>
      <c r="F41" s="1">
        <v>3.7749999999999999</v>
      </c>
      <c r="G41" s="1">
        <v>1.895</v>
      </c>
      <c r="H41" s="1">
        <v>2.95</v>
      </c>
      <c r="I41" s="1">
        <v>2.0699999999999998</v>
      </c>
      <c r="J41" s="1">
        <v>3.0649999999999999</v>
      </c>
      <c r="K41" s="1">
        <v>2.0750000000000002</v>
      </c>
      <c r="L41" s="1">
        <v>0.67</v>
      </c>
      <c r="M41" s="1">
        <v>0.63</v>
      </c>
      <c r="N41" s="1">
        <v>0.62</v>
      </c>
      <c r="O41" s="1">
        <v>2.835</v>
      </c>
      <c r="P41" s="1">
        <v>2.5099999999999998</v>
      </c>
      <c r="Q41" s="1">
        <v>2.5700000000000003</v>
      </c>
      <c r="R41" s="1">
        <v>0.86487530768187282</v>
      </c>
      <c r="S41" s="1">
        <v>0.71247754063293034</v>
      </c>
      <c r="T41" s="1">
        <v>0.73598451668936227</v>
      </c>
      <c r="U41" s="2">
        <v>14.100000000000003</v>
      </c>
      <c r="V41" s="2">
        <v>12.230000000000002</v>
      </c>
      <c r="W41" s="2">
        <v>11.77</v>
      </c>
      <c r="X41" s="1">
        <v>0.33500000000000002</v>
      </c>
      <c r="Y41" s="1">
        <v>0.315</v>
      </c>
      <c r="Z41" s="1">
        <v>0.31</v>
      </c>
      <c r="AA41" s="2">
        <v>123</v>
      </c>
      <c r="AB41" s="2">
        <v>50.7</v>
      </c>
      <c r="AC41" s="2">
        <v>3450</v>
      </c>
      <c r="AD41" s="2" t="s">
        <v>40</v>
      </c>
      <c r="AE41" s="4" t="s">
        <v>868</v>
      </c>
      <c r="AF41" s="4">
        <v>1.91</v>
      </c>
      <c r="AH41" s="13" t="s">
        <v>923</v>
      </c>
      <c r="AI41" s="13" t="s">
        <v>924</v>
      </c>
      <c r="AJ41" s="14" t="s">
        <v>954</v>
      </c>
      <c r="AK41" s="4" t="s">
        <v>40</v>
      </c>
      <c r="AL41" s="20" t="s">
        <v>1098</v>
      </c>
    </row>
    <row r="42" spans="1:38" x14ac:dyDescent="0.25">
      <c r="A42" s="14" t="s">
        <v>126</v>
      </c>
      <c r="B42" s="14" t="s">
        <v>127</v>
      </c>
      <c r="C42" s="14" t="s">
        <v>128</v>
      </c>
      <c r="D42" t="s">
        <v>1570</v>
      </c>
      <c r="E42" t="s">
        <v>1577</v>
      </c>
      <c r="F42" s="1">
        <v>3.02</v>
      </c>
      <c r="G42" s="1">
        <v>1.35</v>
      </c>
      <c r="H42" s="1">
        <v>2.29</v>
      </c>
      <c r="I42" s="1">
        <v>1.4</v>
      </c>
      <c r="J42" s="1">
        <v>2.39</v>
      </c>
      <c r="K42" s="1">
        <v>1.55</v>
      </c>
      <c r="L42" s="1">
        <v>0.51</v>
      </c>
      <c r="M42" s="1">
        <v>0.48</v>
      </c>
      <c r="N42" s="1">
        <v>0.5</v>
      </c>
      <c r="O42" s="1">
        <v>2.1850000000000001</v>
      </c>
      <c r="P42" s="1">
        <v>1.845</v>
      </c>
      <c r="Q42" s="1">
        <v>1.9700000000000002</v>
      </c>
      <c r="R42" s="1">
        <v>0.89452402875265258</v>
      </c>
      <c r="S42" s="1">
        <v>0.79135746605444313</v>
      </c>
      <c r="T42" s="1">
        <v>0.76118435422706798</v>
      </c>
      <c r="U42" s="2">
        <v>11</v>
      </c>
      <c r="V42" s="2">
        <v>7.9</v>
      </c>
      <c r="W42" s="2">
        <v>8.1999999999999993</v>
      </c>
      <c r="X42" s="1">
        <v>0.255</v>
      </c>
      <c r="Y42" s="1">
        <v>0.24</v>
      </c>
      <c r="Z42" s="1">
        <v>0.25</v>
      </c>
      <c r="AA42" s="2">
        <v>90</v>
      </c>
      <c r="AB42" s="2">
        <v>35.700000000000003</v>
      </c>
      <c r="AC42" s="2">
        <v>940</v>
      </c>
      <c r="AD42" s="2">
        <v>41.3</v>
      </c>
      <c r="AE42" s="4" t="s">
        <v>868</v>
      </c>
      <c r="AF42" s="4">
        <v>1.91</v>
      </c>
      <c r="AH42" s="13" t="s">
        <v>923</v>
      </c>
      <c r="AI42" s="13" t="s">
        <v>924</v>
      </c>
      <c r="AJ42" s="14" t="s">
        <v>954</v>
      </c>
      <c r="AK42" t="s">
        <v>979</v>
      </c>
      <c r="AL42" s="20" t="s">
        <v>1098</v>
      </c>
    </row>
    <row r="43" spans="1:38" x14ac:dyDescent="0.25">
      <c r="A43" s="14" t="s">
        <v>129</v>
      </c>
      <c r="B43" s="14" t="s">
        <v>130</v>
      </c>
      <c r="C43" s="14" t="s">
        <v>1192</v>
      </c>
      <c r="D43" t="s">
        <v>1570</v>
      </c>
      <c r="E43" t="s">
        <v>1578</v>
      </c>
      <c r="F43" s="1">
        <v>2.2934999999999999</v>
      </c>
      <c r="G43" s="1">
        <v>1.3205</v>
      </c>
      <c r="H43" s="1">
        <v>1.85</v>
      </c>
      <c r="I43" s="1">
        <v>1.41</v>
      </c>
      <c r="J43" s="1">
        <v>2.11</v>
      </c>
      <c r="K43" s="1">
        <v>1.47</v>
      </c>
      <c r="L43" s="1">
        <v>0.53</v>
      </c>
      <c r="M43" s="1">
        <v>0.56000000000000005</v>
      </c>
      <c r="N43" s="1">
        <v>0.56000000000000005</v>
      </c>
      <c r="O43" s="1">
        <v>1.8069999999999999</v>
      </c>
      <c r="P43" s="1">
        <v>1.63</v>
      </c>
      <c r="Q43" s="1">
        <v>1.79</v>
      </c>
      <c r="R43" s="1">
        <v>0.81762045837769948</v>
      </c>
      <c r="S43" s="1">
        <v>0.64738615877102146</v>
      </c>
      <c r="T43" s="1">
        <v>0.71737963709666352</v>
      </c>
      <c r="U43" s="2">
        <v>8.9</v>
      </c>
      <c r="V43" s="2">
        <v>7.5</v>
      </c>
      <c r="W43" s="2">
        <v>10</v>
      </c>
      <c r="X43" s="1">
        <v>0.26500000000000001</v>
      </c>
      <c r="Y43" s="1">
        <v>0.28000000000000003</v>
      </c>
      <c r="Z43" s="1">
        <v>0.28000000000000003</v>
      </c>
      <c r="AA43" s="2">
        <v>27.4</v>
      </c>
      <c r="AB43" s="2">
        <v>17.8</v>
      </c>
      <c r="AC43" s="2">
        <v>54</v>
      </c>
      <c r="AD43" s="2" t="s">
        <v>40</v>
      </c>
      <c r="AE43" s="4" t="s">
        <v>868</v>
      </c>
      <c r="AF43" s="4">
        <v>1.91</v>
      </c>
      <c r="AH43" s="13" t="s">
        <v>929</v>
      </c>
      <c r="AI43" s="13" t="s">
        <v>924</v>
      </c>
      <c r="AJ43" t="s">
        <v>891</v>
      </c>
      <c r="AK43" s="4" t="s">
        <v>40</v>
      </c>
      <c r="AL43" s="20" t="s">
        <v>1098</v>
      </c>
    </row>
    <row r="44" spans="1:38" x14ac:dyDescent="0.25">
      <c r="A44" s="14" t="s">
        <v>131</v>
      </c>
      <c r="B44" s="14" t="s">
        <v>132</v>
      </c>
      <c r="C44" s="14" t="s">
        <v>133</v>
      </c>
      <c r="D44" t="s">
        <v>1570</v>
      </c>
      <c r="E44" t="s">
        <v>1578</v>
      </c>
      <c r="F44" s="1">
        <v>1.1100000000000001</v>
      </c>
      <c r="G44" s="1">
        <v>0.71499999999999997</v>
      </c>
      <c r="H44" s="1">
        <v>0.96499999999999997</v>
      </c>
      <c r="I44" s="1">
        <v>0.71</v>
      </c>
      <c r="J44" s="1">
        <v>1.0449999999999999</v>
      </c>
      <c r="K44" s="1">
        <v>0.71499999999999997</v>
      </c>
      <c r="L44" s="1">
        <v>0.24</v>
      </c>
      <c r="M44" s="1">
        <v>0.22</v>
      </c>
      <c r="N44" s="1">
        <v>0.23</v>
      </c>
      <c r="O44" s="1">
        <v>0.91250000000000009</v>
      </c>
      <c r="P44" s="1">
        <v>0.83749999999999991</v>
      </c>
      <c r="Q44" s="1">
        <v>0.87999999999999989</v>
      </c>
      <c r="R44" s="1">
        <v>0.7649041257339434</v>
      </c>
      <c r="S44" s="1">
        <v>0.67725182274412477</v>
      </c>
      <c r="T44" s="1">
        <v>0.72928455055531682</v>
      </c>
      <c r="U44" s="2">
        <v>5.08</v>
      </c>
      <c r="V44" s="2">
        <v>4.080000000000001</v>
      </c>
      <c r="W44" s="2">
        <v>4.75</v>
      </c>
      <c r="X44" s="1">
        <v>0.12</v>
      </c>
      <c r="Y44" s="1">
        <v>0.11</v>
      </c>
      <c r="Z44" s="1">
        <v>0.115</v>
      </c>
      <c r="AA44" s="2">
        <v>29</v>
      </c>
      <c r="AB44" s="2">
        <v>8.4</v>
      </c>
      <c r="AC44" s="2">
        <v>3.4</v>
      </c>
      <c r="AD44" s="2">
        <v>39</v>
      </c>
      <c r="AE44" s="4" t="s">
        <v>868</v>
      </c>
      <c r="AF44" s="4">
        <v>1.91</v>
      </c>
      <c r="AH44" s="13" t="s">
        <v>929</v>
      </c>
      <c r="AI44" s="13" t="s">
        <v>924</v>
      </c>
      <c r="AK44" t="s">
        <v>974</v>
      </c>
      <c r="AL44" s="20" t="s">
        <v>1098</v>
      </c>
    </row>
    <row r="45" spans="1:38" x14ac:dyDescent="0.25">
      <c r="A45" s="14" t="s">
        <v>134</v>
      </c>
      <c r="B45" s="14" t="s">
        <v>135</v>
      </c>
      <c r="C45" s="14" t="s">
        <v>136</v>
      </c>
      <c r="D45" t="s">
        <v>1570</v>
      </c>
      <c r="E45" t="s">
        <v>1578</v>
      </c>
      <c r="F45" s="1">
        <v>1.2050000000000001</v>
      </c>
      <c r="G45" s="1">
        <v>0.78500000000000003</v>
      </c>
      <c r="H45" s="1">
        <v>1.115</v>
      </c>
      <c r="I45" s="1">
        <v>0.71</v>
      </c>
      <c r="J45" s="1">
        <v>1.06</v>
      </c>
      <c r="K45" s="1">
        <v>0.9</v>
      </c>
      <c r="L45" s="1">
        <v>0.19</v>
      </c>
      <c r="M45" s="1">
        <v>0.16</v>
      </c>
      <c r="N45" s="1">
        <v>0.19</v>
      </c>
      <c r="O45" s="1">
        <v>0.99500000000000011</v>
      </c>
      <c r="P45" s="1">
        <v>0.91249999999999998</v>
      </c>
      <c r="Q45" s="1">
        <v>0.98</v>
      </c>
      <c r="R45" s="1">
        <v>0.75868960983498068</v>
      </c>
      <c r="S45" s="1">
        <v>0.77105272901742239</v>
      </c>
      <c r="T45" s="1">
        <v>0.52830188679245271</v>
      </c>
      <c r="U45" s="2">
        <v>5.7600000000000007</v>
      </c>
      <c r="V45" s="2">
        <v>4.4999999999999991</v>
      </c>
      <c r="W45" s="2">
        <v>5.17</v>
      </c>
      <c r="X45" s="1">
        <v>9.5000000000000001E-2</v>
      </c>
      <c r="Y45" s="1">
        <v>0.08</v>
      </c>
      <c r="Z45" s="1">
        <v>9.5000000000000001E-2</v>
      </c>
      <c r="AA45" s="2">
        <v>29.37</v>
      </c>
      <c r="AB45" s="2">
        <v>8.9</v>
      </c>
      <c r="AC45" s="2">
        <v>4.3</v>
      </c>
      <c r="AD45" s="2">
        <v>39.6</v>
      </c>
      <c r="AE45" s="4" t="s">
        <v>868</v>
      </c>
      <c r="AF45" s="4">
        <v>1.91</v>
      </c>
      <c r="AH45" s="13" t="s">
        <v>923</v>
      </c>
      <c r="AI45" s="13" t="s">
        <v>923</v>
      </c>
      <c r="AJ45" s="14" t="s">
        <v>892</v>
      </c>
      <c r="AK45" t="s">
        <v>969</v>
      </c>
      <c r="AL45" s="20" t="s">
        <v>1098</v>
      </c>
    </row>
    <row r="46" spans="1:38" x14ac:dyDescent="0.25">
      <c r="A46" s="14" t="s">
        <v>137</v>
      </c>
      <c r="B46" s="14" t="s">
        <v>138</v>
      </c>
      <c r="C46" s="14" t="s">
        <v>139</v>
      </c>
      <c r="D46" t="s">
        <v>1570</v>
      </c>
      <c r="E46" t="s">
        <v>1578</v>
      </c>
      <c r="F46" s="1">
        <v>3.5150000000000001</v>
      </c>
      <c r="G46" s="1">
        <v>2.19</v>
      </c>
      <c r="H46" s="1">
        <v>2.54</v>
      </c>
      <c r="I46" s="1">
        <v>2.0049999999999999</v>
      </c>
      <c r="J46" s="1">
        <v>2.6949999999999998</v>
      </c>
      <c r="K46" s="1">
        <v>1.875</v>
      </c>
      <c r="L46" s="1">
        <v>0.56999999999999995</v>
      </c>
      <c r="M46" s="1">
        <v>0.62</v>
      </c>
      <c r="N46" s="1">
        <v>0.67</v>
      </c>
      <c r="O46" s="1">
        <v>2.8525</v>
      </c>
      <c r="P46" s="1">
        <v>2.2725</v>
      </c>
      <c r="Q46" s="1">
        <v>2.2850000000000001</v>
      </c>
      <c r="R46" s="1">
        <v>0.78218671270484252</v>
      </c>
      <c r="S46" s="1">
        <v>0.61391764821493577</v>
      </c>
      <c r="T46" s="1">
        <v>0.71830064548733819</v>
      </c>
      <c r="U46" s="2">
        <v>15.010000000000002</v>
      </c>
      <c r="V46" s="2">
        <v>10.430000000000001</v>
      </c>
      <c r="W46" s="2">
        <v>10.299999999999999</v>
      </c>
      <c r="X46" s="1">
        <v>0.28499999999999998</v>
      </c>
      <c r="Y46" s="1">
        <v>0.31</v>
      </c>
      <c r="Z46" s="1">
        <v>0.33500000000000002</v>
      </c>
      <c r="AA46" s="2">
        <v>64</v>
      </c>
      <c r="AB46" s="2">
        <v>37.1</v>
      </c>
      <c r="AC46" s="2">
        <v>490</v>
      </c>
      <c r="AD46" s="2">
        <v>39.299999999999997</v>
      </c>
      <c r="AE46" s="4" t="s">
        <v>868</v>
      </c>
      <c r="AF46" s="4">
        <v>1.91</v>
      </c>
      <c r="AH46" s="13" t="s">
        <v>923</v>
      </c>
      <c r="AI46" s="13" t="s">
        <v>924</v>
      </c>
      <c r="AJ46" s="14" t="s">
        <v>954</v>
      </c>
      <c r="AK46" t="s">
        <v>975</v>
      </c>
      <c r="AL46" s="20" t="s">
        <v>1098</v>
      </c>
    </row>
    <row r="47" spans="1:38" x14ac:dyDescent="0.25">
      <c r="A47" s="14" t="s">
        <v>140</v>
      </c>
      <c r="B47" s="14" t="s">
        <v>141</v>
      </c>
      <c r="C47" s="14" t="s">
        <v>142</v>
      </c>
      <c r="D47" t="s">
        <v>1570</v>
      </c>
      <c r="E47" t="s">
        <v>1578</v>
      </c>
      <c r="F47" s="1">
        <v>4.21</v>
      </c>
      <c r="G47" s="1">
        <v>3.05</v>
      </c>
      <c r="H47" s="1">
        <v>3.06</v>
      </c>
      <c r="I47" s="1">
        <v>2.5099999999999998</v>
      </c>
      <c r="J47" s="1">
        <v>3.375</v>
      </c>
      <c r="K47" s="1">
        <v>2.29</v>
      </c>
      <c r="L47" s="1">
        <v>0.59</v>
      </c>
      <c r="M47" s="1">
        <v>0.55000000000000004</v>
      </c>
      <c r="N47" s="1">
        <v>0.56000000000000005</v>
      </c>
      <c r="O47" s="1">
        <v>3.63</v>
      </c>
      <c r="P47" s="1">
        <v>2.7850000000000001</v>
      </c>
      <c r="Q47" s="1">
        <v>2.8325</v>
      </c>
      <c r="R47" s="1">
        <v>0.68931100019478442</v>
      </c>
      <c r="S47" s="1">
        <v>0.57198878789735519</v>
      </c>
      <c r="T47" s="1">
        <v>0.73458329686117618</v>
      </c>
      <c r="U47" s="2">
        <v>19.429999999999996</v>
      </c>
      <c r="V47" s="2">
        <v>13.290000000000001</v>
      </c>
      <c r="W47" s="2">
        <v>14.849999999999998</v>
      </c>
      <c r="X47" s="1">
        <v>0.29499999999999998</v>
      </c>
      <c r="Y47" s="1">
        <v>0.27500000000000002</v>
      </c>
      <c r="Z47" s="1">
        <v>0.28000000000000003</v>
      </c>
      <c r="AA47" s="2">
        <v>78</v>
      </c>
      <c r="AB47" s="2">
        <v>42.6</v>
      </c>
      <c r="AC47" s="2">
        <v>350</v>
      </c>
      <c r="AD47" s="2">
        <v>37.799999999999997</v>
      </c>
      <c r="AE47" s="4" t="s">
        <v>868</v>
      </c>
      <c r="AF47" s="4">
        <v>1.91</v>
      </c>
      <c r="AH47" s="13" t="s">
        <v>923</v>
      </c>
      <c r="AI47" s="13" t="s">
        <v>924</v>
      </c>
      <c r="AJ47" s="14" t="s">
        <v>888</v>
      </c>
      <c r="AK47" t="s">
        <v>976</v>
      </c>
      <c r="AL47" s="20" t="s">
        <v>1098</v>
      </c>
    </row>
    <row r="48" spans="1:38" x14ac:dyDescent="0.25">
      <c r="A48" s="14" t="s">
        <v>143</v>
      </c>
      <c r="B48" s="14" t="s">
        <v>144</v>
      </c>
      <c r="C48" s="14" t="s">
        <v>145</v>
      </c>
      <c r="D48" t="s">
        <v>1570</v>
      </c>
      <c r="E48" t="s">
        <v>1578</v>
      </c>
      <c r="F48" s="1">
        <v>2.57</v>
      </c>
      <c r="G48" s="1">
        <v>1.5049999999999999</v>
      </c>
      <c r="H48" s="1">
        <v>1.9</v>
      </c>
      <c r="I48" s="1">
        <v>1.335</v>
      </c>
      <c r="J48" s="1">
        <v>2.2450000000000001</v>
      </c>
      <c r="K48" s="1">
        <v>1.405</v>
      </c>
      <c r="L48" s="1">
        <v>0.65</v>
      </c>
      <c r="M48" s="1">
        <v>0.61</v>
      </c>
      <c r="N48" s="1">
        <v>0.73</v>
      </c>
      <c r="O48" s="1">
        <v>2.0374999999999996</v>
      </c>
      <c r="P48" s="1">
        <v>1.6174999999999999</v>
      </c>
      <c r="Q48" s="1">
        <v>1.8250000000000002</v>
      </c>
      <c r="R48" s="1">
        <v>0.81059792390034857</v>
      </c>
      <c r="S48" s="1">
        <v>0.71155383792509197</v>
      </c>
      <c r="T48" s="1">
        <v>0.77995532937588563</v>
      </c>
      <c r="U48" s="2">
        <v>10.67</v>
      </c>
      <c r="V48" s="2">
        <v>7.67</v>
      </c>
      <c r="W48" s="2">
        <v>10.28</v>
      </c>
      <c r="X48" s="1">
        <v>0.32500000000000001</v>
      </c>
      <c r="Y48" s="1">
        <v>0.30499999999999999</v>
      </c>
      <c r="Z48" s="1">
        <v>0.36499999999999999</v>
      </c>
      <c r="AA48" s="2">
        <v>40</v>
      </c>
      <c r="AB48" s="2">
        <v>20.399999999999999</v>
      </c>
      <c r="AC48" s="2">
        <v>71</v>
      </c>
      <c r="AD48" s="2">
        <v>40.799999999999997</v>
      </c>
      <c r="AE48" s="4" t="s">
        <v>868</v>
      </c>
      <c r="AF48" s="4">
        <v>1.91</v>
      </c>
      <c r="AH48" s="13" t="s">
        <v>923</v>
      </c>
      <c r="AI48" s="13" t="s">
        <v>924</v>
      </c>
      <c r="AJ48" s="14" t="s">
        <v>893</v>
      </c>
      <c r="AK48" t="s">
        <v>977</v>
      </c>
      <c r="AL48" s="20" t="s">
        <v>1098</v>
      </c>
    </row>
    <row r="49" spans="1:38" x14ac:dyDescent="0.25">
      <c r="A49" s="14" t="s">
        <v>146</v>
      </c>
      <c r="B49" s="14" t="s">
        <v>147</v>
      </c>
      <c r="C49" s="14" t="s">
        <v>1193</v>
      </c>
      <c r="D49" t="s">
        <v>1570</v>
      </c>
      <c r="E49" t="s">
        <v>1578</v>
      </c>
      <c r="F49" s="1">
        <v>3.47</v>
      </c>
      <c r="G49" s="1">
        <v>2.31</v>
      </c>
      <c r="H49" s="1">
        <v>2.4</v>
      </c>
      <c r="I49" s="1">
        <v>1.73</v>
      </c>
      <c r="J49" s="1">
        <v>2.83</v>
      </c>
      <c r="K49" s="1">
        <v>1.59</v>
      </c>
      <c r="L49" s="1">
        <v>0.55000000000000004</v>
      </c>
      <c r="M49" s="1">
        <v>0.61</v>
      </c>
      <c r="N49" s="1">
        <v>0.61</v>
      </c>
      <c r="O49" s="1">
        <v>2.89</v>
      </c>
      <c r="P49" s="1">
        <v>2.0649999999999999</v>
      </c>
      <c r="Q49" s="1">
        <v>2.21</v>
      </c>
      <c r="R49" s="1">
        <v>0.74621407953709762</v>
      </c>
      <c r="S49" s="1">
        <v>0.69310843708293979</v>
      </c>
      <c r="T49" s="1">
        <v>0.82724764927199157</v>
      </c>
      <c r="U49" s="2">
        <v>16</v>
      </c>
      <c r="V49" s="2">
        <v>9.9</v>
      </c>
      <c r="W49" s="2">
        <v>12.3</v>
      </c>
      <c r="X49" s="1">
        <v>0.27500000000000002</v>
      </c>
      <c r="Y49" s="1">
        <v>0.30499999999999999</v>
      </c>
      <c r="Z49" s="1">
        <v>0.30499999999999999</v>
      </c>
      <c r="AA49" s="2">
        <v>56</v>
      </c>
      <c r="AB49" s="2">
        <v>28.5</v>
      </c>
      <c r="AC49" s="2">
        <v>500</v>
      </c>
      <c r="AD49" s="2">
        <v>42.2</v>
      </c>
      <c r="AE49" s="4" t="s">
        <v>868</v>
      </c>
      <c r="AF49" s="4">
        <v>1.91</v>
      </c>
      <c r="AH49" s="13" t="s">
        <v>929</v>
      </c>
      <c r="AI49" s="13" t="s">
        <v>924</v>
      </c>
      <c r="AJ49" s="14" t="s">
        <v>891</v>
      </c>
      <c r="AK49" t="s">
        <v>969</v>
      </c>
      <c r="AL49" s="20" t="s">
        <v>1098</v>
      </c>
    </row>
    <row r="50" spans="1:38" x14ac:dyDescent="0.25">
      <c r="A50" s="14" t="s">
        <v>148</v>
      </c>
      <c r="B50" s="14" t="s">
        <v>149</v>
      </c>
      <c r="C50" s="14" t="s">
        <v>150</v>
      </c>
      <c r="D50" t="s">
        <v>1570</v>
      </c>
      <c r="E50" t="s">
        <v>1578</v>
      </c>
      <c r="F50" s="1">
        <v>2.875</v>
      </c>
      <c r="G50" s="1">
        <v>2.415</v>
      </c>
      <c r="H50" s="1">
        <v>2.5350000000000001</v>
      </c>
      <c r="I50" s="1">
        <v>1.865</v>
      </c>
      <c r="J50" s="1">
        <v>2.95</v>
      </c>
      <c r="K50" s="1">
        <v>1.97</v>
      </c>
      <c r="L50" s="1">
        <v>0.55000000000000004</v>
      </c>
      <c r="M50" s="1">
        <v>0.64</v>
      </c>
      <c r="N50" s="1">
        <v>0.64</v>
      </c>
      <c r="O50" s="1">
        <v>2.645</v>
      </c>
      <c r="P50" s="1">
        <v>2.2000000000000002</v>
      </c>
      <c r="Q50" s="1">
        <v>2.46</v>
      </c>
      <c r="R50" s="1">
        <v>0.54258639865002156</v>
      </c>
      <c r="S50" s="1">
        <v>0.67730733037742819</v>
      </c>
      <c r="T50" s="1">
        <v>0.7443437965390296</v>
      </c>
      <c r="U50" s="2">
        <v>14.34</v>
      </c>
      <c r="V50" s="2">
        <v>10.940000000000001</v>
      </c>
      <c r="W50" s="2">
        <v>12.67</v>
      </c>
      <c r="X50" s="1">
        <v>0.27500000000000002</v>
      </c>
      <c r="Y50" s="1">
        <v>0.32</v>
      </c>
      <c r="Z50" s="1">
        <v>0.32</v>
      </c>
      <c r="AA50" s="2">
        <v>45</v>
      </c>
      <c r="AB50" s="2">
        <v>23</v>
      </c>
      <c r="AC50" s="2">
        <v>111.6</v>
      </c>
      <c r="AD50" s="2" t="s">
        <v>40</v>
      </c>
      <c r="AE50" s="4" t="s">
        <v>868</v>
      </c>
      <c r="AF50" s="4">
        <v>1.91</v>
      </c>
      <c r="AH50" s="13" t="s">
        <v>923</v>
      </c>
      <c r="AI50" s="13" t="s">
        <v>924</v>
      </c>
      <c r="AJ50" s="14" t="s">
        <v>894</v>
      </c>
      <c r="AK50" s="4" t="s">
        <v>40</v>
      </c>
      <c r="AL50" s="20" t="s">
        <v>1098</v>
      </c>
    </row>
    <row r="51" spans="1:38" x14ac:dyDescent="0.25">
      <c r="A51" s="14" t="s">
        <v>151</v>
      </c>
      <c r="B51" s="14" t="s">
        <v>152</v>
      </c>
      <c r="C51" s="14" t="s">
        <v>111</v>
      </c>
      <c r="D51" t="s">
        <v>1570</v>
      </c>
      <c r="E51" t="s">
        <v>1578</v>
      </c>
      <c r="F51" s="1">
        <v>4.2050000000000001</v>
      </c>
      <c r="G51" s="1">
        <v>2.5499999999999998</v>
      </c>
      <c r="H51" s="1">
        <v>2.9550000000000001</v>
      </c>
      <c r="I51" s="1">
        <v>1.9750000000000001</v>
      </c>
      <c r="J51" s="1">
        <v>2.9</v>
      </c>
      <c r="K51" s="1">
        <v>1.92</v>
      </c>
      <c r="L51" s="1">
        <v>0.6</v>
      </c>
      <c r="M51" s="1">
        <v>0.54</v>
      </c>
      <c r="N51" s="1">
        <v>0.6</v>
      </c>
      <c r="O51" s="1">
        <v>3.3774999999999999</v>
      </c>
      <c r="P51" s="1">
        <v>2.4649999999999999</v>
      </c>
      <c r="Q51" s="1">
        <v>2.41</v>
      </c>
      <c r="R51" s="1">
        <v>0.79514379751696407</v>
      </c>
      <c r="S51" s="1">
        <v>0.74383911524029145</v>
      </c>
      <c r="T51" s="1">
        <v>0.74944291637117355</v>
      </c>
      <c r="U51" s="2">
        <v>17.060000000000002</v>
      </c>
      <c r="V51" s="2">
        <v>11.24</v>
      </c>
      <c r="W51" s="2">
        <v>11.57</v>
      </c>
      <c r="X51" s="1">
        <v>0.3</v>
      </c>
      <c r="Y51" s="1">
        <v>0.27</v>
      </c>
      <c r="Z51" s="1">
        <v>0.3</v>
      </c>
      <c r="AA51" s="2">
        <v>177</v>
      </c>
      <c r="AB51" s="2">
        <v>57.6</v>
      </c>
      <c r="AC51" s="2">
        <v>5468</v>
      </c>
      <c r="AD51" s="2">
        <v>40.799999999999997</v>
      </c>
      <c r="AE51" s="4" t="s">
        <v>868</v>
      </c>
      <c r="AF51" s="4">
        <v>1.91</v>
      </c>
      <c r="AH51" s="13" t="s">
        <v>923</v>
      </c>
      <c r="AI51" s="13" t="s">
        <v>924</v>
      </c>
      <c r="AJ51" t="s">
        <v>891</v>
      </c>
      <c r="AK51" t="s">
        <v>978</v>
      </c>
      <c r="AL51" s="20" t="s">
        <v>1098</v>
      </c>
    </row>
    <row r="52" spans="1:38" x14ac:dyDescent="0.25">
      <c r="A52" s="14" t="s">
        <v>153</v>
      </c>
      <c r="B52" s="14" t="s">
        <v>154</v>
      </c>
      <c r="C52" s="14" t="s">
        <v>155</v>
      </c>
      <c r="D52" t="s">
        <v>1570</v>
      </c>
      <c r="E52" t="s">
        <v>1579</v>
      </c>
      <c r="F52" s="1">
        <v>4.62</v>
      </c>
      <c r="G52" s="1">
        <v>2.33</v>
      </c>
      <c r="H52" s="1">
        <v>3.11</v>
      </c>
      <c r="I52" s="1">
        <v>1.98</v>
      </c>
      <c r="J52" s="1">
        <v>3.05</v>
      </c>
      <c r="K52" s="1">
        <v>1.88</v>
      </c>
      <c r="L52" s="1">
        <v>0.7</v>
      </c>
      <c r="M52" s="1">
        <v>0.78</v>
      </c>
      <c r="N52" s="1">
        <v>0.78</v>
      </c>
      <c r="O52" s="1">
        <v>3.4750000000000001</v>
      </c>
      <c r="P52" s="1">
        <v>2.5449999999999999</v>
      </c>
      <c r="Q52" s="1">
        <v>2.4649999999999999</v>
      </c>
      <c r="R52" s="1">
        <v>0.86351158382068915</v>
      </c>
      <c r="S52" s="1">
        <v>0.77114797748033437</v>
      </c>
      <c r="T52" s="1">
        <v>0.78743833021477116</v>
      </c>
      <c r="U52" s="2">
        <v>17.899999999999999</v>
      </c>
      <c r="V52" s="2">
        <v>12.1</v>
      </c>
      <c r="W52" s="2">
        <v>11.7</v>
      </c>
      <c r="X52" s="1">
        <v>0.35</v>
      </c>
      <c r="Y52" s="1">
        <v>0.39</v>
      </c>
      <c r="Z52" s="1">
        <v>0.39</v>
      </c>
      <c r="AA52" s="2">
        <v>112.7</v>
      </c>
      <c r="AB52" s="2">
        <v>51.3</v>
      </c>
      <c r="AC52" s="2">
        <v>2960</v>
      </c>
      <c r="AD52" s="2">
        <v>40.799999999999997</v>
      </c>
      <c r="AE52" s="4" t="s">
        <v>868</v>
      </c>
      <c r="AF52" s="4">
        <v>1.91</v>
      </c>
      <c r="AH52" s="13" t="s">
        <v>923</v>
      </c>
      <c r="AI52" s="13" t="s">
        <v>924</v>
      </c>
      <c r="AJ52" t="s">
        <v>895</v>
      </c>
      <c r="AK52" t="s">
        <v>980</v>
      </c>
      <c r="AL52" s="20" t="s">
        <v>1098</v>
      </c>
    </row>
    <row r="53" spans="1:38" x14ac:dyDescent="0.25">
      <c r="A53" s="14" t="s">
        <v>156</v>
      </c>
      <c r="B53" s="14" t="s">
        <v>157</v>
      </c>
      <c r="C53" s="14" t="s">
        <v>158</v>
      </c>
      <c r="D53" t="s">
        <v>1570</v>
      </c>
      <c r="E53" t="s">
        <v>1579</v>
      </c>
      <c r="F53" s="1">
        <v>2.0099999999999998</v>
      </c>
      <c r="G53" s="1">
        <v>1.5049999999999999</v>
      </c>
      <c r="H53" s="1">
        <v>1.58</v>
      </c>
      <c r="I53" s="1">
        <v>1.08</v>
      </c>
      <c r="J53" s="1">
        <v>1.41</v>
      </c>
      <c r="K53" s="1">
        <v>1.1100000000000001</v>
      </c>
      <c r="L53" s="1">
        <v>0.31</v>
      </c>
      <c r="M53" s="1">
        <v>0.32</v>
      </c>
      <c r="N53" s="1">
        <v>0.32</v>
      </c>
      <c r="O53" s="1">
        <v>1.7574999999999998</v>
      </c>
      <c r="P53" s="1">
        <v>1.33</v>
      </c>
      <c r="Q53" s="1">
        <v>1.26</v>
      </c>
      <c r="R53" s="1">
        <v>0.66284547569579144</v>
      </c>
      <c r="S53" s="1">
        <v>0.72990902497916421</v>
      </c>
      <c r="T53" s="1">
        <v>0.61665432962508238</v>
      </c>
      <c r="U53" s="2">
        <v>9.3199999999999985</v>
      </c>
      <c r="V53" s="2">
        <v>6.03</v>
      </c>
      <c r="W53" s="2">
        <v>5.7099999999999991</v>
      </c>
      <c r="X53" s="1">
        <v>0.155</v>
      </c>
      <c r="Y53" s="1">
        <v>0.16</v>
      </c>
      <c r="Z53" s="1">
        <v>0.16</v>
      </c>
      <c r="AA53" s="2">
        <v>44</v>
      </c>
      <c r="AB53" s="2">
        <v>31.3</v>
      </c>
      <c r="AC53" s="2">
        <v>62</v>
      </c>
      <c r="AD53" s="2" t="s">
        <v>40</v>
      </c>
      <c r="AE53" s="4" t="s">
        <v>868</v>
      </c>
      <c r="AF53" s="4">
        <v>1.91</v>
      </c>
      <c r="AH53" s="13" t="s">
        <v>929</v>
      </c>
      <c r="AI53" s="13" t="s">
        <v>924</v>
      </c>
      <c r="AJ53" s="14" t="s">
        <v>954</v>
      </c>
      <c r="AK53" s="4" t="s">
        <v>40</v>
      </c>
      <c r="AL53" s="20" t="s">
        <v>1098</v>
      </c>
    </row>
    <row r="54" spans="1:38" x14ac:dyDescent="0.25">
      <c r="A54" s="14" t="s">
        <v>159</v>
      </c>
      <c r="B54" s="14" t="s">
        <v>160</v>
      </c>
      <c r="C54" s="14" t="s">
        <v>161</v>
      </c>
      <c r="D54" t="s">
        <v>1570</v>
      </c>
      <c r="E54" t="s">
        <v>1579</v>
      </c>
      <c r="F54" s="1">
        <v>9.01</v>
      </c>
      <c r="G54" s="1">
        <v>4.99</v>
      </c>
      <c r="H54" s="1">
        <v>5.73</v>
      </c>
      <c r="I54" s="1">
        <v>3.9550000000000001</v>
      </c>
      <c r="J54" s="1">
        <v>4.5750000000000002</v>
      </c>
      <c r="K54" s="1">
        <v>4.1749999999999998</v>
      </c>
      <c r="L54" s="1">
        <v>1.34</v>
      </c>
      <c r="M54" s="1">
        <v>1.45</v>
      </c>
      <c r="N54" s="1">
        <v>1.48</v>
      </c>
      <c r="O54" s="1">
        <v>7</v>
      </c>
      <c r="P54" s="1">
        <v>4.8425000000000002</v>
      </c>
      <c r="Q54" s="1">
        <v>4.375</v>
      </c>
      <c r="R54" s="1">
        <v>0.83263038106597342</v>
      </c>
      <c r="S54" s="1">
        <v>0.72359302064213138</v>
      </c>
      <c r="T54" s="1">
        <v>0.40892430456545831</v>
      </c>
      <c r="U54" s="2">
        <v>34.549999999999997</v>
      </c>
      <c r="V54" s="2">
        <v>23</v>
      </c>
      <c r="W54" s="2">
        <v>19.549999999999997</v>
      </c>
      <c r="X54" s="1">
        <v>0.67</v>
      </c>
      <c r="Y54" s="1">
        <v>0.72499999999999998</v>
      </c>
      <c r="Z54" s="1">
        <v>0.74</v>
      </c>
      <c r="AA54" s="2">
        <v>252</v>
      </c>
      <c r="AB54" s="2">
        <v>78</v>
      </c>
      <c r="AC54" s="2">
        <v>8130</v>
      </c>
      <c r="AD54" s="2">
        <v>39.6</v>
      </c>
      <c r="AE54" s="4" t="s">
        <v>868</v>
      </c>
      <c r="AF54" s="4">
        <v>1.91</v>
      </c>
      <c r="AH54" s="13" t="s">
        <v>923</v>
      </c>
      <c r="AI54" s="13" t="s">
        <v>924</v>
      </c>
      <c r="AJ54" t="s">
        <v>896</v>
      </c>
      <c r="AK54" t="s">
        <v>969</v>
      </c>
      <c r="AL54" s="20" t="s">
        <v>1098</v>
      </c>
    </row>
    <row r="55" spans="1:38" x14ac:dyDescent="0.25">
      <c r="A55" s="14" t="s">
        <v>162</v>
      </c>
      <c r="B55" s="14" t="s">
        <v>163</v>
      </c>
      <c r="C55" s="14" t="s">
        <v>164</v>
      </c>
      <c r="D55" t="s">
        <v>1570</v>
      </c>
      <c r="E55" t="s">
        <v>1579</v>
      </c>
      <c r="F55" s="1">
        <v>4.13</v>
      </c>
      <c r="G55" s="1">
        <v>2.875</v>
      </c>
      <c r="H55" s="1">
        <v>2.8050000000000002</v>
      </c>
      <c r="I55" s="1">
        <v>2.1749999999999998</v>
      </c>
      <c r="J55" s="1">
        <v>2.82</v>
      </c>
      <c r="K55" s="1">
        <v>2.145</v>
      </c>
      <c r="L55" s="1">
        <v>0.6</v>
      </c>
      <c r="M55" s="1">
        <v>0.71</v>
      </c>
      <c r="N55" s="1">
        <v>0.65</v>
      </c>
      <c r="O55" s="1">
        <v>3.5024999999999999</v>
      </c>
      <c r="P55" s="1">
        <v>2.4900000000000002</v>
      </c>
      <c r="Q55" s="1">
        <v>2.4824999999999999</v>
      </c>
      <c r="R55" s="1">
        <v>0.71791971711651703</v>
      </c>
      <c r="S55" s="1">
        <v>0.63146906605884556</v>
      </c>
      <c r="T55" s="1">
        <v>0.64917592362153154</v>
      </c>
      <c r="U55" s="2">
        <v>17.649999999999995</v>
      </c>
      <c r="V55" s="2">
        <v>10.94</v>
      </c>
      <c r="W55" s="2">
        <v>11.62</v>
      </c>
      <c r="X55" s="1">
        <v>0.3</v>
      </c>
      <c r="Y55" s="1">
        <v>0.35499999999999998</v>
      </c>
      <c r="Z55" s="1">
        <v>0.32500000000000001</v>
      </c>
      <c r="AA55" s="2">
        <v>100</v>
      </c>
      <c r="AB55" s="2">
        <v>39.6</v>
      </c>
      <c r="AC55" s="2">
        <v>725</v>
      </c>
      <c r="AD55" s="2">
        <v>38.700000000000003</v>
      </c>
      <c r="AE55" s="4" t="s">
        <v>868</v>
      </c>
      <c r="AF55" s="4">
        <v>1.91</v>
      </c>
      <c r="AH55" s="13" t="s">
        <v>923</v>
      </c>
      <c r="AI55" s="13" t="s">
        <v>924</v>
      </c>
      <c r="AJ55" t="s">
        <v>897</v>
      </c>
      <c r="AK55" t="s">
        <v>981</v>
      </c>
      <c r="AL55" s="20" t="s">
        <v>1098</v>
      </c>
    </row>
    <row r="56" spans="1:38" x14ac:dyDescent="0.25">
      <c r="A56" s="14" t="s">
        <v>165</v>
      </c>
      <c r="B56" s="14" t="s">
        <v>166</v>
      </c>
      <c r="C56" s="14" t="s">
        <v>150</v>
      </c>
      <c r="D56" t="s">
        <v>1570</v>
      </c>
      <c r="E56" t="s">
        <v>1579</v>
      </c>
      <c r="F56" s="1">
        <v>4.7549999999999999</v>
      </c>
      <c r="G56" s="1">
        <v>3.3250000000000002</v>
      </c>
      <c r="H56" s="1">
        <v>3.375</v>
      </c>
      <c r="I56" s="1">
        <v>2.85</v>
      </c>
      <c r="J56" s="1">
        <v>3.6749999999999998</v>
      </c>
      <c r="K56" s="1">
        <v>2.9550000000000001</v>
      </c>
      <c r="L56" s="1">
        <v>0.68</v>
      </c>
      <c r="M56" s="1">
        <v>0.64</v>
      </c>
      <c r="N56" s="1">
        <v>0.71</v>
      </c>
      <c r="O56" s="1">
        <v>4.04</v>
      </c>
      <c r="P56" s="1">
        <v>3.1124999999999998</v>
      </c>
      <c r="Q56" s="1">
        <v>3.3149999999999999</v>
      </c>
      <c r="R56" s="1">
        <v>0.71486359007963707</v>
      </c>
      <c r="S56" s="1">
        <v>0.53564314636417554</v>
      </c>
      <c r="T56" s="1">
        <v>0.5945189046867958</v>
      </c>
      <c r="U56" s="2">
        <v>19</v>
      </c>
      <c r="V56" s="2">
        <v>13.190000000000001</v>
      </c>
      <c r="W56" s="2">
        <v>15.23</v>
      </c>
      <c r="X56" s="1">
        <v>0.34</v>
      </c>
      <c r="Y56" s="1">
        <v>0.32</v>
      </c>
      <c r="Z56" s="1">
        <v>0.35499999999999998</v>
      </c>
      <c r="AA56" s="2">
        <v>164</v>
      </c>
      <c r="AB56" s="2">
        <v>63.1</v>
      </c>
      <c r="AC56" s="2">
        <v>3795</v>
      </c>
      <c r="AD56" s="2" t="s">
        <v>40</v>
      </c>
      <c r="AE56" s="4" t="s">
        <v>868</v>
      </c>
      <c r="AF56" s="4">
        <v>1.91</v>
      </c>
      <c r="AH56" s="13" t="s">
        <v>923</v>
      </c>
      <c r="AI56" s="13" t="s">
        <v>924</v>
      </c>
      <c r="AJ56" t="s">
        <v>891</v>
      </c>
      <c r="AK56" s="4" t="s">
        <v>40</v>
      </c>
      <c r="AL56" s="20" t="s">
        <v>1098</v>
      </c>
    </row>
    <row r="57" spans="1:38" x14ac:dyDescent="0.25">
      <c r="A57" s="14" t="s">
        <v>167</v>
      </c>
      <c r="B57" s="14" t="s">
        <v>168</v>
      </c>
      <c r="C57" s="14" t="s">
        <v>169</v>
      </c>
      <c r="D57" t="s">
        <v>1570</v>
      </c>
      <c r="E57" t="s">
        <v>1579</v>
      </c>
      <c r="F57" s="1">
        <v>3.6850000000000001</v>
      </c>
      <c r="G57" s="1">
        <v>2.92</v>
      </c>
      <c r="H57" s="1">
        <v>3.0249999999999999</v>
      </c>
      <c r="I57" s="1">
        <v>2.2250000000000001</v>
      </c>
      <c r="J57" s="1">
        <v>2.92</v>
      </c>
      <c r="K57" s="1">
        <v>2.17</v>
      </c>
      <c r="L57" s="1">
        <v>0.92</v>
      </c>
      <c r="M57" s="1">
        <v>1.08</v>
      </c>
      <c r="N57" s="1">
        <v>1.06</v>
      </c>
      <c r="O57" s="1">
        <v>3.3025000000000002</v>
      </c>
      <c r="P57" s="1">
        <v>2.625</v>
      </c>
      <c r="Q57" s="1">
        <v>2.5449999999999999</v>
      </c>
      <c r="R57" s="1">
        <v>0.60999972097558641</v>
      </c>
      <c r="S57" s="1">
        <v>0.67748434816261793</v>
      </c>
      <c r="T57" s="1">
        <v>0.66912409871849055</v>
      </c>
      <c r="U57" s="2">
        <v>15.18</v>
      </c>
      <c r="V57" s="2">
        <v>11.96</v>
      </c>
      <c r="W57" s="2">
        <v>10.78</v>
      </c>
      <c r="X57" s="1">
        <v>0.46</v>
      </c>
      <c r="Y57" s="1">
        <v>0.54</v>
      </c>
      <c r="Z57" s="1">
        <v>0.53</v>
      </c>
      <c r="AA57" s="2">
        <v>205</v>
      </c>
      <c r="AB57" s="2">
        <v>49.3</v>
      </c>
      <c r="AC57" s="2">
        <v>790</v>
      </c>
      <c r="AD57" s="2">
        <v>39.5</v>
      </c>
      <c r="AE57" s="4" t="s">
        <v>868</v>
      </c>
      <c r="AF57" s="4">
        <v>1.91</v>
      </c>
      <c r="AH57" s="13" t="s">
        <v>923</v>
      </c>
      <c r="AI57" s="13" t="s">
        <v>924</v>
      </c>
      <c r="AJ57" t="s">
        <v>898</v>
      </c>
      <c r="AK57" t="s">
        <v>982</v>
      </c>
      <c r="AL57" s="20" t="s">
        <v>1098</v>
      </c>
    </row>
    <row r="58" spans="1:38" x14ac:dyDescent="0.25">
      <c r="A58" s="14" t="s">
        <v>170</v>
      </c>
      <c r="B58" s="14" t="s">
        <v>171</v>
      </c>
      <c r="C58" s="14" t="s">
        <v>172</v>
      </c>
      <c r="D58" t="s">
        <v>1570</v>
      </c>
      <c r="E58" t="s">
        <v>1579</v>
      </c>
      <c r="F58" s="1">
        <v>3.94</v>
      </c>
      <c r="G58" s="1">
        <v>2.6150000000000002</v>
      </c>
      <c r="H58" s="1">
        <v>2.9</v>
      </c>
      <c r="I58" s="1">
        <v>2.48</v>
      </c>
      <c r="J58" s="1">
        <v>3.75</v>
      </c>
      <c r="K58" s="1">
        <v>2.27</v>
      </c>
      <c r="L58" s="1">
        <v>0.7</v>
      </c>
      <c r="M58" s="1">
        <v>0.62</v>
      </c>
      <c r="N58" s="1">
        <v>0.7</v>
      </c>
      <c r="O58" s="1">
        <v>3.2774999999999999</v>
      </c>
      <c r="P58" s="1">
        <v>2.69</v>
      </c>
      <c r="Q58" s="1">
        <v>3.01</v>
      </c>
      <c r="R58" s="1">
        <v>0.74799391581125108</v>
      </c>
      <c r="S58" s="1">
        <v>0.51834365307899455</v>
      </c>
      <c r="T58" s="1">
        <v>0.79597208214582216</v>
      </c>
      <c r="U58" s="2">
        <v>16.100000000000001</v>
      </c>
      <c r="V58" s="2">
        <v>12.19</v>
      </c>
      <c r="W58" s="2">
        <v>14.68</v>
      </c>
      <c r="X58" s="1">
        <v>0.35</v>
      </c>
      <c r="Y58" s="1">
        <v>0.31</v>
      </c>
      <c r="Z58" s="1">
        <v>0.35</v>
      </c>
      <c r="AA58" s="2">
        <v>162</v>
      </c>
      <c r="AB58" s="2">
        <v>60.8</v>
      </c>
      <c r="AC58" s="2">
        <v>4150</v>
      </c>
      <c r="AD58" s="2">
        <v>39.799999999999997</v>
      </c>
      <c r="AE58" s="4" t="s">
        <v>868</v>
      </c>
      <c r="AF58" s="4">
        <v>1.91</v>
      </c>
      <c r="AH58" s="13" t="s">
        <v>923</v>
      </c>
      <c r="AI58" s="13" t="s">
        <v>924</v>
      </c>
      <c r="AJ58" s="14" t="s">
        <v>954</v>
      </c>
      <c r="AK58" t="s">
        <v>983</v>
      </c>
      <c r="AL58" s="20" t="s">
        <v>1098</v>
      </c>
    </row>
    <row r="59" spans="1:38" x14ac:dyDescent="0.25">
      <c r="A59" s="14" t="s">
        <v>173</v>
      </c>
      <c r="B59" s="14" t="s">
        <v>174</v>
      </c>
      <c r="C59" s="14" t="s">
        <v>175</v>
      </c>
      <c r="D59" t="s">
        <v>1570</v>
      </c>
      <c r="E59" t="s">
        <v>1579</v>
      </c>
      <c r="F59" s="1">
        <v>5.37</v>
      </c>
      <c r="G59" s="1">
        <v>3.23</v>
      </c>
      <c r="H59" s="1">
        <v>3.41</v>
      </c>
      <c r="I59" s="1">
        <v>2.89</v>
      </c>
      <c r="J59" s="1">
        <v>3.79</v>
      </c>
      <c r="K59" s="1">
        <v>2.8849999999999998</v>
      </c>
      <c r="L59" s="1">
        <v>0.62</v>
      </c>
      <c r="M59" s="1">
        <v>0.61</v>
      </c>
      <c r="N59" s="1">
        <v>0.65</v>
      </c>
      <c r="O59" s="1">
        <v>4.3</v>
      </c>
      <c r="P59" s="1">
        <v>3.1500000000000004</v>
      </c>
      <c r="Q59" s="1">
        <v>3.3374999999999999</v>
      </c>
      <c r="R59" s="1">
        <v>0.7988805111680658</v>
      </c>
      <c r="S59" s="1">
        <v>0.53078368782398899</v>
      </c>
      <c r="T59" s="1">
        <v>0.64850109637665743</v>
      </c>
      <c r="U59" s="2">
        <v>21.749999999999996</v>
      </c>
      <c r="V59" s="2">
        <v>15.280000000000001</v>
      </c>
      <c r="W59" s="2">
        <v>16.399999999999999</v>
      </c>
      <c r="X59" s="1">
        <v>0.31</v>
      </c>
      <c r="Y59" s="1">
        <v>0.30499999999999999</v>
      </c>
      <c r="Z59" s="1">
        <v>0.32500000000000001</v>
      </c>
      <c r="AA59" s="2">
        <v>178</v>
      </c>
      <c r="AB59" s="2">
        <v>49.9</v>
      </c>
      <c r="AC59" s="2">
        <v>1587.5</v>
      </c>
      <c r="AD59" s="2" t="s">
        <v>40</v>
      </c>
      <c r="AE59" s="4" t="s">
        <v>868</v>
      </c>
      <c r="AF59" s="4">
        <v>1.91</v>
      </c>
      <c r="AH59" s="13" t="s">
        <v>923</v>
      </c>
      <c r="AI59" s="13" t="s">
        <v>924</v>
      </c>
      <c r="AJ59" t="s">
        <v>899</v>
      </c>
      <c r="AK59" s="4" t="s">
        <v>40</v>
      </c>
      <c r="AL59" s="20" t="s">
        <v>1098</v>
      </c>
    </row>
    <row r="60" spans="1:38" x14ac:dyDescent="0.25">
      <c r="A60" s="14" t="s">
        <v>176</v>
      </c>
      <c r="B60" s="14" t="s">
        <v>177</v>
      </c>
      <c r="C60" s="14" t="s">
        <v>178</v>
      </c>
      <c r="D60" t="s">
        <v>1570</v>
      </c>
      <c r="E60" t="s">
        <v>1579</v>
      </c>
      <c r="F60" s="1">
        <v>4.25</v>
      </c>
      <c r="G60" s="1">
        <v>2.66</v>
      </c>
      <c r="H60" s="1">
        <v>2.6349999999999998</v>
      </c>
      <c r="I60" s="1">
        <v>2.0449999999999999</v>
      </c>
      <c r="J60" s="1">
        <v>3.1150000000000002</v>
      </c>
      <c r="K60" s="1">
        <v>3.06</v>
      </c>
      <c r="L60" s="1">
        <v>0.71</v>
      </c>
      <c r="M60" s="1">
        <v>0.69</v>
      </c>
      <c r="N60" s="1">
        <v>0.68</v>
      </c>
      <c r="O60" s="1">
        <v>3.4550000000000001</v>
      </c>
      <c r="P60" s="1">
        <v>2.34</v>
      </c>
      <c r="Q60" s="1">
        <v>3.0875000000000004</v>
      </c>
      <c r="R60" s="1">
        <v>0.7799174829921538</v>
      </c>
      <c r="S60" s="1">
        <v>0.63062083145925896</v>
      </c>
      <c r="T60" s="1">
        <v>0.1870862089640643</v>
      </c>
      <c r="U60" s="2">
        <v>17.569999999999997</v>
      </c>
      <c r="V60" s="2">
        <v>10.849999999999998</v>
      </c>
      <c r="W60" s="2">
        <v>14.16</v>
      </c>
      <c r="X60" s="1">
        <v>0.35499999999999998</v>
      </c>
      <c r="Y60" s="1">
        <v>0.34499999999999997</v>
      </c>
      <c r="Z60" s="1">
        <v>0.34</v>
      </c>
      <c r="AA60" s="2">
        <v>98</v>
      </c>
      <c r="AB60" s="2">
        <v>41.2</v>
      </c>
      <c r="AC60" s="2">
        <v>330</v>
      </c>
      <c r="AD60" s="2">
        <v>39.270000000000003</v>
      </c>
      <c r="AE60" s="4" t="s">
        <v>868</v>
      </c>
      <c r="AF60" s="4">
        <v>1.91</v>
      </c>
      <c r="AH60" s="13" t="s">
        <v>923</v>
      </c>
      <c r="AI60" s="13" t="s">
        <v>924</v>
      </c>
      <c r="AJ60" s="14" t="s">
        <v>954</v>
      </c>
      <c r="AK60" t="s">
        <v>984</v>
      </c>
      <c r="AL60" s="20" t="s">
        <v>1098</v>
      </c>
    </row>
    <row r="61" spans="1:38" x14ac:dyDescent="0.25">
      <c r="A61" s="14" t="s">
        <v>179</v>
      </c>
      <c r="B61" s="14" t="s">
        <v>180</v>
      </c>
      <c r="C61" s="14" t="s">
        <v>150</v>
      </c>
      <c r="D61" t="s">
        <v>1570</v>
      </c>
      <c r="E61" t="s">
        <v>1579</v>
      </c>
      <c r="F61" s="1">
        <v>6.51</v>
      </c>
      <c r="G61" s="1">
        <v>4.53</v>
      </c>
      <c r="H61" s="1">
        <v>4.8849999999999998</v>
      </c>
      <c r="I61" s="1">
        <v>4.1950000000000003</v>
      </c>
      <c r="J61" s="1">
        <v>5.4249999999999998</v>
      </c>
      <c r="K61" s="1">
        <v>4.22</v>
      </c>
      <c r="L61" s="1">
        <v>1.45</v>
      </c>
      <c r="M61" s="1">
        <v>1.54</v>
      </c>
      <c r="N61" s="1">
        <v>1.57</v>
      </c>
      <c r="O61" s="1">
        <v>5.52</v>
      </c>
      <c r="P61" s="1">
        <v>4.54</v>
      </c>
      <c r="Q61" s="1">
        <v>4.8224999999999998</v>
      </c>
      <c r="R61" s="1">
        <v>0.71818469083053105</v>
      </c>
      <c r="S61" s="1">
        <v>0.51239266201108413</v>
      </c>
      <c r="T61" s="1">
        <v>0.62841261828827821</v>
      </c>
      <c r="U61" s="2">
        <v>25.95</v>
      </c>
      <c r="V61" s="2">
        <v>19.03</v>
      </c>
      <c r="W61" s="2">
        <v>22.919999999999998</v>
      </c>
      <c r="X61" s="1">
        <v>0.72499999999999998</v>
      </c>
      <c r="Y61" s="1">
        <v>0.77</v>
      </c>
      <c r="Z61" s="1">
        <v>0.78500000000000003</v>
      </c>
      <c r="AA61" s="2">
        <v>250</v>
      </c>
      <c r="AB61" s="2">
        <v>80.5</v>
      </c>
      <c r="AC61" s="2">
        <v>6300</v>
      </c>
      <c r="AD61" s="2" t="s">
        <v>40</v>
      </c>
      <c r="AE61" s="4" t="s">
        <v>868</v>
      </c>
      <c r="AF61" s="4">
        <v>1.91</v>
      </c>
      <c r="AH61" s="13" t="s">
        <v>923</v>
      </c>
      <c r="AI61" s="13" t="s">
        <v>924</v>
      </c>
      <c r="AJ61" s="14" t="s">
        <v>954</v>
      </c>
      <c r="AK61" s="4" t="s">
        <v>40</v>
      </c>
      <c r="AL61" s="20" t="s">
        <v>1098</v>
      </c>
    </row>
    <row r="62" spans="1:38" x14ac:dyDescent="0.25">
      <c r="A62" s="14" t="s">
        <v>181</v>
      </c>
      <c r="B62" s="14" t="s">
        <v>182</v>
      </c>
      <c r="C62" s="14" t="s">
        <v>183</v>
      </c>
      <c r="D62" t="s">
        <v>1570</v>
      </c>
      <c r="E62" t="s">
        <v>1579</v>
      </c>
      <c r="F62" s="1">
        <v>5.87</v>
      </c>
      <c r="G62" s="1">
        <v>3.09</v>
      </c>
      <c r="H62" s="1">
        <v>3.7</v>
      </c>
      <c r="I62" s="1">
        <v>2.67</v>
      </c>
      <c r="J62" s="1">
        <v>3.63</v>
      </c>
      <c r="K62" s="1">
        <v>2.63</v>
      </c>
      <c r="L62" s="1">
        <v>0.79</v>
      </c>
      <c r="M62" s="1">
        <v>0.81</v>
      </c>
      <c r="N62" s="1">
        <v>0.8</v>
      </c>
      <c r="O62" s="1">
        <v>4.4800000000000004</v>
      </c>
      <c r="P62" s="1">
        <v>3.1850000000000001</v>
      </c>
      <c r="Q62" s="1">
        <v>3.13</v>
      </c>
      <c r="R62" s="1">
        <v>0.85023367416598139</v>
      </c>
      <c r="S62" s="1">
        <v>0.69228768240391314</v>
      </c>
      <c r="T62" s="1">
        <v>0.6892559781375649</v>
      </c>
      <c r="U62" s="2">
        <v>21.1</v>
      </c>
      <c r="V62" s="2">
        <v>14.7</v>
      </c>
      <c r="W62" s="2">
        <v>12.1</v>
      </c>
      <c r="X62" s="1">
        <v>0.39500000000000002</v>
      </c>
      <c r="Y62" s="1">
        <v>0.40500000000000003</v>
      </c>
      <c r="Z62" s="1">
        <v>0.4</v>
      </c>
      <c r="AA62" s="2">
        <v>223</v>
      </c>
      <c r="AB62" s="2">
        <v>48.2</v>
      </c>
      <c r="AC62" s="2">
        <v>8000</v>
      </c>
      <c r="AD62" s="2">
        <v>40.5</v>
      </c>
      <c r="AE62" s="4" t="s">
        <v>868</v>
      </c>
      <c r="AF62" s="4">
        <v>1.91</v>
      </c>
      <c r="AH62" s="13" t="s">
        <v>923</v>
      </c>
      <c r="AI62" s="13" t="s">
        <v>924</v>
      </c>
      <c r="AJ62" s="14" t="s">
        <v>900</v>
      </c>
      <c r="AK62" t="s">
        <v>985</v>
      </c>
      <c r="AL62" s="20" t="s">
        <v>1098</v>
      </c>
    </row>
    <row r="63" spans="1:38" x14ac:dyDescent="0.25">
      <c r="A63" s="14" t="s">
        <v>181</v>
      </c>
      <c r="B63" s="14" t="s">
        <v>184</v>
      </c>
      <c r="C63" s="14" t="s">
        <v>185</v>
      </c>
      <c r="D63" t="s">
        <v>1570</v>
      </c>
      <c r="E63" t="s">
        <v>1579</v>
      </c>
      <c r="F63" s="1">
        <v>5.4</v>
      </c>
      <c r="G63" s="1">
        <v>3.19</v>
      </c>
      <c r="H63" s="1">
        <v>3.31</v>
      </c>
      <c r="I63" s="1">
        <v>2.54</v>
      </c>
      <c r="J63" s="1">
        <v>3.98</v>
      </c>
      <c r="K63" s="1">
        <v>2.5299999999999998</v>
      </c>
      <c r="L63" s="1">
        <v>0.81</v>
      </c>
      <c r="M63" s="1">
        <v>0.79</v>
      </c>
      <c r="N63" s="1">
        <v>0.78</v>
      </c>
      <c r="O63" s="1">
        <v>4.2949999999999999</v>
      </c>
      <c r="P63" s="1">
        <v>2.9249999999999998</v>
      </c>
      <c r="Q63" s="1">
        <v>3.2549999999999999</v>
      </c>
      <c r="R63" s="1">
        <v>0.806861436201459</v>
      </c>
      <c r="S63" s="1">
        <v>0.64120264009029571</v>
      </c>
      <c r="T63" s="1">
        <v>0.77195400251271729</v>
      </c>
      <c r="U63" s="2">
        <v>19.399999999999999</v>
      </c>
      <c r="V63" s="2">
        <v>14.3</v>
      </c>
      <c r="W63" s="2">
        <v>16.100000000000001</v>
      </c>
      <c r="X63" s="1">
        <v>0.40500000000000003</v>
      </c>
      <c r="Y63" s="1">
        <v>0.39500000000000002</v>
      </c>
      <c r="Z63" s="1">
        <v>0.39</v>
      </c>
      <c r="AA63" s="2">
        <v>226</v>
      </c>
      <c r="AB63" s="2">
        <v>44.4</v>
      </c>
      <c r="AC63" s="2">
        <v>3000</v>
      </c>
      <c r="AD63" s="2" t="s">
        <v>40</v>
      </c>
      <c r="AE63" s="4" t="s">
        <v>868</v>
      </c>
      <c r="AF63" s="4">
        <v>1.91</v>
      </c>
      <c r="AH63" s="13" t="s">
        <v>923</v>
      </c>
      <c r="AI63" s="13" t="s">
        <v>924</v>
      </c>
      <c r="AJ63" s="14" t="s">
        <v>901</v>
      </c>
      <c r="AK63" s="4" t="s">
        <v>40</v>
      </c>
      <c r="AL63" s="20" t="s">
        <v>1098</v>
      </c>
    </row>
    <row r="64" spans="1:38" x14ac:dyDescent="0.25">
      <c r="A64" s="14" t="s">
        <v>186</v>
      </c>
      <c r="B64" s="14" t="s">
        <v>187</v>
      </c>
      <c r="C64" s="14" t="s">
        <v>188</v>
      </c>
      <c r="D64" t="s">
        <v>1570</v>
      </c>
      <c r="E64" t="s">
        <v>1580</v>
      </c>
      <c r="F64" s="1">
        <v>4.08</v>
      </c>
      <c r="G64" s="1">
        <v>2.5099999999999998</v>
      </c>
      <c r="H64" s="1">
        <v>2.7050000000000001</v>
      </c>
      <c r="I64" s="1">
        <v>2.0049999999999999</v>
      </c>
      <c r="J64" s="1">
        <v>2.52</v>
      </c>
      <c r="K64" s="1">
        <v>2.0449999999999999</v>
      </c>
      <c r="L64" s="1">
        <v>0.59</v>
      </c>
      <c r="M64" s="1">
        <v>0.64</v>
      </c>
      <c r="N64" s="1">
        <v>0.66</v>
      </c>
      <c r="O64" s="1">
        <v>3.2949999999999999</v>
      </c>
      <c r="P64" s="1">
        <v>2.355</v>
      </c>
      <c r="Q64" s="1">
        <v>2.2824999999999998</v>
      </c>
      <c r="R64" s="1">
        <v>0.78837414029295794</v>
      </c>
      <c r="S64" s="1">
        <v>0.6712622188114683</v>
      </c>
      <c r="T64" s="1">
        <v>0.58434139763038428</v>
      </c>
      <c r="U64" s="2">
        <v>16.419999999999998</v>
      </c>
      <c r="V64" s="2">
        <v>9.8699999999999992</v>
      </c>
      <c r="W64" s="2">
        <v>10.690000000000003</v>
      </c>
      <c r="X64" s="1">
        <v>0.29499999999999998</v>
      </c>
      <c r="Y64" s="1">
        <v>0.32</v>
      </c>
      <c r="Z64" s="1">
        <v>0.33</v>
      </c>
      <c r="AA64" s="2">
        <v>160</v>
      </c>
      <c r="AB64" s="2">
        <v>49</v>
      </c>
      <c r="AC64" s="2">
        <v>3380</v>
      </c>
      <c r="AD64" s="2">
        <v>40.200000000000003</v>
      </c>
      <c r="AE64" s="4" t="s">
        <v>868</v>
      </c>
      <c r="AF64" s="4">
        <v>1.91</v>
      </c>
      <c r="AH64" s="13" t="s">
        <v>923</v>
      </c>
      <c r="AI64" s="13" t="s">
        <v>924</v>
      </c>
      <c r="AJ64" t="s">
        <v>897</v>
      </c>
      <c r="AK64" t="s">
        <v>986</v>
      </c>
      <c r="AL64" s="20" t="s">
        <v>1098</v>
      </c>
    </row>
    <row r="65" spans="1:38" x14ac:dyDescent="0.25">
      <c r="A65" s="14" t="s">
        <v>189</v>
      </c>
      <c r="B65" s="14" t="s">
        <v>190</v>
      </c>
      <c r="C65" s="14" t="s">
        <v>191</v>
      </c>
      <c r="D65" t="s">
        <v>1570</v>
      </c>
      <c r="E65" t="s">
        <v>1580</v>
      </c>
      <c r="F65" s="1">
        <v>3.1349999999999998</v>
      </c>
      <c r="G65" s="1">
        <v>2.165</v>
      </c>
      <c r="H65" s="1">
        <v>2.4500000000000002</v>
      </c>
      <c r="I65" s="1">
        <v>1.7749999999999999</v>
      </c>
      <c r="J65" s="1">
        <v>2.5099999999999998</v>
      </c>
      <c r="K65" s="1">
        <v>1.93</v>
      </c>
      <c r="L65" s="1">
        <v>0.6</v>
      </c>
      <c r="M65" s="1">
        <v>0.62</v>
      </c>
      <c r="N65" s="1">
        <v>0.56000000000000005</v>
      </c>
      <c r="O65" s="1">
        <v>2.65</v>
      </c>
      <c r="P65" s="1">
        <v>2.1124999999999998</v>
      </c>
      <c r="Q65" s="1">
        <v>2.2199999999999998</v>
      </c>
      <c r="R65" s="1">
        <v>0.72324636030972411</v>
      </c>
      <c r="S65" s="1">
        <v>0.6892855254610839</v>
      </c>
      <c r="T65" s="1">
        <v>0.63933982871450223</v>
      </c>
      <c r="U65" s="2">
        <v>13.290000000000001</v>
      </c>
      <c r="V65" s="2">
        <v>9.33</v>
      </c>
      <c r="W65" s="2">
        <v>10.119999999999999</v>
      </c>
      <c r="X65" s="1">
        <v>0.3</v>
      </c>
      <c r="Y65" s="1">
        <v>0.31</v>
      </c>
      <c r="Z65" s="1">
        <v>0.28000000000000003</v>
      </c>
      <c r="AA65" s="2">
        <v>97</v>
      </c>
      <c r="AB65" s="2">
        <v>34.5</v>
      </c>
      <c r="AC65" s="2">
        <v>730</v>
      </c>
      <c r="AD65" s="2">
        <v>40.200000000000003</v>
      </c>
      <c r="AE65" s="4" t="s">
        <v>868</v>
      </c>
      <c r="AF65" s="4">
        <v>1.91</v>
      </c>
      <c r="AH65" s="13" t="s">
        <v>923</v>
      </c>
      <c r="AI65" s="13" t="s">
        <v>924</v>
      </c>
      <c r="AJ65" s="14" t="s">
        <v>1113</v>
      </c>
      <c r="AK65" t="s">
        <v>987</v>
      </c>
      <c r="AL65" s="20" t="s">
        <v>1098</v>
      </c>
    </row>
    <row r="66" spans="1:38" x14ac:dyDescent="0.25">
      <c r="A66" s="14" t="s">
        <v>192</v>
      </c>
      <c r="B66" s="14" t="s">
        <v>193</v>
      </c>
      <c r="C66" s="14" t="s">
        <v>194</v>
      </c>
      <c r="D66" t="s">
        <v>1570</v>
      </c>
      <c r="E66" t="s">
        <v>1578</v>
      </c>
      <c r="F66" s="1">
        <v>3.8450000000000002</v>
      </c>
      <c r="G66" s="1">
        <v>2.4700000000000002</v>
      </c>
      <c r="H66" s="1">
        <v>2.76</v>
      </c>
      <c r="I66" s="1">
        <v>1.5449999999999999</v>
      </c>
      <c r="J66" s="1">
        <v>2.605</v>
      </c>
      <c r="K66" s="1">
        <v>1.88</v>
      </c>
      <c r="L66" s="1">
        <v>0.52</v>
      </c>
      <c r="M66" s="1">
        <v>0.51</v>
      </c>
      <c r="N66" s="1">
        <v>0.57999999999999996</v>
      </c>
      <c r="O66" s="1">
        <v>3.1575000000000002</v>
      </c>
      <c r="P66" s="1">
        <v>2.1524999999999999</v>
      </c>
      <c r="Q66" s="1">
        <v>2.2424999999999997</v>
      </c>
      <c r="R66" s="1">
        <v>0.76637562337134335</v>
      </c>
      <c r="S66" s="1">
        <v>0.82863950605911274</v>
      </c>
      <c r="T66" s="1">
        <v>0.69221738016075585</v>
      </c>
      <c r="U66" s="2">
        <v>16.160000000000004</v>
      </c>
      <c r="V66" s="2">
        <v>9.7799999999999994</v>
      </c>
      <c r="W66" s="2">
        <v>11.500000000000002</v>
      </c>
      <c r="X66" s="1">
        <v>0.26</v>
      </c>
      <c r="Y66" s="1">
        <v>0.255</v>
      </c>
      <c r="Z66" s="1">
        <v>0.28999999999999998</v>
      </c>
      <c r="AA66" s="2">
        <v>104</v>
      </c>
      <c r="AB66" s="2">
        <v>27.4</v>
      </c>
      <c r="AC66" s="2">
        <v>544</v>
      </c>
      <c r="AD66" s="2" t="s">
        <v>40</v>
      </c>
      <c r="AE66" s="4" t="s">
        <v>868</v>
      </c>
      <c r="AF66" s="4">
        <v>1.91</v>
      </c>
      <c r="AH66" s="13" t="s">
        <v>923</v>
      </c>
      <c r="AI66" s="13" t="s">
        <v>924</v>
      </c>
      <c r="AJ66" t="s">
        <v>891</v>
      </c>
      <c r="AK66" s="4" t="s">
        <v>40</v>
      </c>
      <c r="AL66" s="20" t="s">
        <v>1098</v>
      </c>
    </row>
    <row r="67" spans="1:38" x14ac:dyDescent="0.25">
      <c r="A67" s="14" t="s">
        <v>195</v>
      </c>
      <c r="B67" s="14" t="s">
        <v>196</v>
      </c>
      <c r="C67" s="14" t="s">
        <v>197</v>
      </c>
      <c r="D67" t="s">
        <v>1570</v>
      </c>
      <c r="E67" t="s">
        <v>1578</v>
      </c>
      <c r="F67" s="1">
        <v>3.76</v>
      </c>
      <c r="G67" s="1">
        <v>2.76</v>
      </c>
      <c r="H67" s="1">
        <v>2.7250000000000001</v>
      </c>
      <c r="I67" s="1">
        <v>1.72</v>
      </c>
      <c r="J67" s="1">
        <v>3.0750000000000002</v>
      </c>
      <c r="K67" s="1">
        <v>2.02</v>
      </c>
      <c r="L67" s="1">
        <v>0.62</v>
      </c>
      <c r="M67" s="1">
        <v>0.59</v>
      </c>
      <c r="N67" s="1">
        <v>0.61</v>
      </c>
      <c r="O67" s="1">
        <v>3.26</v>
      </c>
      <c r="P67" s="1">
        <v>2.2225000000000001</v>
      </c>
      <c r="Q67" s="1">
        <v>2.5475000000000003</v>
      </c>
      <c r="R67" s="1">
        <v>0.67910347525551629</v>
      </c>
      <c r="S67" s="1">
        <v>0.77562608598939831</v>
      </c>
      <c r="T67" s="1">
        <v>0.75396850345172717</v>
      </c>
      <c r="U67" s="2">
        <v>18.189999999999998</v>
      </c>
      <c r="V67" s="2">
        <v>10.640000000000002</v>
      </c>
      <c r="W67" s="2">
        <v>12.71</v>
      </c>
      <c r="X67" s="1">
        <v>0.31</v>
      </c>
      <c r="Y67" s="1">
        <v>0.29499999999999998</v>
      </c>
      <c r="Z67" s="1">
        <v>0.30499999999999999</v>
      </c>
      <c r="AA67" s="2">
        <v>107</v>
      </c>
      <c r="AB67" s="2">
        <v>20.7</v>
      </c>
      <c r="AC67" s="2">
        <v>415</v>
      </c>
      <c r="AD67" s="2" t="s">
        <v>40</v>
      </c>
      <c r="AE67" s="4" t="s">
        <v>868</v>
      </c>
      <c r="AF67" s="4">
        <v>1.91</v>
      </c>
      <c r="AH67" s="13" t="s">
        <v>923</v>
      </c>
      <c r="AI67" s="13" t="s">
        <v>924</v>
      </c>
      <c r="AJ67" s="14" t="s">
        <v>1114</v>
      </c>
      <c r="AK67" s="4" t="s">
        <v>40</v>
      </c>
      <c r="AL67" s="20" t="s">
        <v>1098</v>
      </c>
    </row>
    <row r="68" spans="1:38" x14ac:dyDescent="0.25">
      <c r="A68" s="14" t="s">
        <v>198</v>
      </c>
      <c r="B68" s="14" t="s">
        <v>199</v>
      </c>
      <c r="C68" s="14" t="s">
        <v>200</v>
      </c>
      <c r="D68" t="s">
        <v>1570</v>
      </c>
      <c r="E68" t="s">
        <v>1578</v>
      </c>
      <c r="F68" s="1">
        <v>1.89</v>
      </c>
      <c r="G68" s="1">
        <v>1.5049999999999999</v>
      </c>
      <c r="H68" s="1">
        <v>1.62</v>
      </c>
      <c r="I68" s="1">
        <v>1.03</v>
      </c>
      <c r="J68" s="1">
        <v>1.85</v>
      </c>
      <c r="K68" s="1">
        <v>0.98499999999999999</v>
      </c>
      <c r="L68" s="1">
        <v>0.39</v>
      </c>
      <c r="M68" s="1">
        <v>0.34</v>
      </c>
      <c r="N68" s="1">
        <v>0.38</v>
      </c>
      <c r="O68" s="1">
        <v>1.6974999999999998</v>
      </c>
      <c r="P68" s="1">
        <v>1.3250000000000002</v>
      </c>
      <c r="Q68" s="1">
        <v>1.4175</v>
      </c>
      <c r="R68" s="1">
        <v>0.60490677670596571</v>
      </c>
      <c r="S68" s="1">
        <v>0.7718518123583159</v>
      </c>
      <c r="T68" s="1">
        <v>0.84647250687431264</v>
      </c>
      <c r="U68" s="2">
        <v>9.23</v>
      </c>
      <c r="V68" s="2">
        <v>6.92</v>
      </c>
      <c r="W68" s="2">
        <v>7.9499999999999993</v>
      </c>
      <c r="X68" s="1">
        <v>0.19500000000000001</v>
      </c>
      <c r="Y68" s="1">
        <v>0.17</v>
      </c>
      <c r="Z68" s="1">
        <v>0.19</v>
      </c>
      <c r="AA68" s="2">
        <v>48</v>
      </c>
      <c r="AB68" s="2">
        <v>17.5</v>
      </c>
      <c r="AC68" s="2">
        <v>40</v>
      </c>
      <c r="AD68" s="2" t="s">
        <v>40</v>
      </c>
      <c r="AE68" s="4" t="s">
        <v>868</v>
      </c>
      <c r="AF68" s="4">
        <v>1.91</v>
      </c>
      <c r="AH68" s="13" t="s">
        <v>923</v>
      </c>
      <c r="AI68" s="13" t="s">
        <v>924</v>
      </c>
      <c r="AJ68" t="s">
        <v>902</v>
      </c>
      <c r="AK68" s="4" t="s">
        <v>40</v>
      </c>
      <c r="AL68" s="20" t="s">
        <v>1098</v>
      </c>
    </row>
    <row r="69" spans="1:38" x14ac:dyDescent="0.25">
      <c r="A69" s="14" t="s">
        <v>201</v>
      </c>
      <c r="B69" s="14" t="s">
        <v>202</v>
      </c>
      <c r="C69" s="14" t="s">
        <v>203</v>
      </c>
      <c r="D69" t="s">
        <v>1570</v>
      </c>
      <c r="E69" t="s">
        <v>1578</v>
      </c>
      <c r="F69" s="1">
        <v>3.7650000000000001</v>
      </c>
      <c r="G69" s="1">
        <v>2.9550000000000001</v>
      </c>
      <c r="H69" s="1">
        <v>2.5950000000000002</v>
      </c>
      <c r="I69" s="1">
        <v>1.75</v>
      </c>
      <c r="J69" s="1">
        <v>2.665</v>
      </c>
      <c r="K69" s="1">
        <v>1.97</v>
      </c>
      <c r="L69" s="1">
        <v>0.49</v>
      </c>
      <c r="M69" s="1">
        <v>0.49</v>
      </c>
      <c r="N69" s="1">
        <v>0.47</v>
      </c>
      <c r="O69" s="1">
        <v>3.3600000000000003</v>
      </c>
      <c r="P69" s="1">
        <v>2.1725000000000003</v>
      </c>
      <c r="Q69" s="1">
        <v>2.3174999999999999</v>
      </c>
      <c r="R69" s="1">
        <v>0.619672417377644</v>
      </c>
      <c r="S69" s="1">
        <v>0.73839012966777573</v>
      </c>
      <c r="T69" s="1">
        <v>0.67347279674897453</v>
      </c>
      <c r="U69" s="2">
        <v>18.09</v>
      </c>
      <c r="V69" s="2">
        <v>10.950000000000001</v>
      </c>
      <c r="W69" s="2">
        <v>11.410000000000002</v>
      </c>
      <c r="X69" s="1">
        <v>0.245</v>
      </c>
      <c r="Y69" s="1">
        <v>0.245</v>
      </c>
      <c r="Z69" s="1">
        <v>0.23499999999999999</v>
      </c>
      <c r="AA69" s="2">
        <v>92</v>
      </c>
      <c r="AB69" s="2">
        <v>38.200000000000003</v>
      </c>
      <c r="AC69" s="2">
        <v>617.5</v>
      </c>
      <c r="AD69" s="2">
        <v>40</v>
      </c>
      <c r="AE69" s="4" t="s">
        <v>868</v>
      </c>
      <c r="AF69" s="4">
        <v>1.91</v>
      </c>
      <c r="AH69" s="13" t="s">
        <v>923</v>
      </c>
      <c r="AI69" s="13" t="s">
        <v>924</v>
      </c>
      <c r="AJ69" s="14" t="s">
        <v>903</v>
      </c>
      <c r="AK69" t="s">
        <v>970</v>
      </c>
      <c r="AL69" s="20" t="s">
        <v>1098</v>
      </c>
    </row>
    <row r="70" spans="1:38" x14ac:dyDescent="0.25">
      <c r="A70" s="14" t="s">
        <v>204</v>
      </c>
      <c r="B70" s="14" t="s">
        <v>205</v>
      </c>
      <c r="C70" s="14" t="s">
        <v>150</v>
      </c>
      <c r="D70" t="s">
        <v>1570</v>
      </c>
      <c r="E70" t="s">
        <v>1578</v>
      </c>
      <c r="F70" s="1">
        <v>2.8849999999999998</v>
      </c>
      <c r="G70" s="1">
        <v>2.44</v>
      </c>
      <c r="H70" s="1">
        <v>2.08</v>
      </c>
      <c r="I70" s="1">
        <v>1.36</v>
      </c>
      <c r="J70" s="1">
        <v>2.0499999999999998</v>
      </c>
      <c r="K70" s="1">
        <v>1.33</v>
      </c>
      <c r="L70" s="1">
        <v>0.48</v>
      </c>
      <c r="M70" s="1">
        <v>0.47</v>
      </c>
      <c r="N70" s="1">
        <v>0.53</v>
      </c>
      <c r="O70" s="1">
        <v>2.6624999999999996</v>
      </c>
      <c r="P70" s="1">
        <v>1.7200000000000002</v>
      </c>
      <c r="Q70" s="1">
        <v>1.69</v>
      </c>
      <c r="R70" s="1">
        <v>0.53357318290395428</v>
      </c>
      <c r="S70" s="1">
        <v>0.75662752203484618</v>
      </c>
      <c r="T70" s="1">
        <v>0.76097560975609746</v>
      </c>
      <c r="U70" s="2">
        <v>13.98</v>
      </c>
      <c r="V70" s="2">
        <v>8.7000000000000011</v>
      </c>
      <c r="W70" s="2">
        <v>8.2100000000000009</v>
      </c>
      <c r="X70" s="1">
        <v>0.24</v>
      </c>
      <c r="Y70" s="1">
        <v>0.23499999999999999</v>
      </c>
      <c r="Z70" s="1">
        <v>0.26500000000000001</v>
      </c>
      <c r="AA70" s="2">
        <v>84</v>
      </c>
      <c r="AB70" s="2">
        <v>30.9</v>
      </c>
      <c r="AC70" s="2">
        <v>292</v>
      </c>
      <c r="AD70" s="2" t="s">
        <v>40</v>
      </c>
      <c r="AE70" s="4" t="s">
        <v>868</v>
      </c>
      <c r="AF70" s="4">
        <v>1.91</v>
      </c>
      <c r="AH70" s="13" t="s">
        <v>923</v>
      </c>
      <c r="AI70" s="13" t="s">
        <v>924</v>
      </c>
      <c r="AJ70" s="14" t="s">
        <v>954</v>
      </c>
      <c r="AK70" s="4" t="s">
        <v>40</v>
      </c>
      <c r="AL70" s="20" t="s">
        <v>1098</v>
      </c>
    </row>
    <row r="71" spans="1:38" x14ac:dyDescent="0.25">
      <c r="A71" s="14" t="s">
        <v>206</v>
      </c>
      <c r="B71" s="14" t="s">
        <v>207</v>
      </c>
      <c r="C71" s="14" t="s">
        <v>208</v>
      </c>
      <c r="D71" t="s">
        <v>1570</v>
      </c>
      <c r="E71" t="s">
        <v>1578</v>
      </c>
      <c r="F71" s="1">
        <v>4.13</v>
      </c>
      <c r="G71" s="1">
        <v>3.65</v>
      </c>
      <c r="H71" s="1">
        <v>2.7</v>
      </c>
      <c r="I71" s="1">
        <v>2.165</v>
      </c>
      <c r="J71" s="1">
        <v>3.0449999999999999</v>
      </c>
      <c r="K71" s="1">
        <v>2.1349999999999998</v>
      </c>
      <c r="L71" s="1">
        <v>0.74</v>
      </c>
      <c r="M71" s="1">
        <v>0.72</v>
      </c>
      <c r="N71" s="1">
        <v>0.83</v>
      </c>
      <c r="O71" s="1">
        <v>3.8899999999999997</v>
      </c>
      <c r="P71" s="1">
        <v>2.4325000000000001</v>
      </c>
      <c r="Q71" s="1">
        <v>2.59</v>
      </c>
      <c r="R71" s="1">
        <v>0.46790788684479073</v>
      </c>
      <c r="S71" s="1">
        <v>0.59752289301896699</v>
      </c>
      <c r="T71" s="1">
        <v>0.71301436410440566</v>
      </c>
      <c r="U71" s="2">
        <v>20.379999999999995</v>
      </c>
      <c r="V71" s="2">
        <v>11.870000000000001</v>
      </c>
      <c r="W71" s="2">
        <v>13.25</v>
      </c>
      <c r="X71" s="1">
        <v>0.37</v>
      </c>
      <c r="Y71" s="1">
        <v>0.36</v>
      </c>
      <c r="Z71" s="1">
        <v>0.41499999999999998</v>
      </c>
      <c r="AA71" s="2">
        <v>107</v>
      </c>
      <c r="AB71" s="2">
        <v>41.2</v>
      </c>
      <c r="AC71" s="2">
        <v>687</v>
      </c>
      <c r="AD71" s="2">
        <v>40.25</v>
      </c>
      <c r="AE71" s="4" t="s">
        <v>868</v>
      </c>
      <c r="AF71" s="4">
        <v>1.91</v>
      </c>
      <c r="AH71" s="13" t="s">
        <v>923</v>
      </c>
      <c r="AI71" s="13" t="s">
        <v>924</v>
      </c>
      <c r="AJ71" s="14" t="s">
        <v>895</v>
      </c>
      <c r="AK71" t="s">
        <v>988</v>
      </c>
      <c r="AL71" s="20" t="s">
        <v>1098</v>
      </c>
    </row>
    <row r="72" spans="1:38" x14ac:dyDescent="0.25">
      <c r="A72" s="14" t="s">
        <v>209</v>
      </c>
      <c r="B72" s="14" t="s">
        <v>210</v>
      </c>
      <c r="C72" s="14" t="s">
        <v>150</v>
      </c>
      <c r="D72" t="s">
        <v>1570</v>
      </c>
      <c r="E72" t="s">
        <v>1578</v>
      </c>
      <c r="F72" s="1">
        <v>4.1100000000000003</v>
      </c>
      <c r="G72" s="1">
        <v>2.8</v>
      </c>
      <c r="H72" s="1">
        <v>2.58</v>
      </c>
      <c r="I72" s="1">
        <v>1.98</v>
      </c>
      <c r="J72" s="1">
        <v>2.59</v>
      </c>
      <c r="K72" s="1">
        <v>1.7549999999999999</v>
      </c>
      <c r="L72" s="1">
        <v>0.51</v>
      </c>
      <c r="M72" s="1">
        <v>0.55000000000000004</v>
      </c>
      <c r="N72" s="1">
        <v>0.62</v>
      </c>
      <c r="O72" s="1">
        <v>3.4550000000000001</v>
      </c>
      <c r="P72" s="1">
        <v>2.2800000000000002</v>
      </c>
      <c r="Q72" s="1">
        <v>2.1724999999999999</v>
      </c>
      <c r="R72" s="1">
        <v>0.73203669169414887</v>
      </c>
      <c r="S72" s="1">
        <v>0.64111854660884759</v>
      </c>
      <c r="T72" s="1">
        <v>0.73542495747013192</v>
      </c>
      <c r="U72" s="2">
        <v>17.849999999999998</v>
      </c>
      <c r="V72" s="2">
        <v>10.09</v>
      </c>
      <c r="W72" s="2">
        <v>10.169999999999998</v>
      </c>
      <c r="X72" s="1">
        <v>0.255</v>
      </c>
      <c r="Y72" s="1">
        <v>0.27500000000000002</v>
      </c>
      <c r="Z72" s="1">
        <v>0.31</v>
      </c>
      <c r="AA72" s="2">
        <v>124</v>
      </c>
      <c r="AB72" s="2">
        <v>46</v>
      </c>
      <c r="AC72" s="2">
        <v>1177</v>
      </c>
      <c r="AD72" s="2">
        <v>41.66</v>
      </c>
      <c r="AE72" s="4" t="s">
        <v>868</v>
      </c>
      <c r="AF72" s="4">
        <v>1.91</v>
      </c>
      <c r="AH72" s="13" t="s">
        <v>923</v>
      </c>
      <c r="AI72" s="13" t="s">
        <v>924</v>
      </c>
      <c r="AJ72" s="14" t="s">
        <v>897</v>
      </c>
      <c r="AK72" t="s">
        <v>970</v>
      </c>
      <c r="AL72" s="20" t="s">
        <v>1098</v>
      </c>
    </row>
    <row r="73" spans="1:38" x14ac:dyDescent="0.25">
      <c r="A73" s="14" t="s">
        <v>211</v>
      </c>
      <c r="B73" s="14" t="s">
        <v>212</v>
      </c>
      <c r="C73" s="14" t="s">
        <v>213</v>
      </c>
      <c r="D73" t="s">
        <v>1570</v>
      </c>
      <c r="E73" t="s">
        <v>1578</v>
      </c>
      <c r="F73" s="1">
        <v>3.16</v>
      </c>
      <c r="G73" s="1">
        <v>1.72</v>
      </c>
      <c r="H73" s="1">
        <v>2.08</v>
      </c>
      <c r="I73" s="1">
        <v>1.625</v>
      </c>
      <c r="J73" s="1">
        <v>2.4550000000000001</v>
      </c>
      <c r="K73" s="1">
        <v>1.82</v>
      </c>
      <c r="L73" s="1">
        <v>0.59</v>
      </c>
      <c r="M73" s="1">
        <v>0.64</v>
      </c>
      <c r="N73" s="1">
        <v>0.7</v>
      </c>
      <c r="O73" s="1">
        <v>2.44</v>
      </c>
      <c r="P73" s="1">
        <v>1.8525</v>
      </c>
      <c r="Q73" s="1">
        <v>2.1375000000000002</v>
      </c>
      <c r="R73" s="1">
        <v>0.83888817852055142</v>
      </c>
      <c r="S73" s="1">
        <v>0.62421826110744305</v>
      </c>
      <c r="T73" s="1">
        <v>0.67112501351817477</v>
      </c>
      <c r="U73" s="2">
        <v>11.599999999999998</v>
      </c>
      <c r="V73" s="2">
        <v>7.89</v>
      </c>
      <c r="W73" s="2">
        <v>10.209999999999999</v>
      </c>
      <c r="X73" s="1">
        <v>0.29499999999999998</v>
      </c>
      <c r="Y73" s="1">
        <v>0.32</v>
      </c>
      <c r="Z73" s="1">
        <v>0.35</v>
      </c>
      <c r="AA73" s="2">
        <v>58</v>
      </c>
      <c r="AB73" s="2">
        <v>35.4</v>
      </c>
      <c r="AC73" s="2">
        <v>696</v>
      </c>
      <c r="AD73" s="2">
        <v>38.5</v>
      </c>
      <c r="AE73" s="4" t="s">
        <v>868</v>
      </c>
      <c r="AF73" s="4">
        <v>1.91</v>
      </c>
      <c r="AH73" s="13" t="s">
        <v>923</v>
      </c>
      <c r="AI73" s="13" t="s">
        <v>924</v>
      </c>
      <c r="AJ73" s="14" t="s">
        <v>954</v>
      </c>
      <c r="AK73" t="s">
        <v>989</v>
      </c>
      <c r="AL73" s="20" t="s">
        <v>1098</v>
      </c>
    </row>
    <row r="74" spans="1:38" x14ac:dyDescent="0.25">
      <c r="A74" s="14" t="s">
        <v>214</v>
      </c>
      <c r="B74" s="14" t="s">
        <v>215</v>
      </c>
      <c r="C74" s="14" t="s">
        <v>216</v>
      </c>
      <c r="D74" t="s">
        <v>1570</v>
      </c>
      <c r="E74" t="s">
        <v>1581</v>
      </c>
      <c r="F74" s="1">
        <v>3.9</v>
      </c>
      <c r="G74" s="1">
        <v>1.96</v>
      </c>
      <c r="H74" s="1">
        <v>3.03</v>
      </c>
      <c r="I74" s="1">
        <v>1.94</v>
      </c>
      <c r="J74" s="1">
        <v>2.89</v>
      </c>
      <c r="K74" s="1">
        <v>2.56</v>
      </c>
      <c r="L74" s="1">
        <v>0.63</v>
      </c>
      <c r="M74" s="1">
        <v>0.66</v>
      </c>
      <c r="N74" s="1">
        <v>0.71</v>
      </c>
      <c r="O74" s="1">
        <v>2.9299999999999997</v>
      </c>
      <c r="P74" s="1">
        <v>2.4849999999999999</v>
      </c>
      <c r="Q74" s="1">
        <v>2.7250000000000001</v>
      </c>
      <c r="R74" s="1">
        <v>0.8645399486512686</v>
      </c>
      <c r="S74" s="1">
        <v>0.76815491698919636</v>
      </c>
      <c r="T74" s="1">
        <v>0.46404209446196332</v>
      </c>
      <c r="U74" s="2">
        <v>16.2</v>
      </c>
      <c r="V74" s="2">
        <v>13.5</v>
      </c>
      <c r="W74" s="2">
        <v>13.8</v>
      </c>
      <c r="X74" s="1">
        <v>0.315</v>
      </c>
      <c r="Y74" s="1">
        <v>0.33</v>
      </c>
      <c r="Z74" s="1">
        <v>0.35499999999999998</v>
      </c>
      <c r="AA74" s="2">
        <v>50</v>
      </c>
      <c r="AB74" s="2">
        <v>34.700000000000003</v>
      </c>
      <c r="AC74" s="2">
        <v>150</v>
      </c>
      <c r="AD74" s="2">
        <v>39.6</v>
      </c>
      <c r="AE74" s="4" t="s">
        <v>868</v>
      </c>
      <c r="AF74" s="4">
        <v>1.91</v>
      </c>
      <c r="AH74" s="13" t="s">
        <v>923</v>
      </c>
      <c r="AI74" s="13" t="s">
        <v>924</v>
      </c>
      <c r="AJ74" s="14" t="s">
        <v>1115</v>
      </c>
      <c r="AK74" t="s">
        <v>990</v>
      </c>
      <c r="AL74" s="20" t="s">
        <v>1098</v>
      </c>
    </row>
    <row r="75" spans="1:38" x14ac:dyDescent="0.25">
      <c r="A75" s="14" t="s">
        <v>217</v>
      </c>
      <c r="B75" s="14" t="s">
        <v>218</v>
      </c>
      <c r="C75" s="14" t="s">
        <v>219</v>
      </c>
      <c r="D75" t="s">
        <v>1570</v>
      </c>
      <c r="E75" t="s">
        <v>1581</v>
      </c>
      <c r="F75" s="1">
        <v>3.36</v>
      </c>
      <c r="G75" s="1">
        <v>2.2200000000000002</v>
      </c>
      <c r="H75" s="1">
        <v>2.77</v>
      </c>
      <c r="I75" s="1">
        <v>1.75</v>
      </c>
      <c r="J75" s="1">
        <v>2.5499999999999998</v>
      </c>
      <c r="K75" s="1">
        <v>1.71</v>
      </c>
      <c r="L75" s="1">
        <v>0.64</v>
      </c>
      <c r="M75" s="1">
        <v>0.55000000000000004</v>
      </c>
      <c r="N75" s="1">
        <v>0.6</v>
      </c>
      <c r="O75" s="1">
        <v>2.79</v>
      </c>
      <c r="P75" s="1">
        <v>2.2599999999999998</v>
      </c>
      <c r="Q75" s="1">
        <v>2.13</v>
      </c>
      <c r="R75" s="1">
        <v>0.75063748417798926</v>
      </c>
      <c r="S75" s="1">
        <v>0.77515675184998234</v>
      </c>
      <c r="T75" s="1">
        <v>0.74182977743220924</v>
      </c>
      <c r="U75" s="2">
        <v>13.1</v>
      </c>
      <c r="V75" s="2">
        <v>10.9</v>
      </c>
      <c r="W75" s="2">
        <v>10.9</v>
      </c>
      <c r="X75" s="1">
        <v>0.32</v>
      </c>
      <c r="Y75" s="1">
        <v>0.27500000000000002</v>
      </c>
      <c r="Z75" s="1">
        <v>0.3</v>
      </c>
      <c r="AA75" s="2">
        <v>70</v>
      </c>
      <c r="AB75" s="2">
        <v>32.4</v>
      </c>
      <c r="AC75" s="2">
        <v>300</v>
      </c>
      <c r="AD75" s="2">
        <v>38.4</v>
      </c>
      <c r="AE75" s="4" t="s">
        <v>868</v>
      </c>
      <c r="AF75" s="4">
        <v>1.91</v>
      </c>
      <c r="AH75" s="13" t="s">
        <v>923</v>
      </c>
      <c r="AI75" s="13" t="s">
        <v>924</v>
      </c>
      <c r="AJ75" s="14" t="s">
        <v>888</v>
      </c>
      <c r="AK75" t="s">
        <v>991</v>
      </c>
      <c r="AL75" s="20" t="s">
        <v>1098</v>
      </c>
    </row>
    <row r="76" spans="1:38" x14ac:dyDescent="0.25">
      <c r="A76" s="14" t="s">
        <v>220</v>
      </c>
      <c r="B76" s="14" t="s">
        <v>221</v>
      </c>
      <c r="C76" s="14" t="s">
        <v>150</v>
      </c>
      <c r="D76" t="s">
        <v>1570</v>
      </c>
      <c r="E76" t="s">
        <v>1581</v>
      </c>
      <c r="F76" s="1">
        <v>1.97</v>
      </c>
      <c r="G76" s="1">
        <v>1.6</v>
      </c>
      <c r="H76" s="1">
        <v>1.96</v>
      </c>
      <c r="I76" s="1">
        <v>1.155</v>
      </c>
      <c r="J76" s="1">
        <v>2.02</v>
      </c>
      <c r="K76" s="1">
        <v>1.4</v>
      </c>
      <c r="L76" s="1">
        <v>0.45</v>
      </c>
      <c r="M76" s="1">
        <v>0.48</v>
      </c>
      <c r="N76" s="1">
        <v>0.48</v>
      </c>
      <c r="O76" s="1">
        <v>1.7850000000000001</v>
      </c>
      <c r="P76" s="1">
        <v>1.5575000000000001</v>
      </c>
      <c r="Q76" s="1">
        <v>1.71</v>
      </c>
      <c r="R76" s="1">
        <v>0.58340311537742062</v>
      </c>
      <c r="S76" s="1">
        <v>0.80792471613311556</v>
      </c>
      <c r="T76" s="1">
        <v>0.72087095640662957</v>
      </c>
      <c r="U76" s="2">
        <v>9.67</v>
      </c>
      <c r="V76" s="2">
        <v>7.81</v>
      </c>
      <c r="W76" s="2">
        <v>8.4200000000000017</v>
      </c>
      <c r="X76" s="1">
        <v>0.22500000000000001</v>
      </c>
      <c r="Y76" s="1">
        <v>0.24</v>
      </c>
      <c r="Z76" s="1">
        <v>0.24</v>
      </c>
      <c r="AA76" s="2">
        <v>69</v>
      </c>
      <c r="AB76" s="2">
        <v>21.2</v>
      </c>
      <c r="AC76" s="2">
        <v>40</v>
      </c>
      <c r="AD76" s="2" t="s">
        <v>40</v>
      </c>
      <c r="AE76" s="4" t="s">
        <v>868</v>
      </c>
      <c r="AF76" s="4">
        <v>1.91</v>
      </c>
      <c r="AH76" s="13" t="s">
        <v>923</v>
      </c>
      <c r="AI76" s="13" t="s">
        <v>924</v>
      </c>
      <c r="AJ76" s="14" t="s">
        <v>904</v>
      </c>
      <c r="AK76" s="4" t="s">
        <v>40</v>
      </c>
      <c r="AL76" s="20" t="s">
        <v>1098</v>
      </c>
    </row>
    <row r="77" spans="1:38" x14ac:dyDescent="0.25">
      <c r="A77" s="14" t="s">
        <v>222</v>
      </c>
      <c r="B77" s="14" t="s">
        <v>223</v>
      </c>
      <c r="C77" s="14" t="s">
        <v>224</v>
      </c>
      <c r="D77" t="s">
        <v>1570</v>
      </c>
      <c r="E77" t="s">
        <v>1581</v>
      </c>
      <c r="F77" s="1">
        <v>2.79</v>
      </c>
      <c r="G77" s="1">
        <v>2.36</v>
      </c>
      <c r="H77" s="1">
        <v>2.585</v>
      </c>
      <c r="I77" s="1">
        <v>1.75</v>
      </c>
      <c r="J77" s="1">
        <v>3.04</v>
      </c>
      <c r="K77" s="1">
        <v>1.74</v>
      </c>
      <c r="L77" s="1">
        <v>0.6</v>
      </c>
      <c r="M77" s="1">
        <v>0.56999999999999995</v>
      </c>
      <c r="N77" s="1">
        <v>0.61</v>
      </c>
      <c r="O77" s="1">
        <v>2.5750000000000002</v>
      </c>
      <c r="P77" s="1">
        <v>2.1675</v>
      </c>
      <c r="Q77" s="1">
        <v>2.39</v>
      </c>
      <c r="R77" s="1">
        <v>0.53337620747236325</v>
      </c>
      <c r="S77" s="1">
        <v>0.73599902873344225</v>
      </c>
      <c r="T77" s="1">
        <v>0.81999657961586492</v>
      </c>
      <c r="U77" s="2">
        <v>13.709999999999997</v>
      </c>
      <c r="V77" s="2">
        <v>11.49</v>
      </c>
      <c r="W77" s="2">
        <v>12.969999999999999</v>
      </c>
      <c r="X77" s="1">
        <v>0.3</v>
      </c>
      <c r="Y77" s="1">
        <v>0.28499999999999998</v>
      </c>
      <c r="Z77" s="1">
        <v>0.30499999999999999</v>
      </c>
      <c r="AA77" s="2">
        <v>67</v>
      </c>
      <c r="AB77" s="2">
        <v>28.5</v>
      </c>
      <c r="AC77" s="2">
        <v>160</v>
      </c>
      <c r="AD77" s="2">
        <v>37.99</v>
      </c>
      <c r="AE77" s="4" t="s">
        <v>868</v>
      </c>
      <c r="AF77" s="4">
        <v>1.91</v>
      </c>
      <c r="AH77" s="13" t="s">
        <v>923</v>
      </c>
      <c r="AI77" s="13" t="s">
        <v>924</v>
      </c>
      <c r="AJ77" s="14" t="s">
        <v>954</v>
      </c>
      <c r="AK77" t="s">
        <v>992</v>
      </c>
      <c r="AL77" s="20" t="s">
        <v>1098</v>
      </c>
    </row>
    <row r="78" spans="1:38" x14ac:dyDescent="0.25">
      <c r="A78" s="14" t="s">
        <v>225</v>
      </c>
      <c r="B78" s="14" t="s">
        <v>226</v>
      </c>
      <c r="C78" s="14" t="s">
        <v>227</v>
      </c>
      <c r="D78" t="s">
        <v>1570</v>
      </c>
      <c r="E78" t="s">
        <v>1581</v>
      </c>
      <c r="F78" s="1">
        <v>3.0350000000000001</v>
      </c>
      <c r="G78" s="1">
        <v>2.8</v>
      </c>
      <c r="H78" s="1">
        <v>2.5099999999999998</v>
      </c>
      <c r="I78" s="1">
        <v>1.73</v>
      </c>
      <c r="J78" s="1">
        <v>2.95</v>
      </c>
      <c r="K78" s="1">
        <v>1.9750000000000001</v>
      </c>
      <c r="L78" s="1">
        <v>0.55000000000000004</v>
      </c>
      <c r="M78" s="1">
        <v>0.5</v>
      </c>
      <c r="N78" s="1">
        <v>0.55000000000000004</v>
      </c>
      <c r="O78" s="1">
        <v>2.9175</v>
      </c>
      <c r="P78" s="1">
        <v>2.12</v>
      </c>
      <c r="Q78" s="1">
        <v>2.4625000000000004</v>
      </c>
      <c r="R78" s="1">
        <v>0.38582970946041256</v>
      </c>
      <c r="S78" s="1">
        <v>0.7245302260825055</v>
      </c>
      <c r="T78" s="1">
        <v>0.74281969372507117</v>
      </c>
      <c r="U78" s="2">
        <v>14.899999999999999</v>
      </c>
      <c r="V78" s="2">
        <v>10.55</v>
      </c>
      <c r="W78" s="2">
        <v>12.49</v>
      </c>
      <c r="X78" s="1">
        <v>0.27500000000000002</v>
      </c>
      <c r="Y78" s="1">
        <v>0.25</v>
      </c>
      <c r="Z78" s="1">
        <v>0.27500000000000002</v>
      </c>
      <c r="AA78" s="2">
        <v>130</v>
      </c>
      <c r="AB78" s="2">
        <v>33.758064516129025</v>
      </c>
      <c r="AC78" s="2">
        <v>331</v>
      </c>
      <c r="AD78" s="2">
        <v>39.200000000000003</v>
      </c>
      <c r="AE78" s="4" t="s">
        <v>868</v>
      </c>
      <c r="AF78" s="4">
        <v>1.91</v>
      </c>
      <c r="AH78" s="13" t="s">
        <v>923</v>
      </c>
      <c r="AI78" s="13" t="s">
        <v>924</v>
      </c>
      <c r="AJ78" s="14" t="s">
        <v>895</v>
      </c>
      <c r="AK78" t="s">
        <v>993</v>
      </c>
      <c r="AL78" s="20" t="s">
        <v>1098</v>
      </c>
    </row>
    <row r="79" spans="1:38" x14ac:dyDescent="0.25">
      <c r="A79" s="14" t="s">
        <v>228</v>
      </c>
      <c r="B79" s="14" t="s">
        <v>229</v>
      </c>
      <c r="C79" s="14" t="s">
        <v>111</v>
      </c>
      <c r="D79" t="s">
        <v>1570</v>
      </c>
      <c r="E79" t="s">
        <v>1581</v>
      </c>
      <c r="F79" s="1">
        <v>2.6349999999999998</v>
      </c>
      <c r="G79" s="1">
        <v>2.37</v>
      </c>
      <c r="H79" s="1">
        <v>2.4049999999999998</v>
      </c>
      <c r="I79" s="1">
        <v>1.665</v>
      </c>
      <c r="J79" s="1">
        <v>2.7149999999999999</v>
      </c>
      <c r="K79" s="1">
        <v>1.95</v>
      </c>
      <c r="L79" s="1">
        <v>0.51</v>
      </c>
      <c r="M79" s="1">
        <v>0.53</v>
      </c>
      <c r="N79" s="1">
        <v>0.52</v>
      </c>
      <c r="O79" s="1">
        <v>2.5024999999999999</v>
      </c>
      <c r="P79" s="1">
        <v>2.0350000000000001</v>
      </c>
      <c r="Q79" s="1">
        <v>2.3325</v>
      </c>
      <c r="R79" s="1">
        <v>0.43706331792405584</v>
      </c>
      <c r="S79" s="1">
        <v>0.72160242458821988</v>
      </c>
      <c r="T79" s="1">
        <v>0.69580365814349987</v>
      </c>
      <c r="U79" s="2">
        <v>12.93</v>
      </c>
      <c r="V79" s="2">
        <v>9.3399999999999981</v>
      </c>
      <c r="W79" s="2">
        <v>11.480000000000002</v>
      </c>
      <c r="X79" s="1">
        <v>0.255</v>
      </c>
      <c r="Y79" s="1">
        <v>0.26500000000000001</v>
      </c>
      <c r="Z79" s="1">
        <v>0.26</v>
      </c>
      <c r="AA79" s="2">
        <v>82</v>
      </c>
      <c r="AB79" s="2">
        <v>24.9</v>
      </c>
      <c r="AC79" s="2">
        <v>139</v>
      </c>
      <c r="AD79" s="2">
        <v>40.9</v>
      </c>
      <c r="AE79" s="4" t="s">
        <v>868</v>
      </c>
      <c r="AF79" s="4">
        <v>1.91</v>
      </c>
      <c r="AH79" s="13" t="s">
        <v>929</v>
      </c>
      <c r="AI79" s="13" t="s">
        <v>923</v>
      </c>
      <c r="AJ79" t="s">
        <v>905</v>
      </c>
      <c r="AK79" t="s">
        <v>994</v>
      </c>
      <c r="AL79" s="20" t="s">
        <v>1098</v>
      </c>
    </row>
    <row r="80" spans="1:38" x14ac:dyDescent="0.25">
      <c r="A80" s="14" t="s">
        <v>230</v>
      </c>
      <c r="B80" s="14" t="s">
        <v>231</v>
      </c>
      <c r="C80" s="14" t="s">
        <v>1260</v>
      </c>
      <c r="D80" t="s">
        <v>1570</v>
      </c>
      <c r="E80" t="s">
        <v>1581</v>
      </c>
      <c r="F80" s="1">
        <v>2.56</v>
      </c>
      <c r="G80" s="1">
        <v>1.52</v>
      </c>
      <c r="H80" s="1">
        <v>2.1</v>
      </c>
      <c r="I80" s="1">
        <v>1.43</v>
      </c>
      <c r="J80" s="1">
        <v>2.68</v>
      </c>
      <c r="K80" s="1">
        <v>1.77</v>
      </c>
      <c r="L80" s="1">
        <v>0.38</v>
      </c>
      <c r="M80" s="1">
        <v>0.42</v>
      </c>
      <c r="N80" s="1">
        <v>0.44</v>
      </c>
      <c r="O80" s="1">
        <v>2.04</v>
      </c>
      <c r="P80" s="1">
        <v>1.7650000000000001</v>
      </c>
      <c r="Q80" s="1">
        <v>2.2250000000000001</v>
      </c>
      <c r="R80" s="1">
        <v>0.80464957434898332</v>
      </c>
      <c r="S80" s="1">
        <v>0.73232769637320394</v>
      </c>
      <c r="T80" s="1">
        <v>0.75087199623757028</v>
      </c>
      <c r="U80" s="2">
        <v>10.9</v>
      </c>
      <c r="V80" s="2">
        <v>9.6999999999999993</v>
      </c>
      <c r="W80" s="2">
        <v>12.1</v>
      </c>
      <c r="X80" s="1">
        <v>0.19</v>
      </c>
      <c r="Y80" s="1">
        <v>0.21</v>
      </c>
      <c r="Z80" s="1">
        <v>0.22</v>
      </c>
      <c r="AA80" s="2">
        <v>40.700000000000003</v>
      </c>
      <c r="AB80" s="2">
        <v>17.7</v>
      </c>
      <c r="AC80" s="2">
        <v>67.5</v>
      </c>
      <c r="AD80" s="2">
        <v>41.9</v>
      </c>
      <c r="AE80" s="4" t="s">
        <v>868</v>
      </c>
      <c r="AF80" s="4">
        <v>1.91</v>
      </c>
      <c r="AH80" s="13" t="s">
        <v>929</v>
      </c>
      <c r="AI80" s="13" t="s">
        <v>924</v>
      </c>
      <c r="AJ80" s="14" t="s">
        <v>1100</v>
      </c>
      <c r="AK80" t="s">
        <v>969</v>
      </c>
      <c r="AL80" s="20" t="s">
        <v>1098</v>
      </c>
    </row>
    <row r="81" spans="1:38" x14ac:dyDescent="0.25">
      <c r="A81" s="14" t="s">
        <v>232</v>
      </c>
      <c r="B81" s="14" t="s">
        <v>233</v>
      </c>
      <c r="C81" s="14" t="s">
        <v>234</v>
      </c>
      <c r="D81" t="s">
        <v>1570</v>
      </c>
      <c r="E81" t="s">
        <v>1581</v>
      </c>
      <c r="F81" s="1">
        <v>4.09</v>
      </c>
      <c r="G81" s="1">
        <v>2.4849999999999999</v>
      </c>
      <c r="H81" s="1">
        <v>2.84</v>
      </c>
      <c r="I81" s="1">
        <v>2.2650000000000001</v>
      </c>
      <c r="J81" s="1">
        <v>3.03</v>
      </c>
      <c r="K81" s="1">
        <v>2.2850000000000001</v>
      </c>
      <c r="L81" s="1">
        <v>0.65</v>
      </c>
      <c r="M81" s="1">
        <v>0.72</v>
      </c>
      <c r="N81" s="1">
        <v>0.71</v>
      </c>
      <c r="O81" s="1">
        <v>3.2874999999999996</v>
      </c>
      <c r="P81" s="1">
        <v>2.5525000000000002</v>
      </c>
      <c r="Q81" s="1">
        <v>2.6574999999999998</v>
      </c>
      <c r="R81" s="1">
        <v>0.79425889811257799</v>
      </c>
      <c r="S81" s="1">
        <v>0.6032723984970102</v>
      </c>
      <c r="T81" s="1">
        <v>0.65673043340436354</v>
      </c>
      <c r="U81" s="2">
        <v>15.329999999999998</v>
      </c>
      <c r="V81" s="2">
        <v>10.78</v>
      </c>
      <c r="W81" s="2">
        <v>12.53</v>
      </c>
      <c r="X81" s="1">
        <v>0.32500000000000001</v>
      </c>
      <c r="Y81" s="1">
        <v>0.36</v>
      </c>
      <c r="Z81" s="1">
        <v>0.35499999999999998</v>
      </c>
      <c r="AA81" s="2">
        <v>115</v>
      </c>
      <c r="AB81" s="2">
        <v>69.3</v>
      </c>
      <c r="AC81" s="2">
        <v>3285</v>
      </c>
      <c r="AD81" s="2" t="s">
        <v>40</v>
      </c>
      <c r="AE81" s="4" t="s">
        <v>868</v>
      </c>
      <c r="AF81" s="4">
        <v>1.91</v>
      </c>
      <c r="AH81" s="13" t="s">
        <v>923</v>
      </c>
      <c r="AI81" s="13" t="s">
        <v>924</v>
      </c>
      <c r="AJ81" t="s">
        <v>906</v>
      </c>
      <c r="AK81" s="4" t="s">
        <v>40</v>
      </c>
      <c r="AL81" s="20" t="s">
        <v>1098</v>
      </c>
    </row>
    <row r="82" spans="1:38" x14ac:dyDescent="0.25">
      <c r="A82" s="14" t="s">
        <v>235</v>
      </c>
      <c r="B82" s="14" t="s">
        <v>236</v>
      </c>
      <c r="C82" s="14" t="s">
        <v>237</v>
      </c>
      <c r="D82" t="s">
        <v>1570</v>
      </c>
      <c r="E82" t="s">
        <v>1581</v>
      </c>
      <c r="F82" s="1">
        <v>5.45</v>
      </c>
      <c r="G82" s="1">
        <v>3.83</v>
      </c>
      <c r="H82" s="1">
        <v>3.9849999999999999</v>
      </c>
      <c r="I82" s="1">
        <v>2.46</v>
      </c>
      <c r="J82" s="1">
        <v>4.2549999999999999</v>
      </c>
      <c r="K82" s="1">
        <v>3.15</v>
      </c>
      <c r="L82" s="1">
        <v>0.87</v>
      </c>
      <c r="M82" s="1">
        <v>0.87</v>
      </c>
      <c r="N82" s="1">
        <v>0.82</v>
      </c>
      <c r="O82" s="1">
        <v>4.6400000000000006</v>
      </c>
      <c r="P82" s="1">
        <v>3.2225000000000001</v>
      </c>
      <c r="Q82" s="1">
        <v>3.7024999999999997</v>
      </c>
      <c r="R82" s="1">
        <v>0.71143461672235653</v>
      </c>
      <c r="S82" s="1">
        <v>0.78671613430468623</v>
      </c>
      <c r="T82" s="1">
        <v>0.67227058000681938</v>
      </c>
      <c r="U82" s="2">
        <v>24.470000000000002</v>
      </c>
      <c r="V82" s="2">
        <v>16.920000000000002</v>
      </c>
      <c r="W82" s="2">
        <v>19.47</v>
      </c>
      <c r="X82" s="1">
        <v>0.435</v>
      </c>
      <c r="Y82" s="1">
        <v>0.435</v>
      </c>
      <c r="Z82" s="1">
        <v>0.41</v>
      </c>
      <c r="AA82" s="2">
        <v>73</v>
      </c>
      <c r="AB82" s="2">
        <v>48.4</v>
      </c>
      <c r="AC82" s="2">
        <v>1528</v>
      </c>
      <c r="AD82" s="2">
        <v>39</v>
      </c>
      <c r="AE82" s="4" t="s">
        <v>868</v>
      </c>
      <c r="AF82" s="4">
        <v>1.91</v>
      </c>
      <c r="AH82" s="13" t="s">
        <v>923</v>
      </c>
      <c r="AI82" s="13" t="s">
        <v>924</v>
      </c>
      <c r="AJ82" t="s">
        <v>907</v>
      </c>
      <c r="AK82" t="s">
        <v>995</v>
      </c>
      <c r="AL82" s="20" t="s">
        <v>1098</v>
      </c>
    </row>
    <row r="83" spans="1:38" x14ac:dyDescent="0.25">
      <c r="A83" s="14" t="s">
        <v>238</v>
      </c>
      <c r="B83" s="14" t="s">
        <v>239</v>
      </c>
      <c r="C83" s="14" t="s">
        <v>240</v>
      </c>
      <c r="D83" t="s">
        <v>1570</v>
      </c>
      <c r="E83" t="s">
        <v>1581</v>
      </c>
      <c r="F83" s="1">
        <v>3.7549999999999999</v>
      </c>
      <c r="G83" s="1">
        <v>2.69</v>
      </c>
      <c r="H83" s="1">
        <v>2.85</v>
      </c>
      <c r="I83" s="1">
        <v>1.9750000000000001</v>
      </c>
      <c r="J83" s="1">
        <v>3.5350000000000001</v>
      </c>
      <c r="K83" s="1">
        <v>2.2450000000000001</v>
      </c>
      <c r="L83" s="1">
        <v>0.66</v>
      </c>
      <c r="M83" s="1">
        <v>0.59</v>
      </c>
      <c r="N83" s="1">
        <v>0.64</v>
      </c>
      <c r="O83" s="1">
        <v>3.2225000000000001</v>
      </c>
      <c r="P83" s="1">
        <v>2.4125000000000001</v>
      </c>
      <c r="Q83" s="1">
        <v>2.89</v>
      </c>
      <c r="R83" s="1">
        <v>0.6977122102734522</v>
      </c>
      <c r="S83" s="1">
        <v>0.72095444757743654</v>
      </c>
      <c r="T83" s="1">
        <v>0.77244818351217304</v>
      </c>
      <c r="U83" s="2">
        <v>16.990000000000002</v>
      </c>
      <c r="V83" s="2">
        <v>11.370000000000001</v>
      </c>
      <c r="W83" s="2">
        <v>15.490000000000002</v>
      </c>
      <c r="X83" s="1">
        <v>0.33</v>
      </c>
      <c r="Y83" s="1">
        <v>0.29499999999999998</v>
      </c>
      <c r="Z83" s="1">
        <v>0.32</v>
      </c>
      <c r="AA83" s="2">
        <v>64</v>
      </c>
      <c r="AB83" s="2">
        <v>42.3</v>
      </c>
      <c r="AC83" s="2">
        <v>504</v>
      </c>
      <c r="AD83" s="2" t="s">
        <v>40</v>
      </c>
      <c r="AE83" s="4" t="s">
        <v>868</v>
      </c>
      <c r="AF83" s="4">
        <v>1.91</v>
      </c>
      <c r="AH83" s="13" t="s">
        <v>923</v>
      </c>
      <c r="AI83" s="13" t="s">
        <v>924</v>
      </c>
      <c r="AJ83" t="s">
        <v>888</v>
      </c>
      <c r="AK83" s="4" t="s">
        <v>40</v>
      </c>
      <c r="AL83" s="20" t="s">
        <v>1098</v>
      </c>
    </row>
    <row r="84" spans="1:38" x14ac:dyDescent="0.25">
      <c r="A84" s="14" t="s">
        <v>241</v>
      </c>
      <c r="B84" s="14" t="s">
        <v>242</v>
      </c>
      <c r="C84" s="14" t="s">
        <v>243</v>
      </c>
      <c r="D84" t="s">
        <v>1570</v>
      </c>
      <c r="E84" t="s">
        <v>1581</v>
      </c>
      <c r="F84" s="1">
        <v>6.76</v>
      </c>
      <c r="G84" s="1">
        <v>5.62</v>
      </c>
      <c r="H84" s="1">
        <v>5.97</v>
      </c>
      <c r="I84" s="1">
        <v>3.895</v>
      </c>
      <c r="J84" s="1">
        <v>5.4450000000000003</v>
      </c>
      <c r="K84" s="1">
        <v>4.3449999999999998</v>
      </c>
      <c r="L84" s="1">
        <v>1.63</v>
      </c>
      <c r="M84" s="1">
        <v>1.69</v>
      </c>
      <c r="N84" s="1">
        <v>1.63</v>
      </c>
      <c r="O84" s="1">
        <v>6.1899999999999995</v>
      </c>
      <c r="P84" s="1">
        <v>4.9325000000000001</v>
      </c>
      <c r="Q84" s="1">
        <v>4.8949999999999996</v>
      </c>
      <c r="R84" s="1">
        <v>0.55573282809846913</v>
      </c>
      <c r="S84" s="1">
        <v>0.75785001612597247</v>
      </c>
      <c r="T84" s="1">
        <v>0.60268419758288083</v>
      </c>
      <c r="U84" s="2">
        <v>32.419999999999995</v>
      </c>
      <c r="V84" s="2">
        <v>24.509999999999998</v>
      </c>
      <c r="W84" s="2">
        <v>26.460000000000004</v>
      </c>
      <c r="X84" s="1">
        <v>0.81499999999999995</v>
      </c>
      <c r="Y84" s="1">
        <v>0.84499999999999997</v>
      </c>
      <c r="Z84" s="1">
        <v>0.81499999999999995</v>
      </c>
      <c r="AA84" s="2">
        <v>122</v>
      </c>
      <c r="AB84" s="2">
        <v>73.599999999999994</v>
      </c>
      <c r="AC84" s="2">
        <v>4752.5</v>
      </c>
      <c r="AD84" s="2">
        <v>38.6</v>
      </c>
      <c r="AE84" s="4" t="s">
        <v>868</v>
      </c>
      <c r="AF84" s="4">
        <v>1.91</v>
      </c>
      <c r="AH84" s="13" t="s">
        <v>923</v>
      </c>
      <c r="AI84" s="13" t="s">
        <v>924</v>
      </c>
      <c r="AJ84" t="s">
        <v>888</v>
      </c>
      <c r="AK84" t="s">
        <v>996</v>
      </c>
      <c r="AL84" s="20" t="s">
        <v>1098</v>
      </c>
    </row>
    <row r="85" spans="1:38" x14ac:dyDescent="0.25">
      <c r="A85" s="14" t="s">
        <v>244</v>
      </c>
      <c r="B85" s="14" t="s">
        <v>245</v>
      </c>
      <c r="C85" s="14" t="s">
        <v>246</v>
      </c>
      <c r="D85" t="s">
        <v>1570</v>
      </c>
      <c r="E85" t="s">
        <v>1581</v>
      </c>
      <c r="F85" s="1">
        <v>5.47</v>
      </c>
      <c r="G85" s="1">
        <v>3.38</v>
      </c>
      <c r="H85" s="1">
        <v>4.97</v>
      </c>
      <c r="I85" s="1">
        <v>3.12</v>
      </c>
      <c r="J85" s="1">
        <v>5.01</v>
      </c>
      <c r="K85" s="1">
        <v>3.09</v>
      </c>
      <c r="L85" s="1">
        <v>1.1599999999999999</v>
      </c>
      <c r="M85" s="1">
        <v>1.1200000000000001</v>
      </c>
      <c r="N85" s="1">
        <v>1.07</v>
      </c>
      <c r="O85" s="1">
        <v>4.4249999999999998</v>
      </c>
      <c r="P85" s="1">
        <v>4.0449999999999999</v>
      </c>
      <c r="Q85" s="1">
        <v>4.05</v>
      </c>
      <c r="R85" s="1">
        <v>0.7862441951627408</v>
      </c>
      <c r="S85" s="1">
        <v>0.77840162925682821</v>
      </c>
      <c r="T85" s="1">
        <v>0.78714619042658607</v>
      </c>
      <c r="U85" s="2">
        <v>23.2</v>
      </c>
      <c r="V85" s="2">
        <v>19.7</v>
      </c>
      <c r="W85" s="2">
        <v>22</v>
      </c>
      <c r="X85" s="1">
        <v>0.57999999999999996</v>
      </c>
      <c r="Y85" s="1">
        <v>0.56000000000000005</v>
      </c>
      <c r="Z85" s="1">
        <v>0.53500000000000003</v>
      </c>
      <c r="AA85" s="2">
        <v>75</v>
      </c>
      <c r="AB85" s="2">
        <v>47</v>
      </c>
      <c r="AC85" s="2">
        <v>890</v>
      </c>
      <c r="AD85" s="2">
        <v>41.1</v>
      </c>
      <c r="AE85" s="4" t="s">
        <v>868</v>
      </c>
      <c r="AF85" s="4">
        <v>1.91</v>
      </c>
      <c r="AH85" s="13" t="s">
        <v>923</v>
      </c>
      <c r="AI85" s="13" t="s">
        <v>924</v>
      </c>
      <c r="AJ85" t="s">
        <v>888</v>
      </c>
      <c r="AK85" t="s">
        <v>997</v>
      </c>
      <c r="AL85" s="20" t="s">
        <v>1098</v>
      </c>
    </row>
    <row r="86" spans="1:38" x14ac:dyDescent="0.25">
      <c r="A86" s="14" t="s">
        <v>247</v>
      </c>
      <c r="B86" s="14" t="s">
        <v>248</v>
      </c>
      <c r="C86" s="14" t="s">
        <v>249</v>
      </c>
      <c r="D86" t="s">
        <v>1570</v>
      </c>
      <c r="E86" t="s">
        <v>1581</v>
      </c>
      <c r="F86" s="1">
        <v>7.02</v>
      </c>
      <c r="G86" s="1">
        <v>3.8050000000000002</v>
      </c>
      <c r="H86" s="1">
        <v>4.79</v>
      </c>
      <c r="I86" s="1">
        <v>3.48</v>
      </c>
      <c r="J86" s="1">
        <v>4.5149999999999997</v>
      </c>
      <c r="K86" s="1">
        <v>3.415</v>
      </c>
      <c r="L86" s="1">
        <v>1.1399999999999999</v>
      </c>
      <c r="M86" s="1">
        <v>1.01</v>
      </c>
      <c r="N86" s="1">
        <v>1.1399999999999999</v>
      </c>
      <c r="O86" s="1">
        <v>5.4124999999999996</v>
      </c>
      <c r="P86" s="1">
        <v>4.1349999999999998</v>
      </c>
      <c r="Q86" s="1">
        <v>3.9649999999999999</v>
      </c>
      <c r="R86" s="1">
        <v>0.84036378606399798</v>
      </c>
      <c r="S86" s="1">
        <v>0.6871521175815869</v>
      </c>
      <c r="T86" s="1">
        <v>0.65414674030137976</v>
      </c>
      <c r="U86" s="2">
        <v>27.39</v>
      </c>
      <c r="V86" s="2">
        <v>17.62</v>
      </c>
      <c r="W86" s="2">
        <v>18.510000000000002</v>
      </c>
      <c r="X86" s="1">
        <v>0.56999999999999995</v>
      </c>
      <c r="Y86" s="1">
        <v>0.505</v>
      </c>
      <c r="Z86" s="1">
        <v>0.56999999999999995</v>
      </c>
      <c r="AA86" s="2">
        <v>165</v>
      </c>
      <c r="AB86" s="2">
        <v>75</v>
      </c>
      <c r="AC86" s="2">
        <v>10800</v>
      </c>
      <c r="AD86" s="2" t="s">
        <v>40</v>
      </c>
      <c r="AE86" s="4" t="s">
        <v>868</v>
      </c>
      <c r="AF86" s="4">
        <v>1.91</v>
      </c>
      <c r="AH86" s="13" t="s">
        <v>923</v>
      </c>
      <c r="AI86" s="13" t="s">
        <v>924</v>
      </c>
      <c r="AJ86" t="s">
        <v>908</v>
      </c>
      <c r="AK86" s="4" t="s">
        <v>40</v>
      </c>
      <c r="AL86" s="20" t="s">
        <v>1098</v>
      </c>
    </row>
    <row r="87" spans="1:38" x14ac:dyDescent="0.25">
      <c r="A87" s="14" t="s">
        <v>250</v>
      </c>
      <c r="B87" s="14" t="s">
        <v>251</v>
      </c>
      <c r="C87" s="14" t="s">
        <v>1194</v>
      </c>
      <c r="D87" t="s">
        <v>1570</v>
      </c>
      <c r="E87" t="s">
        <v>1582</v>
      </c>
      <c r="F87" s="1">
        <v>3.786</v>
      </c>
      <c r="G87" s="1">
        <v>2.4864999999999999</v>
      </c>
      <c r="H87" s="1">
        <v>3.1114999999999999</v>
      </c>
      <c r="I87" s="1">
        <v>2.1444999999999999</v>
      </c>
      <c r="J87" s="1">
        <v>3.3959999999999999</v>
      </c>
      <c r="K87" s="1">
        <v>2.4415</v>
      </c>
      <c r="L87" s="1">
        <v>0.73399999999999999</v>
      </c>
      <c r="M87" s="1">
        <v>0.78600000000000003</v>
      </c>
      <c r="N87" s="1">
        <v>0.83799999999999997</v>
      </c>
      <c r="O87" s="1">
        <v>3.13625</v>
      </c>
      <c r="P87" s="1">
        <v>2.6280000000000001</v>
      </c>
      <c r="Q87" s="1">
        <v>2.9187500000000002</v>
      </c>
      <c r="R87" s="1">
        <v>0.75409813599177811</v>
      </c>
      <c r="S87" s="1">
        <v>0.72455458662599326</v>
      </c>
      <c r="T87" s="1">
        <v>0.6950783021081397</v>
      </c>
      <c r="U87" s="2">
        <v>16.637000000000004</v>
      </c>
      <c r="V87" s="2">
        <v>12.925000000000001</v>
      </c>
      <c r="W87" s="2">
        <v>15.321</v>
      </c>
      <c r="X87" s="1">
        <v>0.36699999999999999</v>
      </c>
      <c r="Y87" s="1">
        <v>0.39300000000000002</v>
      </c>
      <c r="Z87" s="1">
        <v>0.41899999999999998</v>
      </c>
      <c r="AA87" s="2">
        <v>48</v>
      </c>
      <c r="AB87" s="2">
        <v>33.1</v>
      </c>
      <c r="AC87" s="2">
        <v>235</v>
      </c>
      <c r="AD87" s="2">
        <v>40.5</v>
      </c>
      <c r="AE87" s="4" t="s">
        <v>868</v>
      </c>
      <c r="AF87" s="4">
        <v>1.91</v>
      </c>
      <c r="AH87" s="13" t="s">
        <v>929</v>
      </c>
      <c r="AI87" s="13" t="s">
        <v>924</v>
      </c>
      <c r="AJ87" t="s">
        <v>888</v>
      </c>
      <c r="AK87" t="s">
        <v>969</v>
      </c>
      <c r="AL87" s="20" t="s">
        <v>1098</v>
      </c>
    </row>
    <row r="88" spans="1:38" x14ac:dyDescent="0.25">
      <c r="A88" s="14" t="s">
        <v>252</v>
      </c>
      <c r="B88" s="14" t="s">
        <v>253</v>
      </c>
      <c r="C88" s="14" t="s">
        <v>1195</v>
      </c>
      <c r="D88" t="s">
        <v>1570</v>
      </c>
      <c r="E88" t="s">
        <v>1582</v>
      </c>
      <c r="F88" s="1">
        <v>1.7284999999999999</v>
      </c>
      <c r="G88" s="1">
        <v>1.0974999999999999</v>
      </c>
      <c r="H88" s="1">
        <v>1.4904999999999999</v>
      </c>
      <c r="I88" s="1">
        <v>1.0285</v>
      </c>
      <c r="J88" s="1">
        <v>1.7789999999999999</v>
      </c>
      <c r="K88" s="1">
        <v>1.129</v>
      </c>
      <c r="L88" s="1">
        <v>0.32940000000000003</v>
      </c>
      <c r="M88" s="1">
        <v>0.3352</v>
      </c>
      <c r="N88" s="1">
        <v>0.30659999999999998</v>
      </c>
      <c r="O88" s="1">
        <f>(F88+G88)/2</f>
        <v>1.4129999999999998</v>
      </c>
      <c r="P88" s="1">
        <f>(H88+I88)/2</f>
        <v>1.2595000000000001</v>
      </c>
      <c r="Q88" s="1">
        <f>(J88+K88)/2</f>
        <v>1.454</v>
      </c>
      <c r="R88" s="1">
        <f>(1-((MIN(F88:G88)/MAX(F88:G88))^2))^0.5</f>
        <v>0.77255849880507799</v>
      </c>
      <c r="S88" s="1">
        <f>(1-((MIN(H88:I88)/MAX(H88:I88))^2))^0.5</f>
        <v>0.72377418863146648</v>
      </c>
      <c r="T88" s="1">
        <f>(1-((MIN(J88:K88)/MAX(J88:K88))^2))^0.5</f>
        <v>0.77281925006142715</v>
      </c>
      <c r="U88" s="2">
        <v>5.5149999999999997</v>
      </c>
      <c r="V88" s="2">
        <v>5.3230000000000004</v>
      </c>
      <c r="W88" s="2">
        <v>7.3250000000000002</v>
      </c>
      <c r="X88" s="1">
        <f>L88/2</f>
        <v>0.16470000000000001</v>
      </c>
      <c r="Y88" s="1">
        <f t="shared" ref="Y88" si="0">M88/2</f>
        <v>0.1676</v>
      </c>
      <c r="Z88" s="1">
        <f t="shared" ref="Z88" si="1">N88/2</f>
        <v>0.15329999999999999</v>
      </c>
      <c r="AA88" s="2">
        <v>23.3</v>
      </c>
      <c r="AB88" s="2">
        <v>15.3</v>
      </c>
      <c r="AC88" s="2">
        <v>29</v>
      </c>
      <c r="AD88" s="2">
        <v>41.7</v>
      </c>
      <c r="AE88" s="4" t="s">
        <v>868</v>
      </c>
      <c r="AF88" s="4">
        <v>1.91</v>
      </c>
      <c r="AH88" s="13" t="s">
        <v>929</v>
      </c>
      <c r="AI88" s="13" t="s">
        <v>924</v>
      </c>
      <c r="AJ88" s="14" t="s">
        <v>954</v>
      </c>
      <c r="AK88" t="s">
        <v>998</v>
      </c>
      <c r="AL88" s="20" t="s">
        <v>1098</v>
      </c>
    </row>
    <row r="89" spans="1:38" x14ac:dyDescent="0.25">
      <c r="A89" s="14" t="s">
        <v>254</v>
      </c>
      <c r="B89" s="14" t="s">
        <v>255</v>
      </c>
      <c r="C89" s="14" t="s">
        <v>256</v>
      </c>
      <c r="D89" t="s">
        <v>1570</v>
      </c>
      <c r="E89" t="s">
        <v>1582</v>
      </c>
      <c r="F89" s="1">
        <v>3.06</v>
      </c>
      <c r="G89" s="1">
        <v>2.4900000000000002</v>
      </c>
      <c r="H89" s="1">
        <v>2.99</v>
      </c>
      <c r="I89" s="1">
        <v>2.1949999999999998</v>
      </c>
      <c r="J89" s="1">
        <v>2.5649999999999999</v>
      </c>
      <c r="K89" s="1">
        <v>2.0499999999999998</v>
      </c>
      <c r="L89" s="1">
        <v>0.72</v>
      </c>
      <c r="M89" s="1">
        <v>0.75</v>
      </c>
      <c r="N89" s="1">
        <v>0.79</v>
      </c>
      <c r="O89" s="1">
        <v>2.7750000000000004</v>
      </c>
      <c r="P89" s="1">
        <v>2.5925000000000002</v>
      </c>
      <c r="Q89" s="1">
        <v>2.3075000000000001</v>
      </c>
      <c r="R89" s="1">
        <v>0.58124936697182872</v>
      </c>
      <c r="S89" s="1">
        <v>0.6790265512508401</v>
      </c>
      <c r="T89" s="1">
        <v>0.60103823121202782</v>
      </c>
      <c r="U89" s="2">
        <v>9.42</v>
      </c>
      <c r="V89" s="2">
        <v>10.36</v>
      </c>
      <c r="W89" s="2">
        <v>10.69</v>
      </c>
      <c r="X89" s="1">
        <v>0.36</v>
      </c>
      <c r="Y89" s="1">
        <v>0.375</v>
      </c>
      <c r="Z89" s="1">
        <v>0.39500000000000002</v>
      </c>
      <c r="AA89" s="2">
        <v>90</v>
      </c>
      <c r="AB89" s="2">
        <v>58.1</v>
      </c>
      <c r="AC89" s="2">
        <v>1015</v>
      </c>
      <c r="AD89" s="2" t="s">
        <v>40</v>
      </c>
      <c r="AE89" s="4" t="s">
        <v>868</v>
      </c>
      <c r="AF89" s="4">
        <v>1.91</v>
      </c>
      <c r="AH89" s="21" t="s">
        <v>923</v>
      </c>
      <c r="AI89" s="21" t="s">
        <v>924</v>
      </c>
      <c r="AJ89" s="22" t="s">
        <v>954</v>
      </c>
      <c r="AK89" s="23" t="s">
        <v>40</v>
      </c>
      <c r="AL89" s="20" t="s">
        <v>1098</v>
      </c>
    </row>
    <row r="90" spans="1:38" x14ac:dyDescent="0.25">
      <c r="A90" s="14" t="s">
        <v>257</v>
      </c>
      <c r="B90" s="14" t="s">
        <v>258</v>
      </c>
      <c r="C90" s="14" t="s">
        <v>259</v>
      </c>
      <c r="D90" t="s">
        <v>1570</v>
      </c>
      <c r="E90" t="s">
        <v>1582</v>
      </c>
      <c r="F90" s="1">
        <v>3.46</v>
      </c>
      <c r="G90" s="1">
        <v>1.96</v>
      </c>
      <c r="H90" s="1">
        <v>2.77</v>
      </c>
      <c r="I90" s="1">
        <v>1.97</v>
      </c>
      <c r="J90" s="1">
        <v>3.05</v>
      </c>
      <c r="K90" s="1">
        <v>1.97</v>
      </c>
      <c r="L90" s="1">
        <v>0.49</v>
      </c>
      <c r="M90" s="1">
        <v>0.5</v>
      </c>
      <c r="N90" s="1">
        <v>0.52</v>
      </c>
      <c r="O90" s="1">
        <v>2.71</v>
      </c>
      <c r="P90" s="1">
        <v>2.37</v>
      </c>
      <c r="Q90" s="1">
        <v>2.5099999999999998</v>
      </c>
      <c r="R90" s="1">
        <v>0.8240796201955638</v>
      </c>
      <c r="S90" s="1">
        <v>0.70299849499714573</v>
      </c>
      <c r="T90" s="1">
        <v>0.7634206391579903</v>
      </c>
      <c r="U90" s="2">
        <v>11.1</v>
      </c>
      <c r="V90" s="2">
        <v>11.4</v>
      </c>
      <c r="W90" s="2">
        <v>12.8</v>
      </c>
      <c r="X90" s="1">
        <v>0.245</v>
      </c>
      <c r="Y90" s="1">
        <v>0.25</v>
      </c>
      <c r="Z90" s="1">
        <v>0.26</v>
      </c>
      <c r="AA90" s="2">
        <v>60.8</v>
      </c>
      <c r="AB90" s="2">
        <v>36</v>
      </c>
      <c r="AC90" s="2">
        <v>407</v>
      </c>
      <c r="AD90" s="2" t="s">
        <v>40</v>
      </c>
      <c r="AE90" s="4" t="s">
        <v>868</v>
      </c>
      <c r="AF90" s="4">
        <v>1.91</v>
      </c>
      <c r="AH90" s="21" t="s">
        <v>923</v>
      </c>
      <c r="AI90" s="21" t="s">
        <v>924</v>
      </c>
      <c r="AJ90" s="24" t="s">
        <v>909</v>
      </c>
      <c r="AK90" s="23" t="s">
        <v>40</v>
      </c>
      <c r="AL90" s="20" t="s">
        <v>1098</v>
      </c>
    </row>
    <row r="91" spans="1:38" x14ac:dyDescent="0.25">
      <c r="A91" s="14" t="s">
        <v>260</v>
      </c>
      <c r="B91" s="14" t="s">
        <v>261</v>
      </c>
      <c r="C91" s="14" t="s">
        <v>262</v>
      </c>
      <c r="D91" t="s">
        <v>1570</v>
      </c>
      <c r="E91" t="s">
        <v>1582</v>
      </c>
      <c r="F91" s="1">
        <v>2.8149999999999999</v>
      </c>
      <c r="G91" s="1">
        <v>2.2050000000000001</v>
      </c>
      <c r="H91" s="1">
        <v>2.2000000000000002</v>
      </c>
      <c r="I91" s="1">
        <v>1.41</v>
      </c>
      <c r="J91" s="1">
        <v>2.645</v>
      </c>
      <c r="K91" s="1">
        <v>2</v>
      </c>
      <c r="L91" s="1">
        <v>0.46</v>
      </c>
      <c r="M91" s="1">
        <v>0.46</v>
      </c>
      <c r="N91" s="1">
        <v>0.57999999999999996</v>
      </c>
      <c r="O91" s="1">
        <v>2.5099999999999998</v>
      </c>
      <c r="P91" s="1">
        <v>1.8050000000000002</v>
      </c>
      <c r="Q91" s="1">
        <v>2.3224999999999998</v>
      </c>
      <c r="R91" s="1">
        <v>0.62163917712790673</v>
      </c>
      <c r="S91" s="1">
        <v>0.76761679058634635</v>
      </c>
      <c r="T91" s="1">
        <v>0.65440564973643589</v>
      </c>
      <c r="U91" s="2">
        <v>13.98</v>
      </c>
      <c r="V91" s="2">
        <v>8.8999999999999986</v>
      </c>
      <c r="W91" s="2">
        <v>12.419999999999998</v>
      </c>
      <c r="X91" s="1">
        <v>0.23</v>
      </c>
      <c r="Y91" s="1">
        <v>0.23</v>
      </c>
      <c r="Z91" s="1">
        <v>0.28999999999999998</v>
      </c>
      <c r="AA91" s="2">
        <v>56.5</v>
      </c>
      <c r="AB91" s="2">
        <v>31.9</v>
      </c>
      <c r="AC91" s="2">
        <v>100</v>
      </c>
      <c r="AD91" s="2" t="s">
        <v>40</v>
      </c>
      <c r="AE91" s="4" t="s">
        <v>868</v>
      </c>
      <c r="AF91" s="4">
        <v>1.91</v>
      </c>
      <c r="AH91" s="21" t="s">
        <v>923</v>
      </c>
      <c r="AI91" s="21" t="s">
        <v>924</v>
      </c>
      <c r="AJ91" s="24" t="s">
        <v>910</v>
      </c>
      <c r="AK91" s="23" t="s">
        <v>40</v>
      </c>
      <c r="AL91" s="20" t="s">
        <v>1098</v>
      </c>
    </row>
    <row r="92" spans="1:38" x14ac:dyDescent="0.25">
      <c r="A92" s="14" t="s">
        <v>263</v>
      </c>
      <c r="B92" s="14" t="s">
        <v>264</v>
      </c>
      <c r="C92" s="14" t="s">
        <v>265</v>
      </c>
      <c r="D92" t="s">
        <v>1570</v>
      </c>
      <c r="E92" t="s">
        <v>1582</v>
      </c>
      <c r="F92" s="1">
        <v>4.9329999999999998</v>
      </c>
      <c r="G92" s="1">
        <v>3.0505</v>
      </c>
      <c r="H92" s="1">
        <v>3.1915</v>
      </c>
      <c r="I92" s="1">
        <v>2.9994999999999998</v>
      </c>
      <c r="J92" s="1">
        <v>4.2430000000000003</v>
      </c>
      <c r="K92" s="1">
        <v>3.6789999999999998</v>
      </c>
      <c r="L92" s="1">
        <v>0.66900000000000004</v>
      </c>
      <c r="M92" s="1">
        <v>0.70899999999999996</v>
      </c>
      <c r="N92" s="1">
        <v>0.68400000000000005</v>
      </c>
      <c r="O92" s="1">
        <v>3.9917499999999997</v>
      </c>
      <c r="P92" s="1">
        <v>3.0954999999999999</v>
      </c>
      <c r="Q92" s="1">
        <v>3.9610000000000003</v>
      </c>
      <c r="R92" s="1">
        <v>0.78587421905445565</v>
      </c>
      <c r="S92" s="1">
        <v>0.34161439879302574</v>
      </c>
      <c r="T92" s="1">
        <v>0.49817730541034239</v>
      </c>
      <c r="U92" s="2">
        <v>22.475999999999999</v>
      </c>
      <c r="V92" s="2">
        <v>13.678000000000001</v>
      </c>
      <c r="W92" s="2">
        <v>22.273</v>
      </c>
      <c r="X92" s="1">
        <v>0.33450000000000002</v>
      </c>
      <c r="Y92" s="1">
        <v>0.35449999999999998</v>
      </c>
      <c r="Z92" s="1">
        <v>0.34200000000000003</v>
      </c>
      <c r="AA92" s="2">
        <v>112.3</v>
      </c>
      <c r="AB92" s="2">
        <v>49.5</v>
      </c>
      <c r="AC92" s="2">
        <v>1250</v>
      </c>
      <c r="AD92" s="2">
        <v>39.200000000000003</v>
      </c>
      <c r="AE92" s="4" t="s">
        <v>868</v>
      </c>
      <c r="AF92" s="4">
        <v>1.91</v>
      </c>
      <c r="AH92" s="21" t="s">
        <v>925</v>
      </c>
      <c r="AI92" s="21" t="s">
        <v>924</v>
      </c>
      <c r="AJ92" s="24" t="s">
        <v>888</v>
      </c>
      <c r="AK92" s="24" t="s">
        <v>999</v>
      </c>
      <c r="AL92" s="20" t="s">
        <v>1098</v>
      </c>
    </row>
    <row r="93" spans="1:38" x14ac:dyDescent="0.25">
      <c r="A93" s="14" t="s">
        <v>266</v>
      </c>
      <c r="B93" s="14" t="s">
        <v>267</v>
      </c>
      <c r="C93" s="14" t="s">
        <v>268</v>
      </c>
      <c r="D93" t="s">
        <v>1570</v>
      </c>
      <c r="E93" t="s">
        <v>1582</v>
      </c>
      <c r="F93" s="1">
        <v>1.74</v>
      </c>
      <c r="G93" s="1">
        <v>1.01</v>
      </c>
      <c r="H93" s="1">
        <v>1.22</v>
      </c>
      <c r="I93" s="1">
        <v>0.79</v>
      </c>
      <c r="J93" s="1">
        <v>1.61</v>
      </c>
      <c r="K93" s="1">
        <v>0.89</v>
      </c>
      <c r="L93" s="1">
        <v>0.25</v>
      </c>
      <c r="M93" s="1">
        <v>0.24</v>
      </c>
      <c r="N93" s="1">
        <v>0.27</v>
      </c>
      <c r="O93" s="1">
        <v>1.375</v>
      </c>
      <c r="P93" s="1">
        <v>1.0049999999999999</v>
      </c>
      <c r="Q93" s="1">
        <v>1.25</v>
      </c>
      <c r="R93" s="1">
        <v>0.81428892616693982</v>
      </c>
      <c r="S93" s="1">
        <v>0.76203062572960423</v>
      </c>
      <c r="T93" s="1">
        <v>0.83331725869557383</v>
      </c>
      <c r="U93" s="2">
        <v>7.4</v>
      </c>
      <c r="V93" s="2">
        <v>5</v>
      </c>
      <c r="W93" s="2">
        <v>7.3</v>
      </c>
      <c r="X93" s="1">
        <v>0.125</v>
      </c>
      <c r="Y93" s="1">
        <v>0.12</v>
      </c>
      <c r="Z93" s="1">
        <v>0.13500000000000001</v>
      </c>
      <c r="AA93" s="2">
        <v>17.7</v>
      </c>
      <c r="AB93" s="2">
        <v>12.4</v>
      </c>
      <c r="AC93" s="2">
        <v>10</v>
      </c>
      <c r="AD93" s="2">
        <v>40.200000000000003</v>
      </c>
      <c r="AE93" s="4" t="s">
        <v>868</v>
      </c>
      <c r="AF93" s="4">
        <v>1.91</v>
      </c>
      <c r="AH93" s="21" t="s">
        <v>925</v>
      </c>
      <c r="AI93" s="21" t="s">
        <v>924</v>
      </c>
      <c r="AJ93" s="24" t="s">
        <v>897</v>
      </c>
      <c r="AK93" s="24" t="s">
        <v>969</v>
      </c>
      <c r="AL93" s="20" t="s">
        <v>1098</v>
      </c>
    </row>
    <row r="94" spans="1:38" x14ac:dyDescent="0.25">
      <c r="A94" s="14" t="s">
        <v>269</v>
      </c>
      <c r="B94" s="14" t="s">
        <v>270</v>
      </c>
      <c r="C94" s="14" t="s">
        <v>1196</v>
      </c>
      <c r="D94" t="s">
        <v>1570</v>
      </c>
      <c r="E94" t="s">
        <v>1582</v>
      </c>
      <c r="F94" s="1">
        <v>1.81</v>
      </c>
      <c r="G94" s="1">
        <v>1.38</v>
      </c>
      <c r="H94" s="1">
        <v>1.39</v>
      </c>
      <c r="I94" s="1">
        <v>0.88</v>
      </c>
      <c r="J94" s="1">
        <v>1.87</v>
      </c>
      <c r="K94" s="1">
        <v>1.18</v>
      </c>
      <c r="L94" s="1">
        <v>0.32</v>
      </c>
      <c r="M94" s="1">
        <v>0.26</v>
      </c>
      <c r="N94" s="1">
        <v>0.39</v>
      </c>
      <c r="O94" s="1">
        <v>1.595</v>
      </c>
      <c r="P94" s="1">
        <v>1.135</v>
      </c>
      <c r="Q94" s="1">
        <v>1.5249999999999999</v>
      </c>
      <c r="R94" s="1">
        <v>0.64706959665106167</v>
      </c>
      <c r="S94" s="1">
        <v>0.77407531182394829</v>
      </c>
      <c r="T94" s="1">
        <v>0.77576978141283925</v>
      </c>
      <c r="U94" s="2">
        <v>7.2</v>
      </c>
      <c r="V94" s="2">
        <v>4.8</v>
      </c>
      <c r="W94" s="2">
        <v>7.7</v>
      </c>
      <c r="X94" s="1">
        <v>0.16</v>
      </c>
      <c r="Y94" s="1">
        <v>0.13</v>
      </c>
      <c r="Z94" s="1">
        <v>0.19500000000000001</v>
      </c>
      <c r="AA94" s="2">
        <v>29</v>
      </c>
      <c r="AB94" s="2">
        <v>16.8</v>
      </c>
      <c r="AC94" s="2">
        <v>23</v>
      </c>
      <c r="AD94" s="2">
        <v>43.5</v>
      </c>
      <c r="AE94" s="4" t="s">
        <v>868</v>
      </c>
      <c r="AF94" s="4">
        <v>1.91</v>
      </c>
      <c r="AH94" s="21" t="s">
        <v>925</v>
      </c>
      <c r="AI94" s="21" t="s">
        <v>924</v>
      </c>
      <c r="AJ94" s="24" t="s">
        <v>925</v>
      </c>
      <c r="AK94" s="24" t="s">
        <v>969</v>
      </c>
      <c r="AL94" s="20" t="s">
        <v>1098</v>
      </c>
    </row>
    <row r="95" spans="1:38" x14ac:dyDescent="0.25">
      <c r="A95" s="14" t="s">
        <v>271</v>
      </c>
      <c r="B95" s="14" t="s">
        <v>272</v>
      </c>
      <c r="C95" s="14" t="s">
        <v>1197</v>
      </c>
      <c r="D95" t="s">
        <v>1570</v>
      </c>
      <c r="E95" t="s">
        <v>1582</v>
      </c>
      <c r="F95" s="1">
        <v>1.75</v>
      </c>
      <c r="G95" s="1">
        <v>1.43</v>
      </c>
      <c r="H95" s="1">
        <v>1.18</v>
      </c>
      <c r="I95" s="1">
        <v>1.05</v>
      </c>
      <c r="J95" s="1">
        <v>1.81</v>
      </c>
      <c r="K95" s="1">
        <v>1.0900000000000001</v>
      </c>
      <c r="L95" s="1">
        <v>0.33</v>
      </c>
      <c r="M95" s="1">
        <v>0.46</v>
      </c>
      <c r="N95" s="1">
        <v>0.43</v>
      </c>
      <c r="O95" s="1">
        <v>1.5899999999999999</v>
      </c>
      <c r="P95" s="1">
        <v>1.115</v>
      </c>
      <c r="Q95" s="1">
        <v>1.4500000000000002</v>
      </c>
      <c r="R95" s="1">
        <v>0.57643520973341689</v>
      </c>
      <c r="S95" s="1">
        <v>0.45629120766006104</v>
      </c>
      <c r="T95" s="1">
        <v>0.79833776212987595</v>
      </c>
      <c r="U95" s="2">
        <v>8</v>
      </c>
      <c r="V95" s="2">
        <v>5.6719999999999997</v>
      </c>
      <c r="W95" s="2">
        <v>8.1999999999999993</v>
      </c>
      <c r="X95" s="1">
        <v>0.16500000000000001</v>
      </c>
      <c r="Y95" s="1">
        <v>0.23</v>
      </c>
      <c r="Z95" s="1">
        <v>0.215</v>
      </c>
      <c r="AA95" s="2">
        <v>29</v>
      </c>
      <c r="AB95" s="2">
        <v>17.5</v>
      </c>
      <c r="AC95" s="2">
        <v>30.8</v>
      </c>
      <c r="AD95" s="2">
        <v>41.5</v>
      </c>
      <c r="AE95" s="4" t="s">
        <v>868</v>
      </c>
      <c r="AF95" s="4">
        <v>1.91</v>
      </c>
      <c r="AH95" s="21" t="s">
        <v>925</v>
      </c>
      <c r="AI95" s="21" t="s">
        <v>924</v>
      </c>
      <c r="AJ95" s="24" t="s">
        <v>911</v>
      </c>
      <c r="AK95" s="24" t="s">
        <v>1000</v>
      </c>
      <c r="AL95" s="20" t="s">
        <v>1098</v>
      </c>
    </row>
    <row r="96" spans="1:38" x14ac:dyDescent="0.25">
      <c r="A96" s="14" t="s">
        <v>273</v>
      </c>
      <c r="B96" s="14" t="s">
        <v>274</v>
      </c>
      <c r="C96" s="14" t="s">
        <v>111</v>
      </c>
      <c r="D96" t="s">
        <v>1570</v>
      </c>
      <c r="E96" t="s">
        <v>1582</v>
      </c>
      <c r="F96" s="1">
        <v>2.1749999999999998</v>
      </c>
      <c r="G96" s="1">
        <v>1.5149999999999999</v>
      </c>
      <c r="H96" s="1">
        <v>1.605</v>
      </c>
      <c r="I96" s="1">
        <v>1.0549999999999999</v>
      </c>
      <c r="J96" s="1">
        <v>1.95</v>
      </c>
      <c r="K96" s="1">
        <v>1.47</v>
      </c>
      <c r="L96" s="1">
        <v>0.38</v>
      </c>
      <c r="M96" s="1">
        <v>0.37</v>
      </c>
      <c r="N96" s="1">
        <v>0.38</v>
      </c>
      <c r="O96" s="1">
        <v>1.8449999999999998</v>
      </c>
      <c r="P96" s="1">
        <v>1.33</v>
      </c>
      <c r="Q96" s="1">
        <v>1.71</v>
      </c>
      <c r="R96" s="1">
        <v>0.71750658226979036</v>
      </c>
      <c r="S96" s="1">
        <v>0.75361082189201578</v>
      </c>
      <c r="T96" s="1">
        <v>0.65705096935577301</v>
      </c>
      <c r="U96" s="2">
        <v>9.91</v>
      </c>
      <c r="V96" s="2">
        <v>5.8900000000000006</v>
      </c>
      <c r="W96" s="2">
        <v>9.2800000000000011</v>
      </c>
      <c r="X96" s="1">
        <v>0.19</v>
      </c>
      <c r="Y96" s="1">
        <v>0.185</v>
      </c>
      <c r="Z96" s="1">
        <v>0.19</v>
      </c>
      <c r="AA96" s="2">
        <v>29.83</v>
      </c>
      <c r="AB96" s="2">
        <v>18.7</v>
      </c>
      <c r="AC96" s="2">
        <v>39.9</v>
      </c>
      <c r="AD96" s="2" t="s">
        <v>40</v>
      </c>
      <c r="AE96" s="4" t="s">
        <v>868</v>
      </c>
      <c r="AF96" s="4">
        <v>1.91</v>
      </c>
      <c r="AH96" s="21" t="s">
        <v>925</v>
      </c>
      <c r="AI96" s="21" t="s">
        <v>923</v>
      </c>
      <c r="AJ96" s="22" t="s">
        <v>954</v>
      </c>
      <c r="AK96" s="23" t="s">
        <v>40</v>
      </c>
      <c r="AL96" s="20" t="s">
        <v>1098</v>
      </c>
    </row>
    <row r="97" spans="1:38" x14ac:dyDescent="0.25">
      <c r="A97" s="14" t="s">
        <v>275</v>
      </c>
      <c r="B97" s="14" t="s">
        <v>276</v>
      </c>
      <c r="C97" s="14" t="s">
        <v>1261</v>
      </c>
      <c r="D97" t="s">
        <v>1570</v>
      </c>
      <c r="E97" t="s">
        <v>1582</v>
      </c>
      <c r="F97" s="1">
        <v>1.9390000000000001</v>
      </c>
      <c r="G97" s="1">
        <v>1.3440000000000001</v>
      </c>
      <c r="H97" s="1">
        <v>1.31</v>
      </c>
      <c r="I97" s="1">
        <v>0.88600000000000001</v>
      </c>
      <c r="J97" s="1">
        <v>1.8240000000000001</v>
      </c>
      <c r="K97" s="1">
        <v>1.2484999999999999</v>
      </c>
      <c r="L97" s="1">
        <v>0.35</v>
      </c>
      <c r="M97" s="1">
        <v>0.35</v>
      </c>
      <c r="N97" s="1">
        <v>0.35</v>
      </c>
      <c r="O97" s="1">
        <v>1.6415000000000002</v>
      </c>
      <c r="P97" s="1">
        <v>1.0980000000000001</v>
      </c>
      <c r="Q97" s="1">
        <v>1.5362499999999999</v>
      </c>
      <c r="R97" s="1">
        <v>0.72080221932424893</v>
      </c>
      <c r="S97" s="1">
        <v>0.73659336157464284</v>
      </c>
      <c r="T97" s="1">
        <v>0.72902727323141203</v>
      </c>
      <c r="U97" s="2">
        <v>8.7300000000000022</v>
      </c>
      <c r="V97" s="2">
        <v>4.91</v>
      </c>
      <c r="W97" s="2">
        <v>8.5499999999999989</v>
      </c>
      <c r="X97" s="1">
        <v>0.17499999999999999</v>
      </c>
      <c r="Y97" s="1">
        <v>0.17499999999999999</v>
      </c>
      <c r="Z97" s="1">
        <v>0.17499999999999999</v>
      </c>
      <c r="AA97" s="2">
        <v>30</v>
      </c>
      <c r="AB97" s="2">
        <v>16.5</v>
      </c>
      <c r="AC97" s="2">
        <v>17.5</v>
      </c>
      <c r="AD97" s="2">
        <v>41.2</v>
      </c>
      <c r="AE97" s="4" t="s">
        <v>868</v>
      </c>
      <c r="AF97" s="4">
        <v>1.91</v>
      </c>
      <c r="AH97" s="21" t="s">
        <v>925</v>
      </c>
      <c r="AI97" s="21" t="s">
        <v>924</v>
      </c>
      <c r="AJ97" s="24" t="s">
        <v>897</v>
      </c>
      <c r="AK97" s="24" t="s">
        <v>1001</v>
      </c>
      <c r="AL97" s="20" t="s">
        <v>1098</v>
      </c>
    </row>
    <row r="98" spans="1:38" x14ac:dyDescent="0.25">
      <c r="A98" s="14" t="s">
        <v>277</v>
      </c>
      <c r="B98" s="14" t="s">
        <v>278</v>
      </c>
      <c r="C98" s="14" t="s">
        <v>279</v>
      </c>
      <c r="D98" t="s">
        <v>1570</v>
      </c>
      <c r="E98" t="s">
        <v>1582</v>
      </c>
      <c r="F98" s="1">
        <v>1.4450000000000001</v>
      </c>
      <c r="G98" s="1">
        <v>0.9</v>
      </c>
      <c r="H98" s="1">
        <v>0.995</v>
      </c>
      <c r="I98" s="1">
        <v>0.60499999999999998</v>
      </c>
      <c r="J98" s="1">
        <v>1.355</v>
      </c>
      <c r="K98" s="1">
        <v>0.70499999999999996</v>
      </c>
      <c r="L98" s="1">
        <v>0.252</v>
      </c>
      <c r="M98" s="1">
        <v>0.25</v>
      </c>
      <c r="N98" s="1">
        <v>0.27</v>
      </c>
      <c r="O98" s="1">
        <v>1.1725000000000001</v>
      </c>
      <c r="P98" s="1">
        <v>0.8</v>
      </c>
      <c r="Q98" s="1">
        <v>1.03</v>
      </c>
      <c r="R98" s="1">
        <v>0.78235133426726033</v>
      </c>
      <c r="S98" s="1">
        <v>0.79390623751282419</v>
      </c>
      <c r="T98" s="1">
        <v>0.85398647634790237</v>
      </c>
      <c r="U98" s="2">
        <v>7.03</v>
      </c>
      <c r="V98" s="2">
        <v>3.52</v>
      </c>
      <c r="W98" s="2">
        <v>6.05</v>
      </c>
      <c r="X98" s="1">
        <v>0.126</v>
      </c>
      <c r="Y98" s="1">
        <v>0.125</v>
      </c>
      <c r="Z98" s="1">
        <v>0.13500000000000001</v>
      </c>
      <c r="AA98" s="2">
        <v>22</v>
      </c>
      <c r="AB98" s="2">
        <v>11.3</v>
      </c>
      <c r="AC98" s="2">
        <v>5.8</v>
      </c>
      <c r="AD98" s="2" t="s">
        <v>40</v>
      </c>
      <c r="AE98" s="4" t="s">
        <v>868</v>
      </c>
      <c r="AF98" s="4">
        <v>1.91</v>
      </c>
      <c r="AH98" s="21" t="s">
        <v>923</v>
      </c>
      <c r="AI98" s="21" t="s">
        <v>924</v>
      </c>
      <c r="AJ98" s="24" t="s">
        <v>912</v>
      </c>
      <c r="AK98" s="23" t="s">
        <v>40</v>
      </c>
      <c r="AL98" s="20" t="s">
        <v>1098</v>
      </c>
    </row>
    <row r="99" spans="1:38" x14ac:dyDescent="0.25">
      <c r="A99" s="14" t="s">
        <v>280</v>
      </c>
      <c r="B99" s="14" t="s">
        <v>281</v>
      </c>
      <c r="C99" s="14" t="s">
        <v>282</v>
      </c>
      <c r="D99" t="s">
        <v>1570</v>
      </c>
      <c r="E99" t="s">
        <v>1582</v>
      </c>
      <c r="F99" s="1">
        <v>2.3050000000000002</v>
      </c>
      <c r="G99" s="1">
        <v>1.52</v>
      </c>
      <c r="H99" s="1">
        <v>1.57</v>
      </c>
      <c r="I99" s="1">
        <v>1.06</v>
      </c>
      <c r="J99" s="1">
        <v>2.0249999999999999</v>
      </c>
      <c r="K99" s="1">
        <v>1.2549999999999999</v>
      </c>
      <c r="L99" s="1">
        <v>0.34</v>
      </c>
      <c r="M99" s="1">
        <v>0.35</v>
      </c>
      <c r="N99" s="1">
        <v>0.39</v>
      </c>
      <c r="O99" s="1">
        <v>1.9125000000000001</v>
      </c>
      <c r="P99" s="1">
        <v>1.3149999999999999</v>
      </c>
      <c r="Q99" s="1">
        <v>1.64</v>
      </c>
      <c r="R99" s="1">
        <v>0.75176070026333852</v>
      </c>
      <c r="S99" s="1">
        <v>0.73767201823787221</v>
      </c>
      <c r="T99" s="1">
        <v>0.78479686025951334</v>
      </c>
      <c r="U99" s="2">
        <v>10.749999999999998</v>
      </c>
      <c r="V99" s="2">
        <v>6.2799999999999994</v>
      </c>
      <c r="W99" s="2">
        <v>8.99</v>
      </c>
      <c r="X99" s="1">
        <v>0.17</v>
      </c>
      <c r="Y99" s="1">
        <v>0.17499999999999999</v>
      </c>
      <c r="Z99" s="1">
        <v>0.19500000000000001</v>
      </c>
      <c r="AA99" s="2">
        <v>30.5</v>
      </c>
      <c r="AB99" s="2">
        <v>16</v>
      </c>
      <c r="AC99" s="2">
        <v>21</v>
      </c>
      <c r="AD99" s="2" t="s">
        <v>40</v>
      </c>
      <c r="AE99" s="4" t="s">
        <v>868</v>
      </c>
      <c r="AF99" s="4">
        <v>1.91</v>
      </c>
      <c r="AH99" s="21" t="s">
        <v>925</v>
      </c>
      <c r="AI99" s="21" t="s">
        <v>924</v>
      </c>
      <c r="AJ99" s="24" t="s">
        <v>913</v>
      </c>
      <c r="AK99" s="23" t="s">
        <v>40</v>
      </c>
      <c r="AL99" s="20" t="s">
        <v>1098</v>
      </c>
    </row>
    <row r="100" spans="1:38" x14ac:dyDescent="0.25">
      <c r="A100" s="14" t="s">
        <v>283</v>
      </c>
      <c r="B100" s="14" t="s">
        <v>284</v>
      </c>
      <c r="C100" s="14" t="s">
        <v>1198</v>
      </c>
      <c r="D100" t="s">
        <v>1570</v>
      </c>
      <c r="E100" t="s">
        <v>1582</v>
      </c>
      <c r="F100" s="1">
        <v>2.5</v>
      </c>
      <c r="G100" s="1">
        <v>1.89</v>
      </c>
      <c r="H100" s="1">
        <v>2.0699999999999998</v>
      </c>
      <c r="I100" s="1">
        <v>1.43</v>
      </c>
      <c r="J100" s="1">
        <v>2.41</v>
      </c>
      <c r="K100" s="1">
        <v>1.68</v>
      </c>
      <c r="L100" s="1">
        <v>0.43</v>
      </c>
      <c r="M100" s="1">
        <v>0.46</v>
      </c>
      <c r="N100" s="1">
        <v>0.42</v>
      </c>
      <c r="O100" s="1">
        <v>2.1949999999999998</v>
      </c>
      <c r="P100" s="1">
        <v>1.75</v>
      </c>
      <c r="Q100" s="1">
        <v>2.0449999999999999</v>
      </c>
      <c r="R100" s="1">
        <v>0.65457161563880839</v>
      </c>
      <c r="S100" s="1">
        <v>0.72302558198530253</v>
      </c>
      <c r="T100" s="1">
        <v>0.71697834942739502</v>
      </c>
      <c r="U100" s="2">
        <v>12.8</v>
      </c>
      <c r="V100" s="2">
        <v>8.6999999999999993</v>
      </c>
      <c r="W100" s="2">
        <v>11.1</v>
      </c>
      <c r="X100" s="1">
        <v>0.215</v>
      </c>
      <c r="Y100" s="1">
        <v>0.23</v>
      </c>
      <c r="Z100" s="1">
        <v>0.21</v>
      </c>
      <c r="AA100" s="2">
        <v>46.3</v>
      </c>
      <c r="AB100" s="2">
        <v>21.9</v>
      </c>
      <c r="AC100" s="2">
        <v>100</v>
      </c>
      <c r="AD100" s="2">
        <v>43.2</v>
      </c>
      <c r="AE100" s="4" t="s">
        <v>868</v>
      </c>
      <c r="AF100" s="4">
        <v>1.91</v>
      </c>
      <c r="AH100" s="21" t="s">
        <v>929</v>
      </c>
      <c r="AI100" s="21" t="s">
        <v>924</v>
      </c>
      <c r="AJ100" s="24" t="s">
        <v>914</v>
      </c>
      <c r="AK100" s="24" t="s">
        <v>969</v>
      </c>
      <c r="AL100" s="20" t="s">
        <v>1098</v>
      </c>
    </row>
    <row r="101" spans="1:38" x14ac:dyDescent="0.25">
      <c r="A101" s="14" t="s">
        <v>285</v>
      </c>
      <c r="B101" s="14" t="s">
        <v>286</v>
      </c>
      <c r="C101" s="14" t="s">
        <v>287</v>
      </c>
      <c r="D101" t="s">
        <v>1571</v>
      </c>
      <c r="E101" t="s">
        <v>1596</v>
      </c>
      <c r="F101" s="1">
        <v>3.1185</v>
      </c>
      <c r="G101" s="1">
        <v>1.8704999999999998</v>
      </c>
      <c r="H101" s="1">
        <v>2.6122500000000004</v>
      </c>
      <c r="I101" s="1">
        <v>1.6367500000000001</v>
      </c>
      <c r="J101" s="1">
        <v>3.1492500000000003</v>
      </c>
      <c r="K101" s="1">
        <v>2.5217499999999999</v>
      </c>
      <c r="L101" s="1">
        <v>0.59099999999999997</v>
      </c>
      <c r="M101" s="1">
        <v>0.47750000000000004</v>
      </c>
      <c r="N101" s="1">
        <v>0.63450000000000006</v>
      </c>
      <c r="O101" s="1">
        <v>2.4944999999999999</v>
      </c>
      <c r="P101" s="1">
        <v>2.1245000000000003</v>
      </c>
      <c r="Q101" s="1">
        <v>2.8355000000000001</v>
      </c>
      <c r="R101" s="1">
        <v>0.80014426400059024</v>
      </c>
      <c r="S101" s="1">
        <v>0.77936745157348442</v>
      </c>
      <c r="T101" s="1">
        <v>0.59900376301623104</v>
      </c>
      <c r="U101" s="2">
        <v>8.8524999999999991</v>
      </c>
      <c r="V101" s="2">
        <v>8.6959999999999997</v>
      </c>
      <c r="W101" s="2">
        <v>11.733499999999999</v>
      </c>
      <c r="X101" s="1">
        <v>0.29549999999999998</v>
      </c>
      <c r="Y101" s="1">
        <v>0.23875000000000002</v>
      </c>
      <c r="Z101" s="1">
        <v>0.31725000000000003</v>
      </c>
      <c r="AA101" s="2">
        <v>46.1</v>
      </c>
      <c r="AB101" s="2">
        <v>35.700000000000003</v>
      </c>
      <c r="AC101" s="2">
        <v>454</v>
      </c>
      <c r="AD101" s="2">
        <v>15</v>
      </c>
      <c r="AE101" s="4" t="s">
        <v>866</v>
      </c>
      <c r="AF101" s="4">
        <v>1.19</v>
      </c>
      <c r="AH101" s="21" t="s">
        <v>1150</v>
      </c>
      <c r="AI101" s="21" t="s">
        <v>924</v>
      </c>
      <c r="AJ101" s="22" t="s">
        <v>954</v>
      </c>
      <c r="AK101" s="24" t="s">
        <v>1002</v>
      </c>
      <c r="AL101" s="20" t="s">
        <v>1098</v>
      </c>
    </row>
    <row r="102" spans="1:38" x14ac:dyDescent="0.25">
      <c r="A102" s="15" t="s">
        <v>40</v>
      </c>
      <c r="B102" s="15" t="s">
        <v>40</v>
      </c>
      <c r="C102" s="14" t="s">
        <v>1125</v>
      </c>
      <c r="D102" t="s">
        <v>1571</v>
      </c>
      <c r="E102" t="s">
        <v>1596</v>
      </c>
      <c r="F102" s="1">
        <v>2.7789999999999999</v>
      </c>
      <c r="G102" s="1">
        <v>1.7989999999999999</v>
      </c>
      <c r="H102" s="1">
        <v>2.3025000000000002</v>
      </c>
      <c r="I102" s="1">
        <v>1.4430000000000001</v>
      </c>
      <c r="J102" s="1">
        <v>2.6875</v>
      </c>
      <c r="K102" s="1">
        <v>2.1564999999999999</v>
      </c>
      <c r="L102" s="1">
        <v>0.61099999999999999</v>
      </c>
      <c r="M102" s="1">
        <v>0.45</v>
      </c>
      <c r="N102" s="1">
        <v>0.66700000000000004</v>
      </c>
      <c r="O102" s="1">
        <v>2.2889999999999997</v>
      </c>
      <c r="P102" s="1">
        <v>1.8727500000000001</v>
      </c>
      <c r="Q102" s="1">
        <v>2.4219999999999997</v>
      </c>
      <c r="R102" s="1">
        <v>0.76218848849529774</v>
      </c>
      <c r="S102" s="1">
        <v>0.77925249657344797</v>
      </c>
      <c r="T102" s="1">
        <v>0.59676157961926546</v>
      </c>
      <c r="U102" s="2">
        <v>7.7679999999999998</v>
      </c>
      <c r="V102" s="2">
        <v>8.1120000000000001</v>
      </c>
      <c r="W102" s="2">
        <v>10.848000000000001</v>
      </c>
      <c r="X102" s="1">
        <v>0.30549999999999999</v>
      </c>
      <c r="Y102" s="1">
        <v>0.22500000000000001</v>
      </c>
      <c r="Z102" s="1">
        <v>0.33350000000000002</v>
      </c>
      <c r="AA102" s="2">
        <v>53.1</v>
      </c>
      <c r="AB102" s="2" t="s">
        <v>40</v>
      </c>
      <c r="AC102" s="2" t="s">
        <v>40</v>
      </c>
      <c r="AD102" s="2" t="s">
        <v>40</v>
      </c>
      <c r="AE102" s="2" t="s">
        <v>40</v>
      </c>
      <c r="AF102" s="2" t="s">
        <v>40</v>
      </c>
      <c r="AH102" s="21" t="s">
        <v>923</v>
      </c>
      <c r="AI102" s="2" t="s">
        <v>40</v>
      </c>
      <c r="AJ102" s="2" t="s">
        <v>40</v>
      </c>
      <c r="AK102" s="2" t="s">
        <v>40</v>
      </c>
      <c r="AL102" s="20"/>
    </row>
    <row r="103" spans="1:38" x14ac:dyDescent="0.25">
      <c r="A103" s="15" t="s">
        <v>40</v>
      </c>
      <c r="B103" s="15" t="s">
        <v>40</v>
      </c>
      <c r="C103" s="14" t="s">
        <v>1126</v>
      </c>
      <c r="D103" t="s">
        <v>1571</v>
      </c>
      <c r="E103" t="s">
        <v>1596</v>
      </c>
      <c r="F103" s="1">
        <v>3.4580000000000002</v>
      </c>
      <c r="G103" s="1">
        <v>1.9419999999999999</v>
      </c>
      <c r="H103" s="1">
        <v>2.9220000000000002</v>
      </c>
      <c r="I103" s="1">
        <v>1.8305</v>
      </c>
      <c r="J103" s="1">
        <v>3.6110000000000002</v>
      </c>
      <c r="K103" s="1">
        <v>2.887</v>
      </c>
      <c r="L103" s="1">
        <v>0.57099999999999995</v>
      </c>
      <c r="M103" s="1">
        <v>0.505</v>
      </c>
      <c r="N103" s="1">
        <v>0.60199999999999998</v>
      </c>
      <c r="O103" s="1">
        <v>2.7</v>
      </c>
      <c r="P103" s="1">
        <v>2.3762500000000002</v>
      </c>
      <c r="Q103" s="1">
        <v>3.2490000000000001</v>
      </c>
      <c r="R103" s="1">
        <v>0.82741138352108956</v>
      </c>
      <c r="S103" s="1">
        <v>0.77945800428259238</v>
      </c>
      <c r="T103" s="1">
        <v>0.60066406128779037</v>
      </c>
      <c r="U103" s="2">
        <v>9.9369999999999994</v>
      </c>
      <c r="V103" s="2">
        <v>9.2799999999999994</v>
      </c>
      <c r="W103" s="2">
        <v>12.619</v>
      </c>
      <c r="X103" s="1">
        <v>0.28549999999999998</v>
      </c>
      <c r="Y103" s="1">
        <v>0.2525</v>
      </c>
      <c r="Z103" s="1">
        <v>0.30099999999999999</v>
      </c>
      <c r="AA103" s="2">
        <v>39.1</v>
      </c>
      <c r="AB103" s="2" t="s">
        <v>40</v>
      </c>
      <c r="AC103" s="2" t="s">
        <v>40</v>
      </c>
      <c r="AD103" s="2" t="s">
        <v>40</v>
      </c>
      <c r="AE103" s="2" t="s">
        <v>40</v>
      </c>
      <c r="AF103" s="2" t="s">
        <v>40</v>
      </c>
      <c r="AH103" s="21" t="s">
        <v>923</v>
      </c>
      <c r="AI103" s="2" t="s">
        <v>40</v>
      </c>
      <c r="AJ103" s="2" t="s">
        <v>40</v>
      </c>
      <c r="AK103" s="2" t="s">
        <v>40</v>
      </c>
      <c r="AL103" s="20"/>
    </row>
    <row r="104" spans="1:38" x14ac:dyDescent="0.25">
      <c r="A104" s="14" t="s">
        <v>288</v>
      </c>
      <c r="B104" s="14" t="s">
        <v>289</v>
      </c>
      <c r="C104" s="14" t="s">
        <v>290</v>
      </c>
      <c r="D104" t="s">
        <v>1571</v>
      </c>
      <c r="E104" t="s">
        <v>1583</v>
      </c>
      <c r="F104" s="1">
        <v>0.6885</v>
      </c>
      <c r="G104" s="1">
        <v>0.29599999999999999</v>
      </c>
      <c r="H104" s="1">
        <v>0.63600000000000001</v>
      </c>
      <c r="I104" s="1">
        <v>0.32350000000000001</v>
      </c>
      <c r="J104" s="1">
        <v>0.65249999999999997</v>
      </c>
      <c r="K104" s="1">
        <v>0.39700000000000002</v>
      </c>
      <c r="L104" s="1">
        <v>0.12</v>
      </c>
      <c r="M104" s="1">
        <v>0.11899999999999999</v>
      </c>
      <c r="N104" s="1">
        <v>0.14000000000000001</v>
      </c>
      <c r="O104" s="1">
        <v>0.49224999999999997</v>
      </c>
      <c r="P104" s="1">
        <v>0.47975000000000001</v>
      </c>
      <c r="Q104" s="1">
        <v>0.52475000000000005</v>
      </c>
      <c r="R104" s="1">
        <v>0.90286693022349607</v>
      </c>
      <c r="S104" s="1">
        <v>0.86097469000823545</v>
      </c>
      <c r="T104" s="1">
        <v>0.7936082203631456</v>
      </c>
      <c r="U104" s="2">
        <v>1.8320000000000001</v>
      </c>
      <c r="V104" s="2">
        <v>1.83</v>
      </c>
      <c r="W104" s="2">
        <v>2.0840000000000001</v>
      </c>
      <c r="X104" s="1">
        <v>0.06</v>
      </c>
      <c r="Y104" s="1">
        <v>5.9499999999999997E-2</v>
      </c>
      <c r="Z104" s="1">
        <v>7.0000000000000007E-2</v>
      </c>
      <c r="AA104" s="2">
        <v>9.1999999999999993</v>
      </c>
      <c r="AB104" s="2">
        <v>6.8</v>
      </c>
      <c r="AC104" s="2">
        <v>5.23</v>
      </c>
      <c r="AD104" s="2" t="s">
        <v>40</v>
      </c>
      <c r="AE104" s="4" t="s">
        <v>866</v>
      </c>
      <c r="AF104" s="4">
        <v>1.19</v>
      </c>
      <c r="AH104" s="21" t="s">
        <v>923</v>
      </c>
      <c r="AI104" s="21" t="s">
        <v>924</v>
      </c>
      <c r="AJ104" s="24" t="s">
        <v>919</v>
      </c>
      <c r="AK104" s="23" t="s">
        <v>40</v>
      </c>
      <c r="AL104" s="20" t="s">
        <v>1098</v>
      </c>
    </row>
    <row r="105" spans="1:38" x14ac:dyDescent="0.25">
      <c r="A105" s="14" t="s">
        <v>291</v>
      </c>
      <c r="B105" s="14" t="s">
        <v>292</v>
      </c>
      <c r="C105" s="14" t="s">
        <v>293</v>
      </c>
      <c r="D105" t="s">
        <v>1571</v>
      </c>
      <c r="E105" t="s">
        <v>1583</v>
      </c>
      <c r="F105" s="1">
        <v>1.647</v>
      </c>
      <c r="G105" s="1">
        <v>0.58799999999999997</v>
      </c>
      <c r="H105" s="1">
        <v>1.228</v>
      </c>
      <c r="I105" s="1">
        <v>0.62949999999999995</v>
      </c>
      <c r="J105" s="1">
        <v>1.5195000000000001</v>
      </c>
      <c r="K105" s="1">
        <v>0.78249999999999997</v>
      </c>
      <c r="L105" s="1">
        <v>0.32800000000000001</v>
      </c>
      <c r="M105" s="1">
        <v>0.36799999999999999</v>
      </c>
      <c r="N105" s="1">
        <v>0.307</v>
      </c>
      <c r="O105" s="1">
        <v>1.1174999999999999</v>
      </c>
      <c r="P105" s="1">
        <v>0.92874999999999996</v>
      </c>
      <c r="Q105" s="1">
        <v>1.151</v>
      </c>
      <c r="R105" s="1">
        <v>0.93409951076546938</v>
      </c>
      <c r="S105" s="1">
        <v>0.85861430892826118</v>
      </c>
      <c r="T105" s="1">
        <v>0.85720698086073988</v>
      </c>
      <c r="U105" s="2">
        <v>4.21</v>
      </c>
      <c r="V105" s="2">
        <v>3.42</v>
      </c>
      <c r="W105" s="2">
        <v>3.855</v>
      </c>
      <c r="X105" s="1">
        <v>0.16400000000000001</v>
      </c>
      <c r="Y105" s="1">
        <v>0.184</v>
      </c>
      <c r="Z105" s="1">
        <v>0.1535</v>
      </c>
      <c r="AA105" s="2">
        <v>22</v>
      </c>
      <c r="AB105" s="2">
        <v>15.4</v>
      </c>
      <c r="AC105" s="2">
        <v>11</v>
      </c>
      <c r="AD105" s="2">
        <v>28.2</v>
      </c>
      <c r="AE105" s="4" t="s">
        <v>866</v>
      </c>
      <c r="AF105" s="4">
        <v>1.19</v>
      </c>
      <c r="AH105" s="21" t="s">
        <v>923</v>
      </c>
      <c r="AI105" s="21" t="s">
        <v>924</v>
      </c>
      <c r="AJ105" s="24" t="s">
        <v>915</v>
      </c>
      <c r="AK105" s="24" t="s">
        <v>1003</v>
      </c>
      <c r="AL105" s="20" t="s">
        <v>1098</v>
      </c>
    </row>
    <row r="106" spans="1:38" x14ac:dyDescent="0.25">
      <c r="A106" s="14" t="s">
        <v>294</v>
      </c>
      <c r="B106" s="14" t="s">
        <v>295</v>
      </c>
      <c r="C106" s="14" t="s">
        <v>296</v>
      </c>
      <c r="D106" t="s">
        <v>1571</v>
      </c>
      <c r="E106" t="s">
        <v>1583</v>
      </c>
      <c r="F106" s="1">
        <v>2.3864999999999998</v>
      </c>
      <c r="G106" s="1">
        <v>0.85650000000000004</v>
      </c>
      <c r="H106" s="1">
        <v>2.02</v>
      </c>
      <c r="I106" s="1">
        <v>1.0674999999999999</v>
      </c>
      <c r="J106" s="1">
        <v>2.0209999999999999</v>
      </c>
      <c r="K106" s="1">
        <v>1.1779999999999999</v>
      </c>
      <c r="L106" s="1">
        <v>0.39800000000000002</v>
      </c>
      <c r="M106" s="1">
        <v>0.39700000000000002</v>
      </c>
      <c r="N106" s="1">
        <v>0.433</v>
      </c>
      <c r="O106" s="1">
        <v>1.6214999999999999</v>
      </c>
      <c r="P106" s="1">
        <v>1.54375</v>
      </c>
      <c r="Q106" s="1">
        <v>1.5994999999999999</v>
      </c>
      <c r="R106" s="1">
        <v>0.93337841011719802</v>
      </c>
      <c r="S106" s="1">
        <v>0.84895487366055489</v>
      </c>
      <c r="T106" s="1">
        <v>0.81255841788461824</v>
      </c>
      <c r="U106" s="2">
        <v>6.1639999999999997</v>
      </c>
      <c r="V106" s="2">
        <v>5.9950000000000001</v>
      </c>
      <c r="W106" s="2">
        <v>6.93</v>
      </c>
      <c r="X106" s="1">
        <v>0.19900000000000001</v>
      </c>
      <c r="Y106" s="1">
        <v>0.19850000000000001</v>
      </c>
      <c r="Z106" s="1">
        <v>0.2165</v>
      </c>
      <c r="AA106" s="2">
        <v>29</v>
      </c>
      <c r="AB106" s="2">
        <v>20.2</v>
      </c>
      <c r="AC106" s="2">
        <v>44</v>
      </c>
      <c r="AD106" s="2">
        <v>25.8</v>
      </c>
      <c r="AE106" s="4" t="s">
        <v>866</v>
      </c>
      <c r="AF106" s="4">
        <v>1.19</v>
      </c>
      <c r="AH106" s="21" t="s">
        <v>923</v>
      </c>
      <c r="AI106" s="21" t="s">
        <v>924</v>
      </c>
      <c r="AJ106" s="24" t="s">
        <v>916</v>
      </c>
      <c r="AK106" s="24" t="s">
        <v>1004</v>
      </c>
      <c r="AL106" s="20" t="s">
        <v>1098</v>
      </c>
    </row>
    <row r="107" spans="1:38" x14ac:dyDescent="0.25">
      <c r="A107" s="14" t="s">
        <v>297</v>
      </c>
      <c r="B107" s="14" t="s">
        <v>298</v>
      </c>
      <c r="C107" s="14" t="s">
        <v>299</v>
      </c>
      <c r="D107" t="s">
        <v>1571</v>
      </c>
      <c r="E107" t="s">
        <v>1583</v>
      </c>
      <c r="F107" s="1">
        <v>1.92</v>
      </c>
      <c r="G107" s="1">
        <v>0.77</v>
      </c>
      <c r="H107" s="1">
        <v>1.64</v>
      </c>
      <c r="I107" s="1">
        <v>0.96</v>
      </c>
      <c r="J107" s="1">
        <v>1.73</v>
      </c>
      <c r="K107" s="1">
        <v>1.0900000000000001</v>
      </c>
      <c r="L107" s="1">
        <v>0.35</v>
      </c>
      <c r="M107" s="1">
        <v>0.28000000000000003</v>
      </c>
      <c r="N107" s="1">
        <v>0.3</v>
      </c>
      <c r="O107" s="1">
        <v>1.345</v>
      </c>
      <c r="P107" s="1">
        <v>1.2999999999999998</v>
      </c>
      <c r="Q107" s="1">
        <v>1.4100000000000001</v>
      </c>
      <c r="R107" s="1">
        <v>0.91605981332946929</v>
      </c>
      <c r="S107" s="1">
        <v>0.81076927505339813</v>
      </c>
      <c r="T107" s="1">
        <v>0.77654823693626185</v>
      </c>
      <c r="U107" s="2">
        <v>4.2</v>
      </c>
      <c r="V107" s="2">
        <v>4.4000000000000004</v>
      </c>
      <c r="W107" s="2">
        <v>4.5</v>
      </c>
      <c r="X107" s="1">
        <v>0.17499999999999999</v>
      </c>
      <c r="Y107" s="1">
        <v>0.14000000000000001</v>
      </c>
      <c r="Z107" s="1">
        <v>0.15</v>
      </c>
      <c r="AA107" s="2">
        <v>24.1</v>
      </c>
      <c r="AB107" s="2">
        <v>17.5</v>
      </c>
      <c r="AC107" s="2">
        <v>59.7</v>
      </c>
      <c r="AD107" s="2">
        <v>26.5</v>
      </c>
      <c r="AE107" s="4" t="s">
        <v>866</v>
      </c>
      <c r="AF107" s="4">
        <v>1.19</v>
      </c>
      <c r="AH107" s="21" t="s">
        <v>923</v>
      </c>
      <c r="AI107" s="21" t="s">
        <v>924</v>
      </c>
      <c r="AJ107" s="24" t="s">
        <v>916</v>
      </c>
      <c r="AK107" s="24" t="s">
        <v>1004</v>
      </c>
      <c r="AL107" s="20" t="s">
        <v>1098</v>
      </c>
    </row>
    <row r="108" spans="1:38" x14ac:dyDescent="0.25">
      <c r="A108" s="14" t="s">
        <v>300</v>
      </c>
      <c r="B108" s="14" t="s">
        <v>301</v>
      </c>
      <c r="C108" s="14" t="s">
        <v>302</v>
      </c>
      <c r="D108" t="s">
        <v>1571</v>
      </c>
      <c r="E108" t="s">
        <v>1583</v>
      </c>
      <c r="F108" s="1">
        <v>1.9904999999999999</v>
      </c>
      <c r="G108" s="1">
        <v>0.80800000000000005</v>
      </c>
      <c r="H108" s="1">
        <v>1.6865000000000001</v>
      </c>
      <c r="I108" s="1">
        <v>1.0445</v>
      </c>
      <c r="J108" s="1">
        <v>1.7464999999999999</v>
      </c>
      <c r="K108" s="1">
        <v>1.2965</v>
      </c>
      <c r="L108" s="1">
        <v>0.33600000000000002</v>
      </c>
      <c r="M108" s="1">
        <v>0.309</v>
      </c>
      <c r="N108" s="1">
        <v>0.308</v>
      </c>
      <c r="O108" s="1">
        <v>1.3992499999999999</v>
      </c>
      <c r="P108" s="1">
        <v>1.3654999999999999</v>
      </c>
      <c r="Q108" s="1">
        <v>1.5215000000000001</v>
      </c>
      <c r="R108" s="1">
        <v>0.91390498955335664</v>
      </c>
      <c r="S108" s="1">
        <v>0.78513080703187166</v>
      </c>
      <c r="T108" s="1">
        <v>0.67002135235644156</v>
      </c>
      <c r="U108" s="2">
        <v>5.657</v>
      </c>
      <c r="V108" s="2">
        <v>5.3769999999999998</v>
      </c>
      <c r="W108" s="2">
        <v>6.0460000000000003</v>
      </c>
      <c r="X108" s="1">
        <v>0.16800000000000001</v>
      </c>
      <c r="Y108" s="1">
        <v>0.1545</v>
      </c>
      <c r="Z108" s="1">
        <v>0.154</v>
      </c>
      <c r="AA108" s="2">
        <v>22.9</v>
      </c>
      <c r="AB108" s="2">
        <v>16.399999999999999</v>
      </c>
      <c r="AC108" s="2">
        <v>18.5</v>
      </c>
      <c r="AD108" s="2">
        <v>15.3</v>
      </c>
      <c r="AE108" s="4" t="s">
        <v>866</v>
      </c>
      <c r="AF108" s="4">
        <v>1.19</v>
      </c>
      <c r="AH108" s="21" t="s">
        <v>923</v>
      </c>
      <c r="AI108" s="21" t="s">
        <v>924</v>
      </c>
      <c r="AJ108" s="22" t="s">
        <v>954</v>
      </c>
      <c r="AK108" s="24" t="s">
        <v>1005</v>
      </c>
      <c r="AL108" s="20" t="s">
        <v>1098</v>
      </c>
    </row>
    <row r="109" spans="1:38" x14ac:dyDescent="0.25">
      <c r="A109" s="14" t="s">
        <v>303</v>
      </c>
      <c r="B109" s="14" t="s">
        <v>304</v>
      </c>
      <c r="C109" s="14" t="s">
        <v>305</v>
      </c>
      <c r="D109" t="s">
        <v>1571</v>
      </c>
      <c r="E109" t="s">
        <v>1583</v>
      </c>
      <c r="F109" s="1">
        <v>1.65</v>
      </c>
      <c r="G109" s="1">
        <v>0.62</v>
      </c>
      <c r="H109" s="1">
        <v>1.28</v>
      </c>
      <c r="I109" s="1">
        <v>0.67</v>
      </c>
      <c r="J109" s="1">
        <v>1.38</v>
      </c>
      <c r="K109" s="1">
        <v>0.78</v>
      </c>
      <c r="L109" s="1">
        <v>0.23</v>
      </c>
      <c r="M109" s="1">
        <v>0.25</v>
      </c>
      <c r="N109" s="1">
        <v>0.23</v>
      </c>
      <c r="O109" s="1">
        <v>1.135</v>
      </c>
      <c r="P109" s="1">
        <v>0.97500000000000009</v>
      </c>
      <c r="Q109" s="1">
        <v>1.08</v>
      </c>
      <c r="R109" s="1">
        <v>0.92671799608121874</v>
      </c>
      <c r="S109" s="1">
        <v>0.85206407246975857</v>
      </c>
      <c r="T109" s="1">
        <v>0.82494199830479453</v>
      </c>
      <c r="U109" s="2">
        <v>4.9000000000000004</v>
      </c>
      <c r="V109" s="2">
        <v>4.0999999999999996</v>
      </c>
      <c r="W109" s="2">
        <v>3.3</v>
      </c>
      <c r="X109" s="1">
        <v>0.115</v>
      </c>
      <c r="Y109" s="1">
        <v>0.125</v>
      </c>
      <c r="Z109" s="1">
        <v>0.115</v>
      </c>
      <c r="AA109" s="2">
        <v>20.5</v>
      </c>
      <c r="AB109" s="2">
        <v>13.4</v>
      </c>
      <c r="AC109" s="2">
        <v>9.3000000000000007</v>
      </c>
      <c r="AD109" s="2">
        <v>28.5</v>
      </c>
      <c r="AE109" s="4" t="s">
        <v>866</v>
      </c>
      <c r="AF109" s="4">
        <v>1.19</v>
      </c>
      <c r="AH109" s="21" t="s">
        <v>923</v>
      </c>
      <c r="AI109" s="21" t="s">
        <v>924</v>
      </c>
      <c r="AJ109" s="24" t="s">
        <v>921</v>
      </c>
      <c r="AK109" s="24" t="s">
        <v>1006</v>
      </c>
      <c r="AL109" s="20" t="s">
        <v>1098</v>
      </c>
    </row>
    <row r="110" spans="1:38" x14ac:dyDescent="0.25">
      <c r="A110" s="14" t="s">
        <v>306</v>
      </c>
      <c r="B110" s="14" t="s">
        <v>307</v>
      </c>
      <c r="C110" s="14" t="s">
        <v>308</v>
      </c>
      <c r="D110" t="s">
        <v>1571</v>
      </c>
      <c r="E110" t="s">
        <v>1583</v>
      </c>
      <c r="F110" s="1">
        <v>2.7719999999999998</v>
      </c>
      <c r="G110" s="1">
        <v>1.1180000000000001</v>
      </c>
      <c r="H110" s="1">
        <v>2.3325</v>
      </c>
      <c r="I110" s="1">
        <v>1.3225</v>
      </c>
      <c r="J110" s="1">
        <v>2.4055</v>
      </c>
      <c r="K110" s="1">
        <v>1.5834999999999999</v>
      </c>
      <c r="L110" s="1">
        <v>0.40100000000000002</v>
      </c>
      <c r="M110" s="1">
        <v>0.35599999999999998</v>
      </c>
      <c r="N110" s="1">
        <v>0.38200000000000001</v>
      </c>
      <c r="O110" s="1">
        <v>1.9449999999999998</v>
      </c>
      <c r="P110" s="1">
        <v>1.8275000000000001</v>
      </c>
      <c r="Q110" s="1">
        <v>1.9944999999999999</v>
      </c>
      <c r="R110" s="1">
        <v>0.91505948562136497</v>
      </c>
      <c r="S110" s="1">
        <v>0.82372590686217784</v>
      </c>
      <c r="T110" s="1">
        <v>0.75277045547750532</v>
      </c>
      <c r="U110" s="2">
        <v>7.1559999999999997</v>
      </c>
      <c r="V110" s="2">
        <v>6.5679999999999996</v>
      </c>
      <c r="W110" s="2">
        <v>7.827</v>
      </c>
      <c r="X110" s="1">
        <v>0.20050000000000001</v>
      </c>
      <c r="Y110" s="1">
        <v>0.17799999999999999</v>
      </c>
      <c r="Z110" s="1">
        <v>0.191</v>
      </c>
      <c r="AA110" s="2">
        <v>44.6</v>
      </c>
      <c r="AB110" s="2">
        <v>31.3</v>
      </c>
      <c r="AC110" s="2">
        <v>63.2</v>
      </c>
      <c r="AD110" s="2">
        <v>27.5</v>
      </c>
      <c r="AE110" s="4" t="s">
        <v>866</v>
      </c>
      <c r="AF110" s="4">
        <v>1.19</v>
      </c>
      <c r="AH110" s="21" t="s">
        <v>923</v>
      </c>
      <c r="AI110" s="21" t="s">
        <v>924</v>
      </c>
      <c r="AJ110" s="24" t="s">
        <v>916</v>
      </c>
      <c r="AK110" s="24" t="s">
        <v>1007</v>
      </c>
      <c r="AL110" s="20" t="s">
        <v>1098</v>
      </c>
    </row>
    <row r="111" spans="1:38" x14ac:dyDescent="0.25">
      <c r="A111" s="14" t="s">
        <v>309</v>
      </c>
      <c r="B111" s="14" t="s">
        <v>310</v>
      </c>
      <c r="C111" s="14" t="s">
        <v>311</v>
      </c>
      <c r="D111" t="s">
        <v>1571</v>
      </c>
      <c r="E111" t="s">
        <v>1583</v>
      </c>
      <c r="F111" s="1">
        <v>1.41</v>
      </c>
      <c r="G111" s="1">
        <v>0.55000000000000004</v>
      </c>
      <c r="H111" s="1">
        <v>1.1200000000000001</v>
      </c>
      <c r="I111" s="1">
        <v>0.56999999999999995</v>
      </c>
      <c r="J111" s="1">
        <v>1.19</v>
      </c>
      <c r="K111" s="1">
        <v>0.69</v>
      </c>
      <c r="L111" s="1">
        <v>0.2</v>
      </c>
      <c r="M111" s="1">
        <v>0.19</v>
      </c>
      <c r="N111" s="1">
        <v>0.2</v>
      </c>
      <c r="O111" s="1">
        <v>0.98</v>
      </c>
      <c r="P111" s="1">
        <v>0.84499999999999997</v>
      </c>
      <c r="Q111" s="1">
        <v>0.94</v>
      </c>
      <c r="R111" s="1">
        <v>0.92078481515560184</v>
      </c>
      <c r="S111" s="1">
        <v>0.86080875296646098</v>
      </c>
      <c r="T111" s="1">
        <v>0.81473611049013939</v>
      </c>
      <c r="U111" s="2">
        <v>3.3</v>
      </c>
      <c r="V111" s="2">
        <v>3</v>
      </c>
      <c r="W111" s="2">
        <v>2.8</v>
      </c>
      <c r="X111" s="1">
        <v>0.1</v>
      </c>
      <c r="Y111" s="1">
        <v>9.5000000000000001E-2</v>
      </c>
      <c r="Z111" s="1">
        <v>0.1</v>
      </c>
      <c r="AA111" s="2">
        <v>12.3</v>
      </c>
      <c r="AB111" s="2">
        <v>8.9</v>
      </c>
      <c r="AC111" s="2">
        <v>2.2000000000000002</v>
      </c>
      <c r="AD111" s="2">
        <v>30.2</v>
      </c>
      <c r="AE111" s="4" t="s">
        <v>866</v>
      </c>
      <c r="AF111" s="4">
        <v>1.19</v>
      </c>
      <c r="AH111" s="21" t="s">
        <v>923</v>
      </c>
      <c r="AI111" s="21" t="s">
        <v>924</v>
      </c>
      <c r="AJ111" s="24" t="s">
        <v>916</v>
      </c>
      <c r="AK111" s="24" t="s">
        <v>1008</v>
      </c>
      <c r="AL111" s="20" t="s">
        <v>1098</v>
      </c>
    </row>
    <row r="112" spans="1:38" x14ac:dyDescent="0.25">
      <c r="A112" s="14" t="s">
        <v>312</v>
      </c>
      <c r="B112" s="14" t="s">
        <v>313</v>
      </c>
      <c r="C112" s="14" t="s">
        <v>314</v>
      </c>
      <c r="D112" t="s">
        <v>1571</v>
      </c>
      <c r="E112" t="s">
        <v>1584</v>
      </c>
      <c r="F112" s="1">
        <v>2.1204999999999998</v>
      </c>
      <c r="G112" s="1">
        <v>0.98699999999999999</v>
      </c>
      <c r="H112" s="1">
        <v>1.8115000000000001</v>
      </c>
      <c r="I112" s="1">
        <v>1.1145</v>
      </c>
      <c r="J112" s="1">
        <v>1.9635</v>
      </c>
      <c r="K112" s="1">
        <v>1.5075000000000001</v>
      </c>
      <c r="L112" s="1">
        <v>0.34300000000000003</v>
      </c>
      <c r="M112" s="1">
        <v>0.31</v>
      </c>
      <c r="N112" s="1">
        <v>0.36199999999999999</v>
      </c>
      <c r="O112" s="1">
        <v>1.55375</v>
      </c>
      <c r="P112" s="1">
        <v>1.4630000000000001</v>
      </c>
      <c r="Q112" s="1">
        <v>1.7355</v>
      </c>
      <c r="R112" s="1">
        <v>0.88507088401589529</v>
      </c>
      <c r="S112" s="1">
        <v>0.7883429924934845</v>
      </c>
      <c r="T112" s="1">
        <v>0.64073555279328764</v>
      </c>
      <c r="U112" s="2">
        <v>5.915</v>
      </c>
      <c r="V112" s="2">
        <v>6.1189999999999998</v>
      </c>
      <c r="W112" s="2">
        <v>7.45</v>
      </c>
      <c r="X112" s="1">
        <v>0.17150000000000001</v>
      </c>
      <c r="Y112" s="1">
        <v>0.155</v>
      </c>
      <c r="Z112" s="1">
        <v>0.18099999999999999</v>
      </c>
      <c r="AA112" s="2">
        <v>28.1</v>
      </c>
      <c r="AB112" s="2">
        <v>19.5</v>
      </c>
      <c r="AC112" s="2">
        <v>43.4</v>
      </c>
      <c r="AD112" s="2">
        <v>28.5</v>
      </c>
      <c r="AE112" s="4" t="s">
        <v>866</v>
      </c>
      <c r="AF112" s="4">
        <v>1.19</v>
      </c>
      <c r="AH112" s="21" t="s">
        <v>923</v>
      </c>
      <c r="AI112" s="21" t="s">
        <v>924</v>
      </c>
      <c r="AJ112" s="24" t="s">
        <v>917</v>
      </c>
      <c r="AK112" s="24" t="s">
        <v>1009</v>
      </c>
      <c r="AL112" s="20" t="s">
        <v>1098</v>
      </c>
    </row>
    <row r="113" spans="1:38" x14ac:dyDescent="0.25">
      <c r="A113" s="14" t="s">
        <v>315</v>
      </c>
      <c r="B113" s="14" t="s">
        <v>316</v>
      </c>
      <c r="C113" s="14" t="s">
        <v>317</v>
      </c>
      <c r="D113" t="s">
        <v>1571</v>
      </c>
      <c r="E113" t="s">
        <v>1584</v>
      </c>
      <c r="F113" s="1">
        <v>1.5940000000000001</v>
      </c>
      <c r="G113" s="1">
        <v>0.77200000000000002</v>
      </c>
      <c r="H113" s="1">
        <v>1.415</v>
      </c>
      <c r="I113" s="1">
        <v>0.88249999999999995</v>
      </c>
      <c r="J113" s="1">
        <v>1.7464999999999999</v>
      </c>
      <c r="K113" s="1">
        <v>1.1479999999999999</v>
      </c>
      <c r="L113" s="1">
        <v>0.26100000000000001</v>
      </c>
      <c r="M113" s="1">
        <v>0.24399999999999999</v>
      </c>
      <c r="N113" s="1">
        <v>0.21299999999999999</v>
      </c>
      <c r="O113" s="1">
        <v>1.1830000000000001</v>
      </c>
      <c r="P113" s="1">
        <v>1.1487499999999999</v>
      </c>
      <c r="Q113" s="1">
        <v>1.4472499999999999</v>
      </c>
      <c r="R113" s="1">
        <v>0.87489304047553584</v>
      </c>
      <c r="S113" s="1">
        <v>0.78168382647008983</v>
      </c>
      <c r="T113" s="1">
        <v>0.75361626718293329</v>
      </c>
      <c r="U113" s="2">
        <v>3.786</v>
      </c>
      <c r="V113" s="2">
        <v>4.4039999999999999</v>
      </c>
      <c r="W113" s="2">
        <v>6.1790000000000003</v>
      </c>
      <c r="X113" s="1">
        <v>0.1305</v>
      </c>
      <c r="Y113" s="1">
        <v>0.122</v>
      </c>
      <c r="Z113" s="1">
        <v>0.1065</v>
      </c>
      <c r="AA113" s="2">
        <v>19.2</v>
      </c>
      <c r="AB113" s="2">
        <v>13.7</v>
      </c>
      <c r="AC113" s="2">
        <v>25</v>
      </c>
      <c r="AD113" s="2">
        <v>29.1</v>
      </c>
      <c r="AE113" s="4" t="s">
        <v>866</v>
      </c>
      <c r="AF113" s="4">
        <v>1.19</v>
      </c>
      <c r="AH113" s="21" t="s">
        <v>923</v>
      </c>
      <c r="AI113" s="21" t="s">
        <v>924</v>
      </c>
      <c r="AJ113" s="24" t="s">
        <v>918</v>
      </c>
      <c r="AK113" s="24" t="s">
        <v>1010</v>
      </c>
      <c r="AL113" s="20" t="s">
        <v>1098</v>
      </c>
    </row>
    <row r="114" spans="1:38" x14ac:dyDescent="0.25">
      <c r="A114" s="14" t="s">
        <v>318</v>
      </c>
      <c r="B114" s="14" t="s">
        <v>319</v>
      </c>
      <c r="C114" s="14" t="s">
        <v>320</v>
      </c>
      <c r="D114" t="s">
        <v>1571</v>
      </c>
      <c r="E114" t="s">
        <v>1584</v>
      </c>
      <c r="F114" s="1">
        <v>0.81699999999999995</v>
      </c>
      <c r="G114" s="1">
        <v>0.3695</v>
      </c>
      <c r="H114" s="1">
        <v>0.69399999999999995</v>
      </c>
      <c r="I114" s="1">
        <v>0.42349999999999999</v>
      </c>
      <c r="J114" s="1">
        <v>0.753</v>
      </c>
      <c r="K114" s="1">
        <v>0.52100000000000002</v>
      </c>
      <c r="L114" s="1">
        <v>0.127</v>
      </c>
      <c r="M114" s="1">
        <v>0.14199999999999999</v>
      </c>
      <c r="N114" s="1">
        <v>0.14499999999999999</v>
      </c>
      <c r="O114" s="1">
        <v>0.59324999999999994</v>
      </c>
      <c r="P114" s="1">
        <v>0.55874999999999997</v>
      </c>
      <c r="Q114" s="1">
        <v>0.63700000000000001</v>
      </c>
      <c r="R114" s="1">
        <v>0.8918839211905486</v>
      </c>
      <c r="S114" s="1">
        <v>0.79222388176341896</v>
      </c>
      <c r="T114" s="1">
        <v>0.72199423571119892</v>
      </c>
      <c r="U114" s="2">
        <v>2.2250000000000001</v>
      </c>
      <c r="V114" s="2">
        <v>2.1579999999999999</v>
      </c>
      <c r="W114" s="2">
        <v>2.552</v>
      </c>
      <c r="X114" s="1">
        <v>6.3500000000000001E-2</v>
      </c>
      <c r="Y114" s="1">
        <v>7.0999999999999994E-2</v>
      </c>
      <c r="Z114" s="1">
        <v>7.2499999999999995E-2</v>
      </c>
      <c r="AA114" s="2">
        <v>8.1999999999999993</v>
      </c>
      <c r="AB114" s="2">
        <v>6</v>
      </c>
      <c r="AC114" s="2">
        <v>1.2</v>
      </c>
      <c r="AD114" s="2" t="s">
        <v>40</v>
      </c>
      <c r="AE114" s="4" t="s">
        <v>866</v>
      </c>
      <c r="AF114" s="4">
        <v>1.19</v>
      </c>
      <c r="AH114" s="21" t="s">
        <v>923</v>
      </c>
      <c r="AI114" s="21" t="s">
        <v>924</v>
      </c>
      <c r="AJ114" s="22" t="s">
        <v>954</v>
      </c>
      <c r="AK114" s="23" t="s">
        <v>40</v>
      </c>
      <c r="AL114" s="20" t="s">
        <v>1098</v>
      </c>
    </row>
    <row r="115" spans="1:38" x14ac:dyDescent="0.25">
      <c r="A115" s="14" t="s">
        <v>321</v>
      </c>
      <c r="B115" s="14" t="s">
        <v>322</v>
      </c>
      <c r="C115" s="14" t="s">
        <v>323</v>
      </c>
      <c r="D115" t="s">
        <v>1571</v>
      </c>
      <c r="E115" t="s">
        <v>1584</v>
      </c>
      <c r="F115" s="1">
        <v>2.2599999999999998</v>
      </c>
      <c r="G115" s="1">
        <v>0.96</v>
      </c>
      <c r="H115" s="1">
        <v>2.0299999999999998</v>
      </c>
      <c r="I115" s="1">
        <v>1.1200000000000001</v>
      </c>
      <c r="J115" s="1">
        <v>2.27</v>
      </c>
      <c r="K115" s="1">
        <v>1.31</v>
      </c>
      <c r="L115" s="1">
        <v>0.32</v>
      </c>
      <c r="M115" s="1">
        <v>0.36</v>
      </c>
      <c r="N115" s="1">
        <v>0.33</v>
      </c>
      <c r="O115" s="1">
        <v>1.6099999999999999</v>
      </c>
      <c r="P115" s="1">
        <v>1.575</v>
      </c>
      <c r="Q115" s="1">
        <v>1.79</v>
      </c>
      <c r="R115" s="1">
        <v>0.90529719106527518</v>
      </c>
      <c r="S115" s="1">
        <v>0.83402666361709121</v>
      </c>
      <c r="T115" s="1">
        <v>0.81667878246741621</v>
      </c>
      <c r="U115" s="2">
        <v>6.5</v>
      </c>
      <c r="V115" s="2">
        <v>6.1</v>
      </c>
      <c r="W115" s="2">
        <v>5.9</v>
      </c>
      <c r="X115" s="1">
        <v>0.16</v>
      </c>
      <c r="Y115" s="1">
        <v>0.18</v>
      </c>
      <c r="Z115" s="1">
        <v>0.16500000000000001</v>
      </c>
      <c r="AA115" s="2">
        <v>28.8</v>
      </c>
      <c r="AB115" s="2">
        <v>20</v>
      </c>
      <c r="AC115" s="2">
        <v>18</v>
      </c>
      <c r="AD115" s="2">
        <v>25</v>
      </c>
      <c r="AE115" s="4" t="s">
        <v>866</v>
      </c>
      <c r="AF115" s="4">
        <v>1.19</v>
      </c>
      <c r="AH115" s="21" t="s">
        <v>923</v>
      </c>
      <c r="AI115" s="21" t="s">
        <v>924</v>
      </c>
      <c r="AJ115" s="24" t="s">
        <v>920</v>
      </c>
      <c r="AK115" s="24" t="s">
        <v>1022</v>
      </c>
      <c r="AL115" s="20" t="s">
        <v>1098</v>
      </c>
    </row>
    <row r="116" spans="1:38" x14ac:dyDescent="0.25">
      <c r="A116" s="14" t="s">
        <v>324</v>
      </c>
      <c r="B116" s="14" t="s">
        <v>325</v>
      </c>
      <c r="C116" s="14" t="s">
        <v>326</v>
      </c>
      <c r="D116" t="s">
        <v>1571</v>
      </c>
      <c r="E116" t="s">
        <v>1584</v>
      </c>
      <c r="F116" s="1">
        <v>3</v>
      </c>
      <c r="G116" s="1">
        <v>1.0900000000000001</v>
      </c>
      <c r="H116" s="1">
        <v>2.84</v>
      </c>
      <c r="I116" s="1">
        <v>1.54</v>
      </c>
      <c r="J116" s="1">
        <v>3.23</v>
      </c>
      <c r="K116" s="1">
        <v>2.29</v>
      </c>
      <c r="L116" s="1">
        <v>0.53</v>
      </c>
      <c r="M116" s="1">
        <v>0.56000000000000005</v>
      </c>
      <c r="N116" s="1">
        <v>0.67</v>
      </c>
      <c r="O116" s="1">
        <v>2.0449999999999999</v>
      </c>
      <c r="P116" s="1">
        <v>2.19</v>
      </c>
      <c r="Q116" s="1">
        <v>2.76</v>
      </c>
      <c r="R116" s="1">
        <v>0.93165921285032594</v>
      </c>
      <c r="S116" s="1">
        <v>0.84021492418644284</v>
      </c>
      <c r="T116" s="1">
        <v>0.70523026748749718</v>
      </c>
      <c r="U116" s="2">
        <v>8.6</v>
      </c>
      <c r="V116" s="2">
        <v>8.9</v>
      </c>
      <c r="W116" s="2">
        <v>9.6999999999999993</v>
      </c>
      <c r="X116" s="1">
        <v>0.26500000000000001</v>
      </c>
      <c r="Y116" s="1">
        <v>0.28000000000000003</v>
      </c>
      <c r="Z116" s="1">
        <v>0.33500000000000002</v>
      </c>
      <c r="AA116" s="2">
        <v>48.6</v>
      </c>
      <c r="AB116" s="2">
        <v>25.4</v>
      </c>
      <c r="AC116" s="2">
        <v>617</v>
      </c>
      <c r="AD116" s="2">
        <v>31.9</v>
      </c>
      <c r="AE116" s="4" t="s">
        <v>866</v>
      </c>
      <c r="AF116" s="4">
        <v>1.19</v>
      </c>
      <c r="AH116" s="21" t="s">
        <v>923</v>
      </c>
      <c r="AI116" s="21" t="s">
        <v>924</v>
      </c>
      <c r="AJ116" s="24" t="s">
        <v>916</v>
      </c>
      <c r="AK116" s="24" t="s">
        <v>1011</v>
      </c>
      <c r="AL116" s="20" t="s">
        <v>1098</v>
      </c>
    </row>
    <row r="117" spans="1:38" x14ac:dyDescent="0.25">
      <c r="A117" s="14" t="s">
        <v>327</v>
      </c>
      <c r="B117" s="14" t="s">
        <v>328</v>
      </c>
      <c r="C117" s="14" t="s">
        <v>329</v>
      </c>
      <c r="D117" t="s">
        <v>1571</v>
      </c>
      <c r="E117" t="s">
        <v>1584</v>
      </c>
      <c r="F117" s="1">
        <v>2.06</v>
      </c>
      <c r="G117" s="1">
        <v>0.83</v>
      </c>
      <c r="H117" s="1">
        <v>1.84</v>
      </c>
      <c r="I117" s="1">
        <v>0.91</v>
      </c>
      <c r="J117" s="1">
        <v>2.0099999999999998</v>
      </c>
      <c r="K117" s="1">
        <v>1.25</v>
      </c>
      <c r="L117" s="1">
        <v>0.28999999999999998</v>
      </c>
      <c r="M117" s="1">
        <v>0.32</v>
      </c>
      <c r="N117" s="1">
        <v>0.28000000000000003</v>
      </c>
      <c r="O117" s="1">
        <v>1.4450000000000001</v>
      </c>
      <c r="P117" s="1">
        <v>1.375</v>
      </c>
      <c r="Q117" s="1">
        <v>1.63</v>
      </c>
      <c r="R117" s="1">
        <v>0.91523844955805866</v>
      </c>
      <c r="S117" s="1">
        <v>0.86914052128910191</v>
      </c>
      <c r="T117" s="1">
        <v>0.78310417392839804</v>
      </c>
      <c r="U117" s="2">
        <v>5.0999999999999996</v>
      </c>
      <c r="V117" s="2">
        <v>5.0999999999999996</v>
      </c>
      <c r="W117" s="2">
        <v>4.8</v>
      </c>
      <c r="X117" s="1">
        <v>0.14499999999999999</v>
      </c>
      <c r="Y117" s="1">
        <v>0.16</v>
      </c>
      <c r="Z117" s="1">
        <v>0.14000000000000001</v>
      </c>
      <c r="AA117" s="2">
        <v>31</v>
      </c>
      <c r="AB117" s="2">
        <v>18.600000000000001</v>
      </c>
      <c r="AC117" s="2">
        <v>85.4</v>
      </c>
      <c r="AD117" s="2">
        <v>29</v>
      </c>
      <c r="AE117" s="4" t="s">
        <v>866</v>
      </c>
      <c r="AF117" s="4">
        <v>1.19</v>
      </c>
      <c r="AH117" s="21" t="s">
        <v>923</v>
      </c>
      <c r="AI117" s="21" t="s">
        <v>923</v>
      </c>
      <c r="AJ117" s="24" t="s">
        <v>916</v>
      </c>
      <c r="AK117" s="24" t="s">
        <v>1023</v>
      </c>
      <c r="AL117" s="20" t="s">
        <v>1098</v>
      </c>
    </row>
    <row r="118" spans="1:38" x14ac:dyDescent="0.25">
      <c r="A118" s="14" t="s">
        <v>330</v>
      </c>
      <c r="B118" s="14" t="s">
        <v>331</v>
      </c>
      <c r="C118" s="14" t="s">
        <v>332</v>
      </c>
      <c r="D118" t="s">
        <v>1571</v>
      </c>
      <c r="E118" t="s">
        <v>1584</v>
      </c>
      <c r="F118" s="1">
        <v>1.349</v>
      </c>
      <c r="G118" s="1">
        <v>0.72750000000000004</v>
      </c>
      <c r="H118" s="1">
        <v>1.17</v>
      </c>
      <c r="I118" s="1">
        <v>0.71550000000000002</v>
      </c>
      <c r="J118" s="1">
        <v>1.3280000000000001</v>
      </c>
      <c r="K118" s="1">
        <v>0.96850000000000003</v>
      </c>
      <c r="L118" s="1">
        <v>0.20200000000000001</v>
      </c>
      <c r="M118" s="1">
        <v>0.191</v>
      </c>
      <c r="N118" s="1">
        <v>0.27700000000000002</v>
      </c>
      <c r="O118" s="1">
        <v>1.0382500000000001</v>
      </c>
      <c r="P118" s="1">
        <v>0.94274999999999998</v>
      </c>
      <c r="Q118" s="1">
        <v>1.14825</v>
      </c>
      <c r="R118" s="1">
        <v>0.84212116876468601</v>
      </c>
      <c r="S118" s="1">
        <v>0.7912147054113513</v>
      </c>
      <c r="T118" s="1">
        <v>0.6842024062437625</v>
      </c>
      <c r="U118" s="2">
        <v>3.3090000000000002</v>
      </c>
      <c r="V118" s="2">
        <v>3.5449999999999999</v>
      </c>
      <c r="W118" s="2">
        <v>4.774</v>
      </c>
      <c r="X118" s="1">
        <v>0.10100000000000001</v>
      </c>
      <c r="Y118" s="1">
        <v>9.5500000000000002E-2</v>
      </c>
      <c r="Z118" s="1">
        <v>0.13850000000000001</v>
      </c>
      <c r="AA118" s="2">
        <v>10.7</v>
      </c>
      <c r="AB118" s="2">
        <v>6.8</v>
      </c>
      <c r="AC118" s="2">
        <v>12</v>
      </c>
      <c r="AD118" s="2" t="s">
        <v>40</v>
      </c>
      <c r="AE118" s="4" t="s">
        <v>866</v>
      </c>
      <c r="AF118" s="4">
        <v>1.19</v>
      </c>
      <c r="AH118" s="21" t="s">
        <v>923</v>
      </c>
      <c r="AI118" s="21" t="s">
        <v>924</v>
      </c>
      <c r="AJ118" s="24" t="s">
        <v>925</v>
      </c>
      <c r="AK118" s="23" t="s">
        <v>40</v>
      </c>
      <c r="AL118" s="20" t="s">
        <v>1098</v>
      </c>
    </row>
    <row r="119" spans="1:38" x14ac:dyDescent="0.25">
      <c r="A119" s="14" t="s">
        <v>333</v>
      </c>
      <c r="B119" s="14" t="s">
        <v>334</v>
      </c>
      <c r="C119" s="14" t="s">
        <v>335</v>
      </c>
      <c r="D119" t="s">
        <v>1571</v>
      </c>
      <c r="E119" t="s">
        <v>1584</v>
      </c>
      <c r="F119" s="1">
        <v>1.55</v>
      </c>
      <c r="G119" s="1">
        <v>0.63</v>
      </c>
      <c r="H119" s="1">
        <v>1.17</v>
      </c>
      <c r="I119" s="1">
        <v>0.63</v>
      </c>
      <c r="J119" s="1">
        <v>1.41</v>
      </c>
      <c r="K119" s="1">
        <v>1.07</v>
      </c>
      <c r="L119" s="1">
        <v>0.19</v>
      </c>
      <c r="M119" s="1">
        <v>0.18</v>
      </c>
      <c r="N119" s="1">
        <v>0.18</v>
      </c>
      <c r="O119" s="1">
        <v>1.0900000000000001</v>
      </c>
      <c r="P119" s="1">
        <v>0.89999999999999991</v>
      </c>
      <c r="Q119" s="1">
        <v>1.24</v>
      </c>
      <c r="R119" s="1">
        <v>0.91367230797937959</v>
      </c>
      <c r="S119" s="1">
        <v>0.84265008846948619</v>
      </c>
      <c r="T119" s="1">
        <v>0.65124767564533304</v>
      </c>
      <c r="U119" s="2">
        <v>4.2</v>
      </c>
      <c r="V119" s="2">
        <v>3.4</v>
      </c>
      <c r="W119" s="2">
        <v>3.9</v>
      </c>
      <c r="X119" s="1">
        <v>9.5000000000000001E-2</v>
      </c>
      <c r="Y119" s="1">
        <v>0.09</v>
      </c>
      <c r="Z119" s="1">
        <v>0.09</v>
      </c>
      <c r="AA119" s="2">
        <v>22</v>
      </c>
      <c r="AB119" s="2">
        <v>15.4</v>
      </c>
      <c r="AC119" s="2">
        <v>25</v>
      </c>
      <c r="AD119" s="2">
        <v>32</v>
      </c>
      <c r="AE119" s="4" t="s">
        <v>866</v>
      </c>
      <c r="AF119" s="4">
        <v>1.19</v>
      </c>
      <c r="AH119" s="21" t="s">
        <v>923</v>
      </c>
      <c r="AI119" s="21" t="s">
        <v>924</v>
      </c>
      <c r="AJ119" s="24" t="s">
        <v>916</v>
      </c>
      <c r="AK119" s="24" t="s">
        <v>1012</v>
      </c>
      <c r="AL119" s="20" t="s">
        <v>1098</v>
      </c>
    </row>
    <row r="120" spans="1:38" x14ac:dyDescent="0.25">
      <c r="A120" s="14" t="s">
        <v>336</v>
      </c>
      <c r="B120" s="14" t="s">
        <v>337</v>
      </c>
      <c r="C120" s="14" t="s">
        <v>338</v>
      </c>
      <c r="D120" t="s">
        <v>1571</v>
      </c>
      <c r="E120" t="s">
        <v>1585</v>
      </c>
      <c r="F120" s="1">
        <v>3.3784999999999998</v>
      </c>
      <c r="G120" s="1">
        <v>1.5229999999999999</v>
      </c>
      <c r="H120" s="1">
        <v>2.8294999999999999</v>
      </c>
      <c r="I120" s="1">
        <v>1.6539999999999999</v>
      </c>
      <c r="J120" s="1">
        <v>2.7989999999999999</v>
      </c>
      <c r="K120" s="1">
        <v>2.1825000000000001</v>
      </c>
      <c r="L120" s="1">
        <v>0.39</v>
      </c>
      <c r="M120" s="1">
        <v>0.35899999999999999</v>
      </c>
      <c r="N120" s="1">
        <v>0.47199999999999998</v>
      </c>
      <c r="O120" s="1">
        <v>2.4507499999999998</v>
      </c>
      <c r="P120" s="1">
        <v>2.2417499999999997</v>
      </c>
      <c r="Q120" s="1">
        <v>2.4907500000000002</v>
      </c>
      <c r="R120" s="1">
        <v>0.89262913841712233</v>
      </c>
      <c r="S120" s="1">
        <v>0.81135367104261724</v>
      </c>
      <c r="T120" s="1">
        <v>0.62610000798908205</v>
      </c>
      <c r="U120" s="2">
        <v>10.132999999999999</v>
      </c>
      <c r="V120" s="2">
        <v>8.0389999999999997</v>
      </c>
      <c r="W120" s="2">
        <v>9.9130000000000003</v>
      </c>
      <c r="X120" s="1">
        <v>0.19500000000000001</v>
      </c>
      <c r="Y120" s="1">
        <v>0.17949999999999999</v>
      </c>
      <c r="Z120" s="1">
        <v>0.23599999999999999</v>
      </c>
      <c r="AA120" s="2">
        <v>69.8</v>
      </c>
      <c r="AB120" s="2">
        <v>44.7</v>
      </c>
      <c r="AC120" s="2">
        <v>1190</v>
      </c>
      <c r="AD120" s="2">
        <v>33.200000000000003</v>
      </c>
      <c r="AE120" s="4" t="s">
        <v>866</v>
      </c>
      <c r="AF120" s="4">
        <v>1.19</v>
      </c>
      <c r="AH120" s="21" t="s">
        <v>925</v>
      </c>
      <c r="AI120" s="21" t="s">
        <v>924</v>
      </c>
      <c r="AJ120" s="24" t="s">
        <v>935</v>
      </c>
      <c r="AK120" s="24" t="s">
        <v>1013</v>
      </c>
      <c r="AL120" s="20" t="s">
        <v>1098</v>
      </c>
    </row>
    <row r="121" spans="1:38" x14ac:dyDescent="0.25">
      <c r="A121" s="14" t="s">
        <v>339</v>
      </c>
      <c r="B121" s="14" t="s">
        <v>340</v>
      </c>
      <c r="C121" s="14" t="s">
        <v>341</v>
      </c>
      <c r="D121" t="s">
        <v>1571</v>
      </c>
      <c r="E121" t="s">
        <v>1585</v>
      </c>
      <c r="F121" s="1">
        <v>4.0199999999999996</v>
      </c>
      <c r="G121" s="1">
        <v>1.73</v>
      </c>
      <c r="H121" s="1">
        <v>3.51</v>
      </c>
      <c r="I121" s="1">
        <v>1.71</v>
      </c>
      <c r="J121" s="1">
        <v>3.2</v>
      </c>
      <c r="K121" s="1">
        <v>2.1</v>
      </c>
      <c r="L121" s="1">
        <v>0.64</v>
      </c>
      <c r="M121" s="1">
        <v>0.53</v>
      </c>
      <c r="N121" s="1">
        <v>0.7</v>
      </c>
      <c r="O121" s="1">
        <v>2.875</v>
      </c>
      <c r="P121" s="1">
        <v>2.61</v>
      </c>
      <c r="Q121" s="1">
        <v>2.6500000000000004</v>
      </c>
      <c r="R121" s="1">
        <v>0.90266293611087811</v>
      </c>
      <c r="S121" s="1">
        <v>0.87330186491930262</v>
      </c>
      <c r="T121" s="1">
        <v>0.75454352922810231</v>
      </c>
      <c r="U121" s="2">
        <v>11</v>
      </c>
      <c r="V121" s="2">
        <v>9.5</v>
      </c>
      <c r="W121" s="2">
        <v>8.9</v>
      </c>
      <c r="X121" s="1">
        <v>0.32</v>
      </c>
      <c r="Y121" s="1">
        <v>0.26500000000000001</v>
      </c>
      <c r="Z121" s="1">
        <v>0.35</v>
      </c>
      <c r="AA121" s="2">
        <v>64.8</v>
      </c>
      <c r="AB121" s="2">
        <v>39.4</v>
      </c>
      <c r="AC121" s="2">
        <v>1190</v>
      </c>
      <c r="AD121" s="2">
        <v>27</v>
      </c>
      <c r="AE121" s="4" t="s">
        <v>866</v>
      </c>
      <c r="AF121" s="4">
        <v>1.19</v>
      </c>
      <c r="AH121" s="21" t="s">
        <v>925</v>
      </c>
      <c r="AI121" s="21" t="s">
        <v>924</v>
      </c>
      <c r="AJ121" s="24" t="s">
        <v>925</v>
      </c>
      <c r="AK121" s="24" t="s">
        <v>1014</v>
      </c>
      <c r="AL121" s="20" t="s">
        <v>1098</v>
      </c>
    </row>
    <row r="122" spans="1:38" x14ac:dyDescent="0.25">
      <c r="A122" s="14" t="s">
        <v>342</v>
      </c>
      <c r="B122" s="14" t="s">
        <v>343</v>
      </c>
      <c r="C122" s="14" t="s">
        <v>344</v>
      </c>
      <c r="D122" t="s">
        <v>1571</v>
      </c>
      <c r="E122" t="s">
        <v>1585</v>
      </c>
      <c r="F122" s="1">
        <v>1.2050000000000001</v>
      </c>
      <c r="G122" s="1">
        <v>0.57499999999999996</v>
      </c>
      <c r="H122" s="1">
        <v>0.93149999999999999</v>
      </c>
      <c r="I122" s="1">
        <v>0.60099999999999998</v>
      </c>
      <c r="J122" s="1">
        <v>1.1027003690036901</v>
      </c>
      <c r="K122" s="1">
        <v>0.88084206642066409</v>
      </c>
      <c r="L122" s="1">
        <v>0.13900000000000001</v>
      </c>
      <c r="M122" s="1">
        <v>0.13897416974169741</v>
      </c>
      <c r="N122" s="1">
        <v>0.151</v>
      </c>
      <c r="O122" s="1">
        <v>0.89</v>
      </c>
      <c r="P122" s="1">
        <v>0.76624999999999999</v>
      </c>
      <c r="Q122" s="1">
        <v>0.99177121771217713</v>
      </c>
      <c r="R122" s="1">
        <v>0.87880643625175725</v>
      </c>
      <c r="S122" s="1">
        <v>0.7640171621730798</v>
      </c>
      <c r="T122" s="1">
        <v>0.60159064076044888</v>
      </c>
      <c r="U122" s="2">
        <v>3.0680000000000001</v>
      </c>
      <c r="V122" s="2">
        <v>2.4380000000000002</v>
      </c>
      <c r="W122" s="2">
        <v>3.9831630996309961</v>
      </c>
      <c r="X122" s="1">
        <v>6.9500000000000006E-2</v>
      </c>
      <c r="Y122" s="1">
        <v>6.9487084870848703E-2</v>
      </c>
      <c r="Z122" s="1">
        <v>7.5499999999999998E-2</v>
      </c>
      <c r="AA122" s="2">
        <v>8.1999999999999993</v>
      </c>
      <c r="AB122" s="2">
        <v>6.2</v>
      </c>
      <c r="AC122" s="2">
        <v>7</v>
      </c>
      <c r="AD122" s="2">
        <v>31.5</v>
      </c>
      <c r="AE122" s="4" t="s">
        <v>866</v>
      </c>
      <c r="AF122" s="4">
        <v>1.19</v>
      </c>
      <c r="AH122" s="21" t="s">
        <v>923</v>
      </c>
      <c r="AI122" s="21" t="s">
        <v>924</v>
      </c>
      <c r="AJ122" s="24" t="s">
        <v>916</v>
      </c>
      <c r="AK122" s="24" t="s">
        <v>1015</v>
      </c>
      <c r="AL122" s="20" t="s">
        <v>1098</v>
      </c>
    </row>
    <row r="123" spans="1:38" x14ac:dyDescent="0.25">
      <c r="A123" s="14" t="s">
        <v>345</v>
      </c>
      <c r="B123" s="14" t="s">
        <v>346</v>
      </c>
      <c r="C123" s="14" t="s">
        <v>347</v>
      </c>
      <c r="D123" t="s">
        <v>1571</v>
      </c>
      <c r="E123" t="s">
        <v>1585</v>
      </c>
      <c r="F123" s="1">
        <v>0.83</v>
      </c>
      <c r="G123" s="1">
        <v>0.39</v>
      </c>
      <c r="H123" s="1">
        <v>0.52</v>
      </c>
      <c r="I123" s="1">
        <v>0.41</v>
      </c>
      <c r="J123" s="1">
        <v>0.61</v>
      </c>
      <c r="K123" s="1">
        <v>0.57499999999999996</v>
      </c>
      <c r="L123" s="1">
        <v>0.14000000000000001</v>
      </c>
      <c r="M123" s="1">
        <v>0.16</v>
      </c>
      <c r="N123" s="1">
        <v>0.18</v>
      </c>
      <c r="O123" s="1">
        <v>0.61</v>
      </c>
      <c r="P123" s="1">
        <v>0.46499999999999997</v>
      </c>
      <c r="Q123" s="1">
        <v>0.59250000000000003</v>
      </c>
      <c r="R123" s="1">
        <v>0.88273055826574476</v>
      </c>
      <c r="S123" s="1">
        <v>0.61508406121997983</v>
      </c>
      <c r="T123" s="1">
        <v>0.33385921072813618</v>
      </c>
      <c r="U123" s="2">
        <v>1.9000000000000001</v>
      </c>
      <c r="V123" s="2">
        <v>1.7399999999999998</v>
      </c>
      <c r="W123" s="2">
        <v>2.39</v>
      </c>
      <c r="X123" s="1">
        <v>7.0000000000000007E-2</v>
      </c>
      <c r="Y123" s="1">
        <v>0.08</v>
      </c>
      <c r="Z123" s="1">
        <v>0.09</v>
      </c>
      <c r="AA123" s="2">
        <v>7.2</v>
      </c>
      <c r="AB123" s="2">
        <v>5.9</v>
      </c>
      <c r="AC123" s="2">
        <v>5.2</v>
      </c>
      <c r="AD123" s="2">
        <v>31.9</v>
      </c>
      <c r="AE123" s="4" t="s">
        <v>866</v>
      </c>
      <c r="AF123" s="4">
        <v>1.19</v>
      </c>
      <c r="AH123" s="21" t="s">
        <v>923</v>
      </c>
      <c r="AI123" s="21" t="s">
        <v>924</v>
      </c>
      <c r="AJ123" s="24" t="s">
        <v>916</v>
      </c>
      <c r="AK123" s="24" t="s">
        <v>1016</v>
      </c>
      <c r="AL123" s="20" t="s">
        <v>1098</v>
      </c>
    </row>
    <row r="124" spans="1:38" x14ac:dyDescent="0.25">
      <c r="A124" s="14" t="s">
        <v>348</v>
      </c>
      <c r="B124" s="14" t="s">
        <v>349</v>
      </c>
      <c r="C124" s="14" t="s">
        <v>350</v>
      </c>
      <c r="D124" t="s">
        <v>1571</v>
      </c>
      <c r="E124" t="s">
        <v>1585</v>
      </c>
      <c r="F124" s="1">
        <v>1.7529999999999999</v>
      </c>
      <c r="G124" s="1">
        <v>0.80600000000000005</v>
      </c>
      <c r="H124" s="1">
        <v>1.4784999999999999</v>
      </c>
      <c r="I124" s="1">
        <v>0.78400000000000003</v>
      </c>
      <c r="J124" s="1">
        <v>1.423</v>
      </c>
      <c r="K124" s="1">
        <v>1.1054999999999999</v>
      </c>
      <c r="L124" s="1">
        <v>0.248</v>
      </c>
      <c r="M124" s="1">
        <v>0.23799999999999999</v>
      </c>
      <c r="N124" s="1">
        <v>0.251</v>
      </c>
      <c r="O124" s="1">
        <v>1.2795000000000001</v>
      </c>
      <c r="P124" s="1">
        <v>1.1312500000000001</v>
      </c>
      <c r="Q124" s="1">
        <v>1.2642500000000001</v>
      </c>
      <c r="R124" s="1">
        <v>0.88803118332610897</v>
      </c>
      <c r="S124" s="1">
        <v>0.84783060584019709</v>
      </c>
      <c r="T124" s="1">
        <v>0.62964889236276844</v>
      </c>
      <c r="U124" s="2">
        <v>5.0030000000000001</v>
      </c>
      <c r="V124" s="2">
        <v>4.4459999999999997</v>
      </c>
      <c r="W124" s="2">
        <v>5.2539999999999996</v>
      </c>
      <c r="X124" s="1">
        <v>0.124</v>
      </c>
      <c r="Y124" s="1">
        <v>0.11899999999999999</v>
      </c>
      <c r="Z124" s="1">
        <v>0.1255</v>
      </c>
      <c r="AA124" s="2">
        <v>21.7</v>
      </c>
      <c r="AB124" s="2">
        <v>15.3</v>
      </c>
      <c r="AC124" s="2">
        <v>16</v>
      </c>
      <c r="AD124" s="2">
        <v>28.7</v>
      </c>
      <c r="AE124" s="4" t="s">
        <v>866</v>
      </c>
      <c r="AF124" s="4">
        <v>1.19</v>
      </c>
      <c r="AH124" s="21" t="s">
        <v>923</v>
      </c>
      <c r="AI124" s="21" t="s">
        <v>924</v>
      </c>
      <c r="AJ124" s="24" t="s">
        <v>936</v>
      </c>
      <c r="AK124" s="24" t="s">
        <v>1017</v>
      </c>
      <c r="AL124" s="20" t="s">
        <v>1098</v>
      </c>
    </row>
    <row r="125" spans="1:38" x14ac:dyDescent="0.25">
      <c r="A125" s="14" t="s">
        <v>351</v>
      </c>
      <c r="B125" s="14" t="s">
        <v>352</v>
      </c>
      <c r="C125" s="14" t="s">
        <v>1199</v>
      </c>
      <c r="D125" t="s">
        <v>1571</v>
      </c>
      <c r="E125" t="s">
        <v>1585</v>
      </c>
      <c r="F125" s="1">
        <v>1.38</v>
      </c>
      <c r="G125" s="1">
        <v>0.56999999999999995</v>
      </c>
      <c r="H125" s="1">
        <v>1.1599999999999999</v>
      </c>
      <c r="I125" s="1">
        <v>0.56000000000000005</v>
      </c>
      <c r="J125" s="1">
        <v>1.1599999999999999</v>
      </c>
      <c r="K125" s="1">
        <v>0.67</v>
      </c>
      <c r="L125" s="1">
        <v>0.19</v>
      </c>
      <c r="M125" s="1">
        <v>0.19</v>
      </c>
      <c r="N125" s="1">
        <v>0.21</v>
      </c>
      <c r="O125" s="1">
        <v>0.97499999999999987</v>
      </c>
      <c r="P125" s="1">
        <v>0.86</v>
      </c>
      <c r="Q125" s="1">
        <v>0.91500000000000004</v>
      </c>
      <c r="R125" s="1">
        <v>0.91071130720232218</v>
      </c>
      <c r="S125" s="1">
        <v>0.87575345511726166</v>
      </c>
      <c r="T125" s="1">
        <v>0.81632969663173072</v>
      </c>
      <c r="U125" s="2">
        <v>3.9</v>
      </c>
      <c r="V125" s="2">
        <v>3.2</v>
      </c>
      <c r="W125" s="2">
        <v>2.6</v>
      </c>
      <c r="X125" s="1">
        <v>9.5000000000000001E-2</v>
      </c>
      <c r="Y125" s="1">
        <v>9.5000000000000001E-2</v>
      </c>
      <c r="Z125" s="1">
        <v>0.105</v>
      </c>
      <c r="AA125" s="2">
        <v>19.8</v>
      </c>
      <c r="AB125" s="2">
        <v>14.2</v>
      </c>
      <c r="AC125" s="2">
        <v>6.2</v>
      </c>
      <c r="AD125" s="2" t="s">
        <v>40</v>
      </c>
      <c r="AE125" s="4" t="s">
        <v>866</v>
      </c>
      <c r="AF125" s="4">
        <v>1.19</v>
      </c>
      <c r="AH125" s="21" t="s">
        <v>925</v>
      </c>
      <c r="AI125" s="21" t="s">
        <v>925</v>
      </c>
      <c r="AJ125" s="24" t="s">
        <v>937</v>
      </c>
      <c r="AK125" s="23" t="s">
        <v>40</v>
      </c>
      <c r="AL125" s="20" t="s">
        <v>1098</v>
      </c>
    </row>
    <row r="126" spans="1:38" x14ac:dyDescent="0.25">
      <c r="A126" s="14" t="s">
        <v>351</v>
      </c>
      <c r="B126" s="14" t="s">
        <v>353</v>
      </c>
      <c r="C126" s="14" t="s">
        <v>354</v>
      </c>
      <c r="D126" t="s">
        <v>1571</v>
      </c>
      <c r="E126" t="s">
        <v>1585</v>
      </c>
      <c r="F126" s="1">
        <v>1.4350000000000001</v>
      </c>
      <c r="G126" s="1">
        <v>0.6855</v>
      </c>
      <c r="H126" s="1">
        <v>1.2450000000000001</v>
      </c>
      <c r="I126" s="1">
        <v>0.72699999999999998</v>
      </c>
      <c r="J126" s="1">
        <v>1.2975000000000001</v>
      </c>
      <c r="K126" s="1">
        <v>0.84899999999999998</v>
      </c>
      <c r="L126" s="1">
        <v>0.20799999999999999</v>
      </c>
      <c r="M126" s="1">
        <v>0.19900000000000001</v>
      </c>
      <c r="N126" s="1">
        <v>0.18099999999999999</v>
      </c>
      <c r="O126" s="1">
        <v>1.0602499999999999</v>
      </c>
      <c r="P126" s="1">
        <v>0.98599999999999999</v>
      </c>
      <c r="Q126" s="1">
        <v>1.07325</v>
      </c>
      <c r="R126" s="1">
        <v>0.87852283812539134</v>
      </c>
      <c r="S126" s="1">
        <v>0.81179988179345641</v>
      </c>
      <c r="T126" s="1">
        <v>0.7562045803679327</v>
      </c>
      <c r="U126" s="2">
        <v>4.1749999999999998</v>
      </c>
      <c r="V126" s="2">
        <v>4.0149999999999997</v>
      </c>
      <c r="W126" s="2">
        <v>4.3529999999999998</v>
      </c>
      <c r="X126" s="1">
        <v>0.104</v>
      </c>
      <c r="Y126" s="1">
        <v>9.9500000000000005E-2</v>
      </c>
      <c r="Z126" s="1">
        <v>9.0499999999999997E-2</v>
      </c>
      <c r="AA126" s="2">
        <v>20.399999999999999</v>
      </c>
      <c r="AB126" s="2">
        <v>13.9</v>
      </c>
      <c r="AC126" s="2">
        <v>8</v>
      </c>
      <c r="AD126" s="2">
        <v>33.6</v>
      </c>
      <c r="AE126" s="4" t="s">
        <v>866</v>
      </c>
      <c r="AF126" s="4">
        <v>1.19</v>
      </c>
      <c r="AH126" s="21" t="s">
        <v>923</v>
      </c>
      <c r="AI126" s="21" t="s">
        <v>923</v>
      </c>
      <c r="AJ126" s="24" t="s">
        <v>918</v>
      </c>
      <c r="AK126" s="24" t="s">
        <v>1018</v>
      </c>
      <c r="AL126" s="20" t="s">
        <v>1098</v>
      </c>
    </row>
    <row r="127" spans="1:38" x14ac:dyDescent="0.25">
      <c r="A127" s="14" t="s">
        <v>355</v>
      </c>
      <c r="B127" s="14" t="s">
        <v>356</v>
      </c>
      <c r="C127" s="14" t="s">
        <v>357</v>
      </c>
      <c r="D127" t="s">
        <v>1571</v>
      </c>
      <c r="E127" t="s">
        <v>1586</v>
      </c>
      <c r="F127" s="1">
        <v>0.42599999999999999</v>
      </c>
      <c r="G127" s="1">
        <v>0.22750000000000001</v>
      </c>
      <c r="H127" s="1">
        <v>0.46</v>
      </c>
      <c r="I127" s="1">
        <v>0.35</v>
      </c>
      <c r="J127" s="1">
        <v>0.4995</v>
      </c>
      <c r="K127" s="1">
        <v>0.30199999999999999</v>
      </c>
      <c r="L127" s="1">
        <v>0.21299999999999999</v>
      </c>
      <c r="M127" s="1">
        <v>0.20300000000000001</v>
      </c>
      <c r="N127" s="1">
        <v>0.153</v>
      </c>
      <c r="O127" s="1">
        <v>0.32674999999999998</v>
      </c>
      <c r="P127" s="1">
        <v>0.40500000000000003</v>
      </c>
      <c r="Q127" s="1">
        <v>0.40075</v>
      </c>
      <c r="R127" s="1">
        <v>0.84546075362094064</v>
      </c>
      <c r="S127" s="1">
        <v>0.64890485028692613</v>
      </c>
      <c r="T127" s="1">
        <v>0.79652575105322854</v>
      </c>
      <c r="U127" s="2">
        <v>1.2350000000000001</v>
      </c>
      <c r="V127" s="2">
        <v>1.198</v>
      </c>
      <c r="W127" s="2">
        <v>1.4910000000000001</v>
      </c>
      <c r="X127" s="1">
        <v>0.1065</v>
      </c>
      <c r="Y127" s="1">
        <v>0.10150000000000001</v>
      </c>
      <c r="Z127" s="1">
        <v>7.6499999999999999E-2</v>
      </c>
      <c r="AA127" s="2">
        <v>7.7</v>
      </c>
      <c r="AB127" s="2">
        <v>6.1</v>
      </c>
      <c r="AC127" s="2">
        <v>10</v>
      </c>
      <c r="AD127" s="2" t="s">
        <v>40</v>
      </c>
      <c r="AE127" s="4" t="s">
        <v>866</v>
      </c>
      <c r="AF127" s="4">
        <v>1.19</v>
      </c>
      <c r="AH127" s="21" t="s">
        <v>923</v>
      </c>
      <c r="AI127" s="21" t="s">
        <v>924</v>
      </c>
      <c r="AJ127" s="16" t="s">
        <v>1116</v>
      </c>
      <c r="AK127" s="23" t="s">
        <v>40</v>
      </c>
      <c r="AL127" s="20" t="s">
        <v>1098</v>
      </c>
    </row>
    <row r="128" spans="1:38" x14ac:dyDescent="0.25">
      <c r="A128" s="14" t="s">
        <v>358</v>
      </c>
      <c r="B128" s="14" t="s">
        <v>359</v>
      </c>
      <c r="C128" s="14" t="s">
        <v>360</v>
      </c>
      <c r="D128" t="s">
        <v>1571</v>
      </c>
      <c r="E128" t="s">
        <v>1586</v>
      </c>
      <c r="F128" s="1">
        <v>1.3134999999999999</v>
      </c>
      <c r="G128" s="1">
        <v>0.47099999999999997</v>
      </c>
      <c r="H128" s="1">
        <v>1.0725</v>
      </c>
      <c r="I128" s="1">
        <v>0.57699999999999996</v>
      </c>
      <c r="J128" s="1">
        <v>1.2095</v>
      </c>
      <c r="K128" s="1">
        <v>0.745</v>
      </c>
      <c r="L128" s="1">
        <v>0.34</v>
      </c>
      <c r="M128" s="1">
        <v>0.35</v>
      </c>
      <c r="N128" s="1">
        <v>0.20499999999999999</v>
      </c>
      <c r="O128" s="1">
        <v>0.89224999999999999</v>
      </c>
      <c r="P128" s="1">
        <v>0.82474999999999998</v>
      </c>
      <c r="Q128" s="1">
        <v>0.97724999999999995</v>
      </c>
      <c r="R128" s="1">
        <v>0.93349748837787672</v>
      </c>
      <c r="S128" s="1">
        <v>0.84294781350643644</v>
      </c>
      <c r="T128" s="1">
        <v>0.78777976966502583</v>
      </c>
      <c r="U128" s="2">
        <v>3.4929999999999999</v>
      </c>
      <c r="V128" s="2">
        <v>2.9329999999999998</v>
      </c>
      <c r="W128" s="2">
        <v>3.6589999999999998</v>
      </c>
      <c r="X128" s="1">
        <v>0.17</v>
      </c>
      <c r="Y128" s="1">
        <v>0.17499999999999999</v>
      </c>
      <c r="Z128" s="1">
        <v>0.10249999999999999</v>
      </c>
      <c r="AA128" s="2">
        <v>16.600000000000001</v>
      </c>
      <c r="AB128" s="2">
        <v>11.9</v>
      </c>
      <c r="AC128" s="2">
        <v>63.1</v>
      </c>
      <c r="AD128" s="2" t="s">
        <v>40</v>
      </c>
      <c r="AE128" s="4" t="s">
        <v>866</v>
      </c>
      <c r="AF128" s="4">
        <v>1.19</v>
      </c>
      <c r="AH128" s="21" t="s">
        <v>923</v>
      </c>
      <c r="AI128" s="21" t="s">
        <v>924</v>
      </c>
      <c r="AJ128" s="22" t="s">
        <v>954</v>
      </c>
      <c r="AK128" s="23" t="s">
        <v>40</v>
      </c>
      <c r="AL128" s="20" t="s">
        <v>1098</v>
      </c>
    </row>
    <row r="129" spans="1:38" x14ac:dyDescent="0.25">
      <c r="A129" s="14" t="s">
        <v>361</v>
      </c>
      <c r="B129" s="14" t="s">
        <v>362</v>
      </c>
      <c r="C129" s="14" t="s">
        <v>1200</v>
      </c>
      <c r="D129" t="s">
        <v>1571</v>
      </c>
      <c r="E129" t="s">
        <v>1586</v>
      </c>
      <c r="F129" s="1">
        <v>2.4535</v>
      </c>
      <c r="G129" s="1">
        <v>0.85550000000000004</v>
      </c>
      <c r="H129" s="1">
        <v>2.34</v>
      </c>
      <c r="I129" s="1">
        <v>0.996</v>
      </c>
      <c r="J129" s="1">
        <v>2.4224999999999999</v>
      </c>
      <c r="K129" s="1">
        <v>1.5549999999999999</v>
      </c>
      <c r="L129" s="1">
        <v>0.501</v>
      </c>
      <c r="M129" s="1">
        <v>0.434</v>
      </c>
      <c r="N129" s="1">
        <v>0.433</v>
      </c>
      <c r="O129" s="1">
        <v>1.6545000000000001</v>
      </c>
      <c r="P129" s="1">
        <v>1.6679999999999999</v>
      </c>
      <c r="Q129" s="1">
        <v>1.98875</v>
      </c>
      <c r="R129" s="1">
        <v>0.93723976993465985</v>
      </c>
      <c r="S129" s="1">
        <v>0.90489210256872932</v>
      </c>
      <c r="T129" s="1">
        <v>0.76678931093020097</v>
      </c>
      <c r="U129" s="2">
        <v>6.4359999999999999</v>
      </c>
      <c r="V129" s="2">
        <v>6.7290000000000001</v>
      </c>
      <c r="W129" s="2">
        <v>7.7759999999999998</v>
      </c>
      <c r="X129" s="1">
        <v>0.2505</v>
      </c>
      <c r="Y129" s="1">
        <v>0.217</v>
      </c>
      <c r="Z129" s="1">
        <v>0.2165</v>
      </c>
      <c r="AA129" s="2">
        <v>69.071592512213385</v>
      </c>
      <c r="AB129" s="2">
        <v>45.029554604966506</v>
      </c>
      <c r="AC129" s="2">
        <v>3599</v>
      </c>
      <c r="AD129" s="2">
        <v>30.774999999999999</v>
      </c>
      <c r="AE129" s="4" t="s">
        <v>866</v>
      </c>
      <c r="AF129" s="4">
        <v>1.19</v>
      </c>
      <c r="AH129" s="21" t="s">
        <v>923</v>
      </c>
      <c r="AI129" s="21" t="s">
        <v>924</v>
      </c>
      <c r="AJ129" s="24" t="s">
        <v>938</v>
      </c>
      <c r="AK129" s="24" t="s">
        <v>1019</v>
      </c>
      <c r="AL129" s="20" t="s">
        <v>1098</v>
      </c>
    </row>
    <row r="130" spans="1:38" x14ac:dyDescent="0.25">
      <c r="A130" s="14" t="s">
        <v>363</v>
      </c>
      <c r="B130" s="14" t="s">
        <v>364</v>
      </c>
      <c r="C130" s="14" t="s">
        <v>365</v>
      </c>
      <c r="D130" t="s">
        <v>1571</v>
      </c>
      <c r="E130" t="s">
        <v>1586</v>
      </c>
      <c r="F130" s="1">
        <v>0.81</v>
      </c>
      <c r="G130" s="1">
        <v>0.42</v>
      </c>
      <c r="H130" s="1">
        <v>0.66</v>
      </c>
      <c r="I130" s="1">
        <v>0.51</v>
      </c>
      <c r="J130" s="1">
        <v>0.83</v>
      </c>
      <c r="K130" s="1">
        <v>0.65</v>
      </c>
      <c r="L130" s="1">
        <v>0.14000000000000001</v>
      </c>
      <c r="M130" s="1">
        <v>0.13</v>
      </c>
      <c r="N130" s="1">
        <v>0.17</v>
      </c>
      <c r="O130" s="1">
        <v>0.61499999999999999</v>
      </c>
      <c r="P130" s="1">
        <v>0.58499999999999996</v>
      </c>
      <c r="Q130" s="1">
        <v>0.74</v>
      </c>
      <c r="R130" s="1">
        <v>0.85506639856408861</v>
      </c>
      <c r="S130" s="1">
        <v>0.63473818380767921</v>
      </c>
      <c r="T130" s="1">
        <v>0.62185483858139456</v>
      </c>
      <c r="U130" s="2">
        <v>1.8</v>
      </c>
      <c r="V130" s="2">
        <v>1.7</v>
      </c>
      <c r="W130" s="2">
        <v>2.5</v>
      </c>
      <c r="X130" s="1">
        <v>7.0000000000000007E-2</v>
      </c>
      <c r="Y130" s="1">
        <v>6.5000000000000002E-2</v>
      </c>
      <c r="Z130" s="1">
        <v>8.5000000000000006E-2</v>
      </c>
      <c r="AA130" s="2">
        <v>14.2</v>
      </c>
      <c r="AB130" s="2">
        <v>9.8000000000000007</v>
      </c>
      <c r="AC130" s="2">
        <v>6</v>
      </c>
      <c r="AD130" s="2" t="s">
        <v>40</v>
      </c>
      <c r="AE130" s="4" t="s">
        <v>866</v>
      </c>
      <c r="AF130" s="4">
        <v>1.19</v>
      </c>
      <c r="AH130" s="21" t="s">
        <v>923</v>
      </c>
      <c r="AI130" s="21" t="s">
        <v>924</v>
      </c>
      <c r="AJ130" s="24" t="s">
        <v>925</v>
      </c>
      <c r="AK130" s="23" t="s">
        <v>40</v>
      </c>
      <c r="AL130" s="20" t="s">
        <v>1098</v>
      </c>
    </row>
    <row r="131" spans="1:38" x14ac:dyDescent="0.25">
      <c r="A131" s="14" t="s">
        <v>366</v>
      </c>
      <c r="B131" s="14" t="s">
        <v>367</v>
      </c>
      <c r="C131" s="14" t="s">
        <v>368</v>
      </c>
      <c r="D131" t="s">
        <v>1571</v>
      </c>
      <c r="E131" t="s">
        <v>1586</v>
      </c>
      <c r="F131" s="1">
        <v>0.55900000000000005</v>
      </c>
      <c r="G131" s="1">
        <v>0.23</v>
      </c>
      <c r="H131" s="1">
        <v>0.50749999999999995</v>
      </c>
      <c r="I131" s="1">
        <v>0.36549999999999999</v>
      </c>
      <c r="J131" s="1">
        <v>0.46150000000000002</v>
      </c>
      <c r="K131" s="1">
        <v>0.28149999999999997</v>
      </c>
      <c r="L131" s="1">
        <v>0.183</v>
      </c>
      <c r="M131" s="1">
        <v>0.184</v>
      </c>
      <c r="N131" s="1">
        <v>0.17899999999999999</v>
      </c>
      <c r="O131" s="1">
        <v>0.39450000000000002</v>
      </c>
      <c r="P131" s="1">
        <v>0.4365</v>
      </c>
      <c r="Q131" s="1">
        <v>0.3715</v>
      </c>
      <c r="R131" s="1">
        <v>0.91143277708791814</v>
      </c>
      <c r="S131" s="1">
        <v>0.69376957077344159</v>
      </c>
      <c r="T131" s="1">
        <v>0.79242643333499174</v>
      </c>
      <c r="U131" s="2">
        <v>1.571</v>
      </c>
      <c r="V131" s="2">
        <v>1.6240000000000001</v>
      </c>
      <c r="W131" s="2">
        <v>1.712</v>
      </c>
      <c r="X131" s="1">
        <v>9.1499999999999998E-2</v>
      </c>
      <c r="Y131" s="1">
        <v>9.1999999999999998E-2</v>
      </c>
      <c r="Z131" s="1">
        <v>8.9499999999999996E-2</v>
      </c>
      <c r="AA131" s="2">
        <v>7</v>
      </c>
      <c r="AB131" s="2">
        <v>5.8</v>
      </c>
      <c r="AC131" s="2">
        <v>6.5</v>
      </c>
      <c r="AD131" s="2" t="s">
        <v>40</v>
      </c>
      <c r="AE131" s="4" t="s">
        <v>866</v>
      </c>
      <c r="AF131" s="4">
        <v>1.19</v>
      </c>
      <c r="AH131" s="21" t="s">
        <v>923</v>
      </c>
      <c r="AI131" s="21" t="s">
        <v>924</v>
      </c>
      <c r="AJ131" s="24" t="s">
        <v>939</v>
      </c>
      <c r="AK131" s="23" t="s">
        <v>40</v>
      </c>
      <c r="AL131" s="20" t="s">
        <v>1098</v>
      </c>
    </row>
    <row r="132" spans="1:38" x14ac:dyDescent="0.25">
      <c r="A132" s="14" t="s">
        <v>369</v>
      </c>
      <c r="B132" s="14" t="s">
        <v>370</v>
      </c>
      <c r="C132" s="14" t="s">
        <v>371</v>
      </c>
      <c r="D132" t="s">
        <v>1571</v>
      </c>
      <c r="E132" t="s">
        <v>1586</v>
      </c>
      <c r="F132" s="1">
        <v>1.629</v>
      </c>
      <c r="G132" s="1">
        <v>0.61799999999999999</v>
      </c>
      <c r="H132" s="1">
        <v>1.4259999999999999</v>
      </c>
      <c r="I132" s="1">
        <v>0.85099999999999998</v>
      </c>
      <c r="J132" s="1">
        <v>1.7775000000000001</v>
      </c>
      <c r="K132" s="1">
        <v>1.2535000000000001</v>
      </c>
      <c r="L132" s="1">
        <v>0.222</v>
      </c>
      <c r="M132" s="1">
        <v>0.18099999999999999</v>
      </c>
      <c r="N132" s="1">
        <v>0.30399999999999999</v>
      </c>
      <c r="O132" s="1">
        <v>1.1234999999999999</v>
      </c>
      <c r="P132" s="1">
        <v>1.1385000000000001</v>
      </c>
      <c r="Q132" s="1">
        <v>1.5155000000000001</v>
      </c>
      <c r="R132" s="1">
        <v>0.92524347212217961</v>
      </c>
      <c r="S132" s="1">
        <v>0.80240922347308064</v>
      </c>
      <c r="T132" s="1">
        <v>0.70900451738097481</v>
      </c>
      <c r="U132" s="2">
        <v>3.9590000000000001</v>
      </c>
      <c r="V132" s="2">
        <v>4.069</v>
      </c>
      <c r="W132" s="2">
        <v>6.0090000000000003</v>
      </c>
      <c r="X132" s="1">
        <v>0.111</v>
      </c>
      <c r="Y132" s="1">
        <v>9.0499999999999997E-2</v>
      </c>
      <c r="Z132" s="1">
        <v>0.152</v>
      </c>
      <c r="AA132" s="2">
        <v>24.3</v>
      </c>
      <c r="AB132" s="2">
        <v>19.2</v>
      </c>
      <c r="AC132" s="2">
        <v>383.8</v>
      </c>
      <c r="AD132" s="2">
        <v>30.1</v>
      </c>
      <c r="AE132" s="4" t="s">
        <v>866</v>
      </c>
      <c r="AF132" s="4">
        <v>1.19</v>
      </c>
      <c r="AH132" s="21" t="s">
        <v>923</v>
      </c>
      <c r="AI132" s="21" t="s">
        <v>924</v>
      </c>
      <c r="AJ132" s="22" t="s">
        <v>1376</v>
      </c>
      <c r="AK132" s="19" t="s">
        <v>1020</v>
      </c>
      <c r="AL132" s="20" t="s">
        <v>1098</v>
      </c>
    </row>
    <row r="133" spans="1:38" x14ac:dyDescent="0.25">
      <c r="A133" s="14" t="s">
        <v>372</v>
      </c>
      <c r="B133" s="14" t="s">
        <v>373</v>
      </c>
      <c r="C133" s="14" t="s">
        <v>374</v>
      </c>
      <c r="D133" t="s">
        <v>1571</v>
      </c>
      <c r="E133" t="s">
        <v>1586</v>
      </c>
      <c r="F133" s="1">
        <v>1.1285000000000001</v>
      </c>
      <c r="G133" s="1">
        <v>0.38900000000000001</v>
      </c>
      <c r="H133" s="1">
        <v>0.95499999999999996</v>
      </c>
      <c r="I133" s="1">
        <v>0.44400000000000001</v>
      </c>
      <c r="J133" s="1">
        <v>0.93200000000000005</v>
      </c>
      <c r="K133" s="1">
        <v>0.50800000000000001</v>
      </c>
      <c r="L133" s="1">
        <v>0.37</v>
      </c>
      <c r="M133" s="1">
        <v>0.37</v>
      </c>
      <c r="N133" s="1">
        <v>0.28999999999999998</v>
      </c>
      <c r="O133" s="1">
        <v>0.75875000000000004</v>
      </c>
      <c r="P133" s="1">
        <v>0.69950000000000001</v>
      </c>
      <c r="Q133" s="1">
        <v>0.72</v>
      </c>
      <c r="R133" s="1">
        <v>0.93871093209237921</v>
      </c>
      <c r="S133" s="1">
        <v>0.88535192465009105</v>
      </c>
      <c r="T133" s="1">
        <v>0.83839419379054281</v>
      </c>
      <c r="U133" s="2">
        <v>2.827</v>
      </c>
      <c r="V133" s="2">
        <v>2.7440000000000002</v>
      </c>
      <c r="W133" s="2">
        <v>2.8759999999999999</v>
      </c>
      <c r="X133" s="1">
        <v>0.185</v>
      </c>
      <c r="Y133" s="1">
        <v>0.185</v>
      </c>
      <c r="Z133" s="1">
        <v>0.14499999999999999</v>
      </c>
      <c r="AA133" s="2">
        <v>16.399999999999999</v>
      </c>
      <c r="AB133" s="2">
        <v>11.5</v>
      </c>
      <c r="AC133" s="79">
        <v>62.527079999999998</v>
      </c>
      <c r="AD133" s="2" t="s">
        <v>40</v>
      </c>
      <c r="AE133" s="4" t="s">
        <v>866</v>
      </c>
      <c r="AF133" s="4">
        <v>1.19</v>
      </c>
      <c r="AH133" s="21" t="s">
        <v>923</v>
      </c>
      <c r="AI133" s="21" t="s">
        <v>924</v>
      </c>
      <c r="AJ133" s="22" t="s">
        <v>953</v>
      </c>
      <c r="AK133" s="23" t="s">
        <v>40</v>
      </c>
      <c r="AL133" s="20" t="s">
        <v>1098</v>
      </c>
    </row>
    <row r="134" spans="1:38" x14ac:dyDescent="0.25">
      <c r="A134" s="14" t="s">
        <v>375</v>
      </c>
      <c r="B134" s="14" t="s">
        <v>376</v>
      </c>
      <c r="C134" s="14" t="s">
        <v>377</v>
      </c>
      <c r="D134" t="s">
        <v>1571</v>
      </c>
      <c r="E134" t="s">
        <v>1586</v>
      </c>
      <c r="F134" s="1">
        <v>3.48</v>
      </c>
      <c r="G134" s="1">
        <v>1.2749999999999999</v>
      </c>
      <c r="H134" s="1">
        <v>2.5249999999999999</v>
      </c>
      <c r="I134" s="1">
        <v>1.66</v>
      </c>
      <c r="J134" s="1">
        <v>4.1849999999999996</v>
      </c>
      <c r="K134" s="1">
        <v>2.82</v>
      </c>
      <c r="L134" s="1">
        <v>0.31</v>
      </c>
      <c r="M134" s="1">
        <v>0.24</v>
      </c>
      <c r="N134" s="1">
        <v>0.33</v>
      </c>
      <c r="O134" s="1">
        <v>2.3774999999999999</v>
      </c>
      <c r="P134" s="1">
        <v>2.0924999999999998</v>
      </c>
      <c r="Q134" s="1">
        <v>3.5024999999999995</v>
      </c>
      <c r="R134" s="1">
        <v>0.93046558289452519</v>
      </c>
      <c r="S134" s="1">
        <v>0.75351933817300676</v>
      </c>
      <c r="T134" s="1">
        <v>0.73888173865134832</v>
      </c>
      <c r="U134" s="2">
        <v>8.5299999999999994</v>
      </c>
      <c r="V134" s="2">
        <v>7.99</v>
      </c>
      <c r="W134" s="2">
        <v>14.38</v>
      </c>
      <c r="X134" s="1">
        <v>0.155</v>
      </c>
      <c r="Y134" s="1">
        <v>0.12</v>
      </c>
      <c r="Z134" s="1">
        <v>0.16500000000000001</v>
      </c>
      <c r="AA134" s="2">
        <v>29.8</v>
      </c>
      <c r="AB134" s="2">
        <v>19.8</v>
      </c>
      <c r="AC134" s="2">
        <v>752.9</v>
      </c>
      <c r="AD134" s="2">
        <v>25</v>
      </c>
      <c r="AE134" s="4" t="s">
        <v>866</v>
      </c>
      <c r="AF134" s="4">
        <v>1.19</v>
      </c>
      <c r="AH134" s="21" t="s">
        <v>923</v>
      </c>
      <c r="AI134" s="21" t="s">
        <v>924</v>
      </c>
      <c r="AJ134" s="24" t="s">
        <v>925</v>
      </c>
      <c r="AK134" s="24" t="s">
        <v>1024</v>
      </c>
      <c r="AL134" s="20" t="s">
        <v>1098</v>
      </c>
    </row>
    <row r="135" spans="1:38" x14ac:dyDescent="0.25">
      <c r="A135" s="14" t="s">
        <v>378</v>
      </c>
      <c r="B135" s="14" t="s">
        <v>379</v>
      </c>
      <c r="C135" s="14" t="s">
        <v>380</v>
      </c>
      <c r="D135" t="s">
        <v>1571</v>
      </c>
      <c r="E135" t="s">
        <v>1586</v>
      </c>
      <c r="F135" s="1">
        <v>2.423</v>
      </c>
      <c r="G135" s="1">
        <v>0.85350000000000004</v>
      </c>
      <c r="H135" s="1">
        <v>2.1154999999999999</v>
      </c>
      <c r="I135" s="1">
        <v>1.1214999999999999</v>
      </c>
      <c r="J135" s="1">
        <v>2.1644999999999999</v>
      </c>
      <c r="K135" s="1">
        <v>1.5165</v>
      </c>
      <c r="L135" s="1">
        <v>0.53300000000000003</v>
      </c>
      <c r="M135" s="1">
        <v>0.48099999999999998</v>
      </c>
      <c r="N135" s="1">
        <v>0.49199999999999999</v>
      </c>
      <c r="O135" s="1">
        <v>1.63825</v>
      </c>
      <c r="P135" s="1">
        <v>1.6185</v>
      </c>
      <c r="Q135" s="1">
        <v>1.8405</v>
      </c>
      <c r="R135" s="1">
        <v>0.93590621662706508</v>
      </c>
      <c r="S135" s="1">
        <v>0.84791342643616163</v>
      </c>
      <c r="T135" s="1">
        <v>0.71353095947152234</v>
      </c>
      <c r="U135" s="2">
        <v>6.7169999999999996</v>
      </c>
      <c r="V135" s="2">
        <v>5.6909999999999998</v>
      </c>
      <c r="W135" s="2">
        <v>7.069</v>
      </c>
      <c r="X135" s="1">
        <v>0.26650000000000001</v>
      </c>
      <c r="Y135" s="1">
        <v>0.24049999999999999</v>
      </c>
      <c r="Z135" s="1">
        <v>0.246</v>
      </c>
      <c r="AA135" s="2">
        <v>50.8</v>
      </c>
      <c r="AB135" s="2">
        <v>32.200000000000003</v>
      </c>
      <c r="AC135" s="2">
        <v>1669</v>
      </c>
      <c r="AD135" s="2">
        <v>27.7</v>
      </c>
      <c r="AE135" s="4" t="s">
        <v>866</v>
      </c>
      <c r="AF135" s="4">
        <v>1.19</v>
      </c>
      <c r="AH135" s="21" t="s">
        <v>925</v>
      </c>
      <c r="AI135" s="21" t="s">
        <v>924</v>
      </c>
      <c r="AJ135" s="24" t="s">
        <v>940</v>
      </c>
      <c r="AK135" s="24" t="s">
        <v>1025</v>
      </c>
      <c r="AL135" s="20" t="s">
        <v>1098</v>
      </c>
    </row>
    <row r="136" spans="1:38" x14ac:dyDescent="0.25">
      <c r="A136" s="14" t="s">
        <v>381</v>
      </c>
      <c r="B136" s="14" t="s">
        <v>382</v>
      </c>
      <c r="C136" s="14" t="s">
        <v>383</v>
      </c>
      <c r="D136" t="s">
        <v>1571</v>
      </c>
      <c r="E136" t="s">
        <v>1586</v>
      </c>
      <c r="F136" s="1">
        <v>2.99</v>
      </c>
      <c r="G136" s="1">
        <v>0.87</v>
      </c>
      <c r="H136" s="1">
        <v>2.6949999999999998</v>
      </c>
      <c r="I136" s="1">
        <v>1.34</v>
      </c>
      <c r="J136" s="1">
        <v>2.7250000000000001</v>
      </c>
      <c r="K136" s="1">
        <v>2.14</v>
      </c>
      <c r="L136" s="1">
        <v>0.62</v>
      </c>
      <c r="M136" s="1">
        <v>0.59</v>
      </c>
      <c r="N136" s="1">
        <v>0.65</v>
      </c>
      <c r="O136" s="1">
        <v>1.9300000000000002</v>
      </c>
      <c r="P136" s="1">
        <v>2.0175000000000001</v>
      </c>
      <c r="Q136" s="1">
        <v>2.4325000000000001</v>
      </c>
      <c r="R136" s="1">
        <v>0.95673220782443547</v>
      </c>
      <c r="S136" s="1">
        <v>0.86762617909295292</v>
      </c>
      <c r="T136" s="1">
        <v>0.61908865960687232</v>
      </c>
      <c r="U136" s="2">
        <v>7.29</v>
      </c>
      <c r="V136" s="2">
        <v>7.6900000000000013</v>
      </c>
      <c r="W136" s="2">
        <v>9.1300000000000008</v>
      </c>
      <c r="X136" s="1">
        <v>0.31</v>
      </c>
      <c r="Y136" s="1">
        <v>0.29499999999999998</v>
      </c>
      <c r="Z136" s="1">
        <v>0.32500000000000001</v>
      </c>
      <c r="AA136" s="2">
        <v>77</v>
      </c>
      <c r="AB136" s="2">
        <v>50.7</v>
      </c>
      <c r="AC136" s="2">
        <v>27250</v>
      </c>
      <c r="AD136" s="2">
        <v>30</v>
      </c>
      <c r="AE136" s="4" t="s">
        <v>866</v>
      </c>
      <c r="AF136" s="4">
        <v>1.19</v>
      </c>
      <c r="AH136" s="21" t="s">
        <v>923</v>
      </c>
      <c r="AI136" s="21" t="s">
        <v>924</v>
      </c>
      <c r="AJ136" s="24" t="s">
        <v>921</v>
      </c>
      <c r="AK136" s="24" t="s">
        <v>1026</v>
      </c>
      <c r="AL136" s="20" t="s">
        <v>1098</v>
      </c>
    </row>
    <row r="137" spans="1:38" x14ac:dyDescent="0.25">
      <c r="A137" s="14" t="s">
        <v>384</v>
      </c>
      <c r="B137" s="14" t="s">
        <v>385</v>
      </c>
      <c r="C137" s="14" t="s">
        <v>386</v>
      </c>
      <c r="D137" t="s">
        <v>1571</v>
      </c>
      <c r="E137" t="s">
        <v>1586</v>
      </c>
      <c r="F137" s="1">
        <v>1.8554999999999999</v>
      </c>
      <c r="G137" s="1">
        <v>0.64</v>
      </c>
      <c r="H137" s="1">
        <v>1.343</v>
      </c>
      <c r="I137" s="1">
        <v>0.76200000000000001</v>
      </c>
      <c r="J137" s="1">
        <v>1.4345000000000001</v>
      </c>
      <c r="K137" s="1">
        <v>0.86150000000000004</v>
      </c>
      <c r="L137" s="1">
        <v>0.41</v>
      </c>
      <c r="M137" s="1">
        <v>0.41399999999999998</v>
      </c>
      <c r="N137" s="1">
        <v>0.35899999999999999</v>
      </c>
      <c r="O137" s="1">
        <v>1.2477499999999999</v>
      </c>
      <c r="P137" s="1">
        <v>1.0525</v>
      </c>
      <c r="Q137" s="1">
        <v>1.1480000000000001</v>
      </c>
      <c r="R137" s="1">
        <v>0.93863190022789222</v>
      </c>
      <c r="S137" s="1">
        <v>0.82345164906146062</v>
      </c>
      <c r="T137" s="1">
        <v>0.79958143191364683</v>
      </c>
      <c r="U137" s="2">
        <v>5.1120000000000001</v>
      </c>
      <c r="V137" s="2">
        <v>4.4059999999999997</v>
      </c>
      <c r="W137" s="2">
        <v>4.4550000000000001</v>
      </c>
      <c r="X137" s="1">
        <v>0.20499999999999999</v>
      </c>
      <c r="Y137" s="1">
        <v>0.20699999999999999</v>
      </c>
      <c r="Z137" s="1">
        <v>0.17949999999999999</v>
      </c>
      <c r="AA137" s="2">
        <v>16.8</v>
      </c>
      <c r="AB137" s="2">
        <v>11.7</v>
      </c>
      <c r="AC137" s="2">
        <v>215</v>
      </c>
      <c r="AD137" s="2">
        <v>26</v>
      </c>
      <c r="AE137" s="4" t="s">
        <v>866</v>
      </c>
      <c r="AF137" s="4">
        <v>1.19</v>
      </c>
      <c r="AH137" s="21" t="s">
        <v>923</v>
      </c>
      <c r="AI137" s="21" t="s">
        <v>924</v>
      </c>
      <c r="AJ137" s="24" t="s">
        <v>925</v>
      </c>
      <c r="AK137" s="24" t="s">
        <v>1027</v>
      </c>
      <c r="AL137" s="20" t="s">
        <v>1098</v>
      </c>
    </row>
    <row r="138" spans="1:38" x14ac:dyDescent="0.25">
      <c r="A138" s="14" t="s">
        <v>387</v>
      </c>
      <c r="B138" s="14" t="s">
        <v>388</v>
      </c>
      <c r="C138" s="14" t="s">
        <v>389</v>
      </c>
      <c r="D138" t="s">
        <v>1571</v>
      </c>
      <c r="E138" t="s">
        <v>1586</v>
      </c>
      <c r="F138" s="1">
        <v>0.93</v>
      </c>
      <c r="G138" s="1">
        <v>0.38</v>
      </c>
      <c r="H138" s="1">
        <v>0.74</v>
      </c>
      <c r="I138" s="1">
        <v>0.47</v>
      </c>
      <c r="J138" s="1">
        <v>0.76</v>
      </c>
      <c r="K138" s="1">
        <v>0.57999999999999996</v>
      </c>
      <c r="L138" s="1">
        <v>0.22</v>
      </c>
      <c r="M138" s="1">
        <v>0.23</v>
      </c>
      <c r="N138" s="1">
        <v>0.24</v>
      </c>
      <c r="O138" s="1">
        <v>0.65500000000000003</v>
      </c>
      <c r="P138" s="1">
        <v>0.60499999999999998</v>
      </c>
      <c r="Q138" s="1">
        <v>0.66999999999999993</v>
      </c>
      <c r="R138" s="1">
        <v>0.91271259582412922</v>
      </c>
      <c r="S138" s="1">
        <v>0.77240103580774255</v>
      </c>
      <c r="T138" s="1">
        <v>0.64621206093729877</v>
      </c>
      <c r="U138" s="2">
        <v>1.9</v>
      </c>
      <c r="V138" s="2">
        <v>2.1</v>
      </c>
      <c r="W138" s="2">
        <v>2.2999999999999998</v>
      </c>
      <c r="X138" s="1">
        <v>0.11</v>
      </c>
      <c r="Y138" s="1">
        <v>0.115</v>
      </c>
      <c r="Z138" s="1">
        <v>0.12</v>
      </c>
      <c r="AA138" s="2">
        <v>11.9</v>
      </c>
      <c r="AB138" s="2">
        <v>6.4</v>
      </c>
      <c r="AC138" s="2">
        <v>12</v>
      </c>
      <c r="AD138" s="2">
        <v>25</v>
      </c>
      <c r="AE138" s="4" t="s">
        <v>866</v>
      </c>
      <c r="AF138" s="4">
        <v>1.19</v>
      </c>
      <c r="AH138" s="21" t="s">
        <v>923</v>
      </c>
      <c r="AI138" s="21" t="s">
        <v>924</v>
      </c>
      <c r="AJ138" s="24" t="s">
        <v>925</v>
      </c>
      <c r="AK138" s="24" t="s">
        <v>1028</v>
      </c>
      <c r="AL138" s="20" t="s">
        <v>1098</v>
      </c>
    </row>
    <row r="139" spans="1:38" x14ac:dyDescent="0.25">
      <c r="A139" s="14" t="s">
        <v>390</v>
      </c>
      <c r="B139" s="14" t="s">
        <v>941</v>
      </c>
      <c r="C139" s="14" t="s">
        <v>391</v>
      </c>
      <c r="D139" t="s">
        <v>1571</v>
      </c>
      <c r="E139" t="s">
        <v>1586</v>
      </c>
      <c r="F139" s="1">
        <v>1.756</v>
      </c>
      <c r="G139" s="1">
        <v>0.59399999999999997</v>
      </c>
      <c r="H139" s="1">
        <v>1.4604999999999999</v>
      </c>
      <c r="I139" s="1">
        <v>0.6915</v>
      </c>
      <c r="J139" s="1">
        <v>1.32301126760563</v>
      </c>
      <c r="K139" s="1">
        <v>0.96188732394366205</v>
      </c>
      <c r="L139" s="1">
        <v>0.36166197183098597</v>
      </c>
      <c r="M139" s="1">
        <v>0.41694084507042301</v>
      </c>
      <c r="N139" s="1">
        <v>0.35599999999999998</v>
      </c>
      <c r="O139" s="1">
        <v>1.175</v>
      </c>
      <c r="P139" s="1">
        <v>1.0760000000000001</v>
      </c>
      <c r="Q139" s="1">
        <v>1.1424492957746462</v>
      </c>
      <c r="R139" s="1">
        <v>0.94104953316923823</v>
      </c>
      <c r="S139" s="1">
        <v>0.88081102516550025</v>
      </c>
      <c r="T139" s="1">
        <v>0.68659093359977597</v>
      </c>
      <c r="U139" s="2">
        <v>5.2270000000000003</v>
      </c>
      <c r="V139" s="2">
        <v>4.548</v>
      </c>
      <c r="W139" s="2">
        <v>4.4309633802816899</v>
      </c>
      <c r="X139" s="1">
        <v>0.18083098591549299</v>
      </c>
      <c r="Y139" s="1">
        <v>0.2084704225352115</v>
      </c>
      <c r="Z139" s="1">
        <v>0.17799999999999999</v>
      </c>
      <c r="AA139" s="2">
        <v>20.399999999999999</v>
      </c>
      <c r="AB139" s="2">
        <v>15.1</v>
      </c>
      <c r="AC139" s="2">
        <v>371.3</v>
      </c>
      <c r="AD139" s="2">
        <v>29.2</v>
      </c>
      <c r="AE139" s="4" t="s">
        <v>866</v>
      </c>
      <c r="AF139" s="4">
        <v>1.19</v>
      </c>
      <c r="AH139" s="21" t="s">
        <v>923</v>
      </c>
      <c r="AI139" s="21" t="s">
        <v>923</v>
      </c>
      <c r="AJ139" s="24" t="s">
        <v>939</v>
      </c>
      <c r="AK139" s="24" t="s">
        <v>1029</v>
      </c>
      <c r="AL139" s="20" t="s">
        <v>1098</v>
      </c>
    </row>
    <row r="140" spans="1:38" x14ac:dyDescent="0.25">
      <c r="A140" s="14" t="s">
        <v>392</v>
      </c>
      <c r="B140" s="14" t="s">
        <v>393</v>
      </c>
      <c r="C140" s="14" t="s">
        <v>394</v>
      </c>
      <c r="D140" t="s">
        <v>1571</v>
      </c>
      <c r="E140" t="s">
        <v>1586</v>
      </c>
      <c r="F140" s="1">
        <v>2.17</v>
      </c>
      <c r="G140" s="1">
        <v>0.89</v>
      </c>
      <c r="H140" s="1">
        <v>1.63</v>
      </c>
      <c r="I140" s="1">
        <v>1.02</v>
      </c>
      <c r="J140" s="1">
        <v>1.91</v>
      </c>
      <c r="K140" s="1">
        <v>1.22</v>
      </c>
      <c r="L140" s="1">
        <v>0.46</v>
      </c>
      <c r="M140" s="1">
        <v>0.48</v>
      </c>
      <c r="N140" s="1">
        <v>0.43</v>
      </c>
      <c r="O140" s="1">
        <v>1.53</v>
      </c>
      <c r="P140" s="1">
        <v>1.325</v>
      </c>
      <c r="Q140" s="1">
        <v>1.5649999999999999</v>
      </c>
      <c r="R140" s="1">
        <v>0.91202336419192498</v>
      </c>
      <c r="S140" s="1">
        <v>0.78001014285171966</v>
      </c>
      <c r="T140" s="1">
        <v>0.76941978013257739</v>
      </c>
      <c r="U140" s="2">
        <v>8.1</v>
      </c>
      <c r="V140" s="2">
        <v>6</v>
      </c>
      <c r="W140" s="2">
        <v>6.2</v>
      </c>
      <c r="X140" s="1">
        <v>0.23</v>
      </c>
      <c r="Y140" s="1">
        <v>0.24</v>
      </c>
      <c r="Z140" s="1">
        <v>0.215</v>
      </c>
      <c r="AA140" s="2">
        <v>27.7</v>
      </c>
      <c r="AB140" s="2">
        <v>12.5</v>
      </c>
      <c r="AC140" s="2">
        <v>130.4</v>
      </c>
      <c r="AD140" s="2">
        <v>26.5</v>
      </c>
      <c r="AE140" s="4" t="s">
        <v>866</v>
      </c>
      <c r="AF140" s="4">
        <v>1.19</v>
      </c>
      <c r="AH140" s="21" t="s">
        <v>923</v>
      </c>
      <c r="AI140" s="21" t="s">
        <v>923</v>
      </c>
      <c r="AJ140" s="24" t="s">
        <v>942</v>
      </c>
      <c r="AK140" s="24" t="s">
        <v>1030</v>
      </c>
      <c r="AL140" s="20" t="s">
        <v>1098</v>
      </c>
    </row>
    <row r="141" spans="1:38" x14ac:dyDescent="0.25">
      <c r="A141" s="14" t="s">
        <v>395</v>
      </c>
      <c r="B141" s="14" t="s">
        <v>396</v>
      </c>
      <c r="C141" s="14" t="s">
        <v>397</v>
      </c>
      <c r="D141" t="s">
        <v>1571</v>
      </c>
      <c r="E141" t="s">
        <v>1586</v>
      </c>
      <c r="F141" s="1">
        <v>1.79</v>
      </c>
      <c r="G141" s="1">
        <v>0.78</v>
      </c>
      <c r="H141" s="1">
        <v>1.54</v>
      </c>
      <c r="I141" s="1">
        <v>0.91</v>
      </c>
      <c r="J141" s="1">
        <v>1.41</v>
      </c>
      <c r="K141" s="1">
        <v>1.08</v>
      </c>
      <c r="L141" s="1">
        <v>0.31</v>
      </c>
      <c r="M141" s="1">
        <v>0.33</v>
      </c>
      <c r="N141" s="1">
        <v>0.35</v>
      </c>
      <c r="O141" s="1">
        <v>1.2850000000000001</v>
      </c>
      <c r="P141" s="1">
        <v>1.2250000000000001</v>
      </c>
      <c r="Q141" s="1">
        <v>1.2450000000000001</v>
      </c>
      <c r="R141" s="1">
        <v>0.90006571201559027</v>
      </c>
      <c r="S141" s="1">
        <v>0.80673815224085665</v>
      </c>
      <c r="T141" s="1">
        <v>0.64289127360587761</v>
      </c>
      <c r="U141" s="2">
        <v>6</v>
      </c>
      <c r="V141" s="2">
        <v>5.3</v>
      </c>
      <c r="W141" s="2">
        <v>5</v>
      </c>
      <c r="X141" s="1">
        <v>0.155</v>
      </c>
      <c r="Y141" s="1">
        <v>0.16500000000000001</v>
      </c>
      <c r="Z141" s="1">
        <v>0.17499999999999999</v>
      </c>
      <c r="AA141" s="2">
        <v>19</v>
      </c>
      <c r="AB141" s="2">
        <v>12.9</v>
      </c>
      <c r="AC141" s="2">
        <v>111</v>
      </c>
      <c r="AD141" s="2">
        <v>26</v>
      </c>
      <c r="AE141" s="4" t="s">
        <v>866</v>
      </c>
      <c r="AF141" s="4">
        <v>1.19</v>
      </c>
      <c r="AH141" s="21" t="s">
        <v>923</v>
      </c>
      <c r="AI141" s="21" t="s">
        <v>923</v>
      </c>
      <c r="AJ141" s="24" t="s">
        <v>925</v>
      </c>
      <c r="AK141" s="24" t="s">
        <v>1031</v>
      </c>
      <c r="AL141" s="20" t="s">
        <v>1098</v>
      </c>
    </row>
    <row r="142" spans="1:38" x14ac:dyDescent="0.25">
      <c r="A142" s="14" t="s">
        <v>398</v>
      </c>
      <c r="B142" s="14" t="s">
        <v>399</v>
      </c>
      <c r="C142" s="14" t="s">
        <v>400</v>
      </c>
      <c r="D142" t="s">
        <v>1571</v>
      </c>
      <c r="E142" t="s">
        <v>1586</v>
      </c>
      <c r="F142" s="1">
        <v>0.96450000000000002</v>
      </c>
      <c r="G142" s="1">
        <v>0.38450000000000001</v>
      </c>
      <c r="H142" s="1">
        <v>0.74750000000000005</v>
      </c>
      <c r="I142" s="1">
        <v>0.36549999999999999</v>
      </c>
      <c r="J142" s="1">
        <v>0.85299999999999998</v>
      </c>
      <c r="K142" s="1">
        <v>0.52700000000000002</v>
      </c>
      <c r="L142" s="1">
        <v>0.18099999999999999</v>
      </c>
      <c r="M142" s="1">
        <v>0.20200000000000001</v>
      </c>
      <c r="N142" s="1">
        <v>0.20699999999999999</v>
      </c>
      <c r="O142" s="1">
        <v>0.67449999999999999</v>
      </c>
      <c r="P142" s="1">
        <v>0.55649999999999999</v>
      </c>
      <c r="Q142" s="1">
        <v>0.69</v>
      </c>
      <c r="R142" s="1">
        <v>0.91710220924663888</v>
      </c>
      <c r="S142" s="1">
        <v>0.8723044070619258</v>
      </c>
      <c r="T142" s="1">
        <v>0.78631998190761287</v>
      </c>
      <c r="U142" s="2">
        <v>2.472</v>
      </c>
      <c r="V142" s="2">
        <v>2.137</v>
      </c>
      <c r="W142" s="2">
        <v>2.4710000000000001</v>
      </c>
      <c r="X142" s="1">
        <v>9.0499999999999997E-2</v>
      </c>
      <c r="Y142" s="1">
        <v>0.10100000000000001</v>
      </c>
      <c r="Z142" s="1">
        <v>0.10349999999999999</v>
      </c>
      <c r="AA142" s="2">
        <v>9.9</v>
      </c>
      <c r="AB142" s="2">
        <v>6.9</v>
      </c>
      <c r="AC142" s="2">
        <v>13</v>
      </c>
      <c r="AD142" s="2" t="s">
        <v>40</v>
      </c>
      <c r="AE142" s="4" t="s">
        <v>866</v>
      </c>
      <c r="AF142" s="4">
        <v>1.19</v>
      </c>
      <c r="AH142" s="21" t="s">
        <v>923</v>
      </c>
      <c r="AI142" s="21" t="s">
        <v>923</v>
      </c>
      <c r="AJ142" s="22" t="s">
        <v>925</v>
      </c>
      <c r="AK142" s="23" t="s">
        <v>40</v>
      </c>
      <c r="AL142" s="20" t="s">
        <v>1098</v>
      </c>
    </row>
    <row r="143" spans="1:38" x14ac:dyDescent="0.25">
      <c r="A143" s="14" t="s">
        <v>401</v>
      </c>
      <c r="B143" s="14" t="s">
        <v>402</v>
      </c>
      <c r="C143" s="14" t="s">
        <v>403</v>
      </c>
      <c r="D143" t="s">
        <v>1571</v>
      </c>
      <c r="E143" t="s">
        <v>1586</v>
      </c>
      <c r="F143" s="1">
        <v>2.2799999999999998</v>
      </c>
      <c r="G143" s="1">
        <v>0.76</v>
      </c>
      <c r="H143" s="1">
        <v>1.88</v>
      </c>
      <c r="I143" s="1">
        <v>0.87</v>
      </c>
      <c r="J143" s="1">
        <v>1.9650000000000001</v>
      </c>
      <c r="K143" s="1">
        <v>1.32</v>
      </c>
      <c r="L143" s="1">
        <v>0.38</v>
      </c>
      <c r="M143" s="1">
        <v>0.43</v>
      </c>
      <c r="N143" s="1">
        <v>0.37</v>
      </c>
      <c r="O143" s="1">
        <v>1.52</v>
      </c>
      <c r="P143" s="1">
        <v>1.375</v>
      </c>
      <c r="Q143" s="1">
        <v>1.6425000000000001</v>
      </c>
      <c r="R143" s="1">
        <v>0.94280904158206336</v>
      </c>
      <c r="S143" s="1">
        <v>0.88648049534568918</v>
      </c>
      <c r="T143" s="1">
        <v>0.74077273550889344</v>
      </c>
      <c r="U143" s="2">
        <v>6.5000000000000018</v>
      </c>
      <c r="V143" s="2">
        <v>5.92</v>
      </c>
      <c r="W143" s="2">
        <v>6.3499999999999988</v>
      </c>
      <c r="X143" s="1">
        <v>0.19</v>
      </c>
      <c r="Y143" s="1">
        <v>0.215</v>
      </c>
      <c r="Z143" s="1">
        <v>0.185</v>
      </c>
      <c r="AA143" s="2">
        <v>26.9</v>
      </c>
      <c r="AB143" s="2">
        <v>19.8</v>
      </c>
      <c r="AC143" s="2">
        <v>243.9</v>
      </c>
      <c r="AD143" s="2" t="s">
        <v>40</v>
      </c>
      <c r="AE143" s="4" t="s">
        <v>866</v>
      </c>
      <c r="AF143" s="4">
        <v>1.19</v>
      </c>
      <c r="AH143" s="21" t="s">
        <v>923</v>
      </c>
      <c r="AI143" s="21" t="s">
        <v>924</v>
      </c>
      <c r="AJ143" s="22" t="s">
        <v>943</v>
      </c>
      <c r="AK143" s="23" t="s">
        <v>40</v>
      </c>
      <c r="AL143" s="20" t="s">
        <v>1098</v>
      </c>
    </row>
    <row r="144" spans="1:38" x14ac:dyDescent="0.25">
      <c r="A144" s="14" t="s">
        <v>404</v>
      </c>
      <c r="B144" s="14" t="s">
        <v>405</v>
      </c>
      <c r="C144" s="14" t="s">
        <v>406</v>
      </c>
      <c r="D144" t="s">
        <v>1571</v>
      </c>
      <c r="E144" t="s">
        <v>1587</v>
      </c>
      <c r="F144" s="1">
        <v>1.85</v>
      </c>
      <c r="G144" s="1">
        <v>0.92</v>
      </c>
      <c r="H144" s="1">
        <v>1.89</v>
      </c>
      <c r="I144" s="1">
        <v>1.1399999999999999</v>
      </c>
      <c r="J144" s="1">
        <v>1.8</v>
      </c>
      <c r="K144" s="1">
        <v>1.1599999999999999</v>
      </c>
      <c r="L144" s="1">
        <v>0.41</v>
      </c>
      <c r="M144" s="1">
        <v>0.43</v>
      </c>
      <c r="N144" s="1">
        <v>0.42</v>
      </c>
      <c r="O144" s="1">
        <v>1.385</v>
      </c>
      <c r="P144" s="1">
        <v>1.5149999999999999</v>
      </c>
      <c r="Q144" s="1">
        <v>1.48</v>
      </c>
      <c r="R144" s="1">
        <v>0.8675801969275253</v>
      </c>
      <c r="S144" s="1">
        <v>0.79760917627943573</v>
      </c>
      <c r="T144" s="1">
        <v>0.76465113484823355</v>
      </c>
      <c r="U144" s="2">
        <v>4.5</v>
      </c>
      <c r="V144" s="2">
        <v>6.2</v>
      </c>
      <c r="W144" s="2">
        <v>5.6</v>
      </c>
      <c r="X144" s="1">
        <v>0.20499999999999999</v>
      </c>
      <c r="Y144" s="1">
        <v>0.215</v>
      </c>
      <c r="Z144" s="1">
        <v>0.21</v>
      </c>
      <c r="AA144" s="2">
        <v>28.3</v>
      </c>
      <c r="AB144" s="2">
        <v>23</v>
      </c>
      <c r="AC144" s="2">
        <v>1305.8</v>
      </c>
      <c r="AD144" s="2">
        <v>28.1</v>
      </c>
      <c r="AE144" s="4" t="s">
        <v>866</v>
      </c>
      <c r="AF144" s="4">
        <v>1.19</v>
      </c>
      <c r="AH144" s="21" t="s">
        <v>923</v>
      </c>
      <c r="AI144" s="21" t="s">
        <v>924</v>
      </c>
      <c r="AJ144" s="22" t="s">
        <v>1378</v>
      </c>
      <c r="AK144" s="24" t="s">
        <v>1032</v>
      </c>
      <c r="AL144" s="20" t="s">
        <v>1098</v>
      </c>
    </row>
    <row r="145" spans="1:38" x14ac:dyDescent="0.25">
      <c r="A145" s="14" t="s">
        <v>407</v>
      </c>
      <c r="B145" s="14" t="s">
        <v>408</v>
      </c>
      <c r="C145" s="14" t="s">
        <v>409</v>
      </c>
      <c r="D145" t="s">
        <v>1571</v>
      </c>
      <c r="E145" t="s">
        <v>1587</v>
      </c>
      <c r="F145" s="1">
        <v>2.6840000000000002</v>
      </c>
      <c r="G145" s="1">
        <v>1.135</v>
      </c>
      <c r="H145" s="1">
        <v>2.7290000000000001</v>
      </c>
      <c r="I145" s="1">
        <v>1.6014999999999999</v>
      </c>
      <c r="J145" s="1">
        <v>2.6850000000000001</v>
      </c>
      <c r="K145" s="1">
        <v>1.859</v>
      </c>
      <c r="L145" s="1">
        <v>0.56600000000000006</v>
      </c>
      <c r="M145" s="1">
        <v>0.57000000000000006</v>
      </c>
      <c r="N145" s="1">
        <v>0.6140000000000001</v>
      </c>
      <c r="O145" s="1">
        <v>1.9095</v>
      </c>
      <c r="P145" s="1">
        <v>2.1652499999999999</v>
      </c>
      <c r="Q145" s="1">
        <v>2.2720000000000002</v>
      </c>
      <c r="R145" s="1">
        <v>0.90618741521560131</v>
      </c>
      <c r="S145" s="1">
        <v>0.80969929487767445</v>
      </c>
      <c r="T145" s="1">
        <v>0.72154744796735504</v>
      </c>
      <c r="U145" s="2">
        <v>4.4279999999999999</v>
      </c>
      <c r="V145" s="2">
        <v>4.8209999999999997</v>
      </c>
      <c r="W145" s="2">
        <v>6.6390000000000002</v>
      </c>
      <c r="X145" s="1">
        <v>0.28300000000000003</v>
      </c>
      <c r="Y145" s="1">
        <v>0.28500000000000003</v>
      </c>
      <c r="Z145" s="1">
        <v>0.30700000000000005</v>
      </c>
      <c r="AA145" s="2">
        <v>63.7</v>
      </c>
      <c r="AB145" s="2">
        <v>44</v>
      </c>
      <c r="AC145" s="2">
        <v>1088.3</v>
      </c>
      <c r="AD145" s="2">
        <v>29.5</v>
      </c>
      <c r="AE145" s="4" t="s">
        <v>866</v>
      </c>
      <c r="AF145" s="4">
        <v>1.19</v>
      </c>
      <c r="AH145" s="21" t="s">
        <v>923</v>
      </c>
      <c r="AI145" s="21" t="s">
        <v>923</v>
      </c>
      <c r="AJ145" s="22" t="s">
        <v>916</v>
      </c>
      <c r="AK145" s="19" t="s">
        <v>1033</v>
      </c>
      <c r="AL145" s="20" t="s">
        <v>1098</v>
      </c>
    </row>
    <row r="146" spans="1:38" x14ac:dyDescent="0.25">
      <c r="A146" s="14" t="s">
        <v>407</v>
      </c>
      <c r="B146" s="14" t="s">
        <v>410</v>
      </c>
      <c r="C146" s="14" t="s">
        <v>411</v>
      </c>
      <c r="D146" t="s">
        <v>1571</v>
      </c>
      <c r="E146" t="s">
        <v>1587</v>
      </c>
      <c r="F146" s="1">
        <v>2.1995</v>
      </c>
      <c r="G146" s="1">
        <v>1.0329999999999999</v>
      </c>
      <c r="H146" s="1">
        <v>2.3904999999999998</v>
      </c>
      <c r="I146" s="1">
        <v>1.2015</v>
      </c>
      <c r="J146" s="1">
        <v>2.2465000000000002</v>
      </c>
      <c r="K146" s="1">
        <v>1.702</v>
      </c>
      <c r="L146" s="1">
        <v>0.56999999999999995</v>
      </c>
      <c r="M146" s="1">
        <v>0.61099999999999999</v>
      </c>
      <c r="N146" s="1">
        <v>0.621</v>
      </c>
      <c r="O146" s="1">
        <v>1.61625</v>
      </c>
      <c r="P146" s="1">
        <v>1.7959999999999998</v>
      </c>
      <c r="Q146" s="1">
        <v>1.9742500000000001</v>
      </c>
      <c r="R146" s="1">
        <v>0.88285152600604655</v>
      </c>
      <c r="S146" s="1">
        <v>0.86451064106551034</v>
      </c>
      <c r="T146" s="1">
        <v>0.65269245188540725</v>
      </c>
      <c r="U146" s="2">
        <v>5.9379999999999997</v>
      </c>
      <c r="V146" s="2">
        <v>6.6820000000000004</v>
      </c>
      <c r="W146" s="2">
        <v>8.4030000000000005</v>
      </c>
      <c r="X146" s="1">
        <v>0.28499999999999998</v>
      </c>
      <c r="Y146" s="1">
        <v>0.30549999999999999</v>
      </c>
      <c r="Z146" s="1">
        <v>0.3105</v>
      </c>
      <c r="AA146" s="2">
        <v>56.1</v>
      </c>
      <c r="AB146" s="2">
        <v>36.6</v>
      </c>
      <c r="AC146" s="2">
        <v>551.29999999999995</v>
      </c>
      <c r="AD146" s="2">
        <v>28.7</v>
      </c>
      <c r="AE146" s="4" t="s">
        <v>866</v>
      </c>
      <c r="AF146" s="4">
        <v>1.19</v>
      </c>
      <c r="AH146" s="21" t="s">
        <v>923</v>
      </c>
      <c r="AI146" s="21" t="s">
        <v>924</v>
      </c>
      <c r="AJ146" s="22" t="s">
        <v>916</v>
      </c>
      <c r="AK146" s="24" t="s">
        <v>1015</v>
      </c>
      <c r="AL146" s="20" t="s">
        <v>1098</v>
      </c>
    </row>
    <row r="147" spans="1:38" x14ac:dyDescent="0.25">
      <c r="A147" s="14" t="s">
        <v>412</v>
      </c>
      <c r="B147" s="14" t="s">
        <v>413</v>
      </c>
      <c r="C147" s="14" t="s">
        <v>414</v>
      </c>
      <c r="D147" t="s">
        <v>1571</v>
      </c>
      <c r="E147" t="s">
        <v>1587</v>
      </c>
      <c r="F147" s="1">
        <v>2.5</v>
      </c>
      <c r="G147" s="1">
        <v>0.91</v>
      </c>
      <c r="H147" s="1">
        <v>1.99</v>
      </c>
      <c r="I147" s="1">
        <v>1.24</v>
      </c>
      <c r="J147" s="1">
        <v>2.31</v>
      </c>
      <c r="K147" s="1">
        <v>1.54</v>
      </c>
      <c r="L147" s="1">
        <v>0.43</v>
      </c>
      <c r="M147" s="1">
        <v>0.36</v>
      </c>
      <c r="N147" s="1">
        <v>0.44</v>
      </c>
      <c r="O147" s="1">
        <v>1.7050000000000001</v>
      </c>
      <c r="P147" s="1">
        <v>1.615</v>
      </c>
      <c r="Q147" s="1">
        <v>1.925</v>
      </c>
      <c r="R147" s="1">
        <v>0.93139894781989097</v>
      </c>
      <c r="S147" s="1">
        <v>0.78212976966197889</v>
      </c>
      <c r="T147" s="1">
        <v>0.7453559924999299</v>
      </c>
      <c r="U147" s="2">
        <v>5.4</v>
      </c>
      <c r="V147" s="2">
        <v>5.3</v>
      </c>
      <c r="W147" s="2">
        <v>5.7</v>
      </c>
      <c r="X147" s="1">
        <v>0.215</v>
      </c>
      <c r="Y147" s="1">
        <v>0.18</v>
      </c>
      <c r="Z147" s="1">
        <v>0.22</v>
      </c>
      <c r="AA147" s="2">
        <v>41.9</v>
      </c>
      <c r="AB147" s="2">
        <v>28.6</v>
      </c>
      <c r="AC147" s="2">
        <v>616</v>
      </c>
      <c r="AD147" s="2">
        <v>23</v>
      </c>
      <c r="AE147" s="4" t="s">
        <v>866</v>
      </c>
      <c r="AF147" s="4">
        <v>1.19</v>
      </c>
      <c r="AH147" s="21" t="s">
        <v>923</v>
      </c>
      <c r="AI147" s="21" t="s">
        <v>924</v>
      </c>
      <c r="AJ147" s="22" t="s">
        <v>1378</v>
      </c>
      <c r="AK147" s="24" t="s">
        <v>1034</v>
      </c>
      <c r="AL147" s="20" t="s">
        <v>1098</v>
      </c>
    </row>
    <row r="148" spans="1:38" x14ac:dyDescent="0.25">
      <c r="A148" s="14" t="s">
        <v>415</v>
      </c>
      <c r="B148" s="14" t="s">
        <v>416</v>
      </c>
      <c r="C148" s="14" t="s">
        <v>417</v>
      </c>
      <c r="D148" t="s">
        <v>1571</v>
      </c>
      <c r="E148" t="s">
        <v>1587</v>
      </c>
      <c r="F148" s="1">
        <v>1.87</v>
      </c>
      <c r="G148" s="1">
        <v>0.81</v>
      </c>
      <c r="H148" s="1">
        <v>2.02</v>
      </c>
      <c r="I148" s="1">
        <v>0.77</v>
      </c>
      <c r="J148" s="1">
        <v>2</v>
      </c>
      <c r="K148" s="1">
        <v>1.1200000000000001</v>
      </c>
      <c r="L148" s="1">
        <v>0.36</v>
      </c>
      <c r="M148" s="1">
        <v>0.39</v>
      </c>
      <c r="N148" s="1">
        <v>0.39</v>
      </c>
      <c r="O148" s="1">
        <v>1.34</v>
      </c>
      <c r="P148" s="1">
        <v>1.395</v>
      </c>
      <c r="Q148" s="1">
        <v>1.56</v>
      </c>
      <c r="R148" s="1">
        <v>0.90131940869199445</v>
      </c>
      <c r="S148" s="1">
        <v>0.92449749490015343</v>
      </c>
      <c r="T148" s="1">
        <v>0.82849260708831907</v>
      </c>
      <c r="U148" s="2">
        <v>4.5999999999999996</v>
      </c>
      <c r="V148" s="2">
        <v>5.0999999999999996</v>
      </c>
      <c r="W148" s="2">
        <v>4.5</v>
      </c>
      <c r="X148" s="1">
        <v>0.18</v>
      </c>
      <c r="Y148" s="1">
        <v>0.19500000000000001</v>
      </c>
      <c r="Z148" s="1">
        <v>0.19500000000000001</v>
      </c>
      <c r="AA148" s="2">
        <v>30.7</v>
      </c>
      <c r="AB148" s="2">
        <v>20.3</v>
      </c>
      <c r="AC148" s="2">
        <v>32.9</v>
      </c>
      <c r="AD148" s="2">
        <v>24.45</v>
      </c>
      <c r="AE148" s="4" t="s">
        <v>866</v>
      </c>
      <c r="AF148" s="4">
        <v>1.19</v>
      </c>
      <c r="AH148" s="21" t="s">
        <v>923</v>
      </c>
      <c r="AI148" s="21" t="s">
        <v>923</v>
      </c>
      <c r="AJ148" s="41" t="s">
        <v>944</v>
      </c>
      <c r="AK148" s="19" t="s">
        <v>1037</v>
      </c>
      <c r="AL148" s="20" t="s">
        <v>1098</v>
      </c>
    </row>
    <row r="149" spans="1:38" x14ac:dyDescent="0.25">
      <c r="A149" s="14" t="s">
        <v>418</v>
      </c>
      <c r="B149" s="14" t="s">
        <v>419</v>
      </c>
      <c r="C149" s="14" t="s">
        <v>420</v>
      </c>
      <c r="D149" t="s">
        <v>1571</v>
      </c>
      <c r="E149" t="s">
        <v>1587</v>
      </c>
      <c r="F149" s="1">
        <v>1.74</v>
      </c>
      <c r="G149" s="1">
        <v>0.62</v>
      </c>
      <c r="H149" s="1">
        <v>1.41</v>
      </c>
      <c r="I149" s="1">
        <v>0.62</v>
      </c>
      <c r="J149" s="1">
        <v>1.48</v>
      </c>
      <c r="K149" s="1">
        <v>0.79</v>
      </c>
      <c r="L149" s="1">
        <v>0.32</v>
      </c>
      <c r="M149" s="1">
        <v>0.32</v>
      </c>
      <c r="N149" s="1">
        <v>0.33</v>
      </c>
      <c r="O149" s="1">
        <v>1.18</v>
      </c>
      <c r="P149" s="1">
        <v>1.0149999999999999</v>
      </c>
      <c r="Q149" s="1">
        <v>1.135</v>
      </c>
      <c r="R149" s="1">
        <v>0.93436328427133675</v>
      </c>
      <c r="S149" s="1">
        <v>0.89813671838491371</v>
      </c>
      <c r="T149" s="1">
        <v>0.84562099794734691</v>
      </c>
      <c r="U149" s="2">
        <v>4.7</v>
      </c>
      <c r="V149" s="2">
        <v>3.7</v>
      </c>
      <c r="W149" s="2">
        <v>3.5</v>
      </c>
      <c r="X149" s="1">
        <v>0.16</v>
      </c>
      <c r="Y149" s="1">
        <v>0.16</v>
      </c>
      <c r="Z149" s="1">
        <v>0.16500000000000001</v>
      </c>
      <c r="AA149" s="2">
        <v>20.100000000000001</v>
      </c>
      <c r="AB149" s="2">
        <v>9.8000000000000007</v>
      </c>
      <c r="AC149" s="2">
        <v>45.7</v>
      </c>
      <c r="AD149" s="2">
        <v>23.8</v>
      </c>
      <c r="AE149" s="4" t="s">
        <v>866</v>
      </c>
      <c r="AF149" s="4">
        <v>1.19</v>
      </c>
      <c r="AH149" s="21" t="s">
        <v>923</v>
      </c>
      <c r="AI149" s="21" t="s">
        <v>923</v>
      </c>
      <c r="AJ149" s="22" t="s">
        <v>939</v>
      </c>
      <c r="AK149" s="24" t="s">
        <v>1035</v>
      </c>
      <c r="AL149" s="20" t="s">
        <v>1098</v>
      </c>
    </row>
    <row r="150" spans="1:38" x14ac:dyDescent="0.25">
      <c r="A150" s="14" t="s">
        <v>421</v>
      </c>
      <c r="B150" s="14" t="s">
        <v>422</v>
      </c>
      <c r="C150" s="14" t="s">
        <v>423</v>
      </c>
      <c r="D150" t="s">
        <v>1571</v>
      </c>
      <c r="E150" t="s">
        <v>1587</v>
      </c>
      <c r="F150" s="1">
        <v>1.9</v>
      </c>
      <c r="G150" s="1">
        <v>0.7</v>
      </c>
      <c r="H150" s="1">
        <v>1.78</v>
      </c>
      <c r="I150" s="1">
        <v>0.86</v>
      </c>
      <c r="J150" s="1">
        <v>1.91</v>
      </c>
      <c r="K150" s="1">
        <v>1.08</v>
      </c>
      <c r="L150" s="1">
        <v>0.39</v>
      </c>
      <c r="M150" s="1">
        <v>0.33</v>
      </c>
      <c r="N150" s="1">
        <v>0.44</v>
      </c>
      <c r="O150" s="1">
        <v>1.2999999999999998</v>
      </c>
      <c r="P150" s="1">
        <v>1.32</v>
      </c>
      <c r="Q150" s="1">
        <v>1.4950000000000001</v>
      </c>
      <c r="R150" s="1">
        <v>0.92965903856082599</v>
      </c>
      <c r="S150" s="1">
        <v>0.87553976354059138</v>
      </c>
      <c r="T150" s="1">
        <v>0.82478598579907325</v>
      </c>
      <c r="U150" s="2">
        <v>4.0999999999999996</v>
      </c>
      <c r="V150" s="2">
        <v>5.0999999999999996</v>
      </c>
      <c r="W150" s="2">
        <v>4.7</v>
      </c>
      <c r="X150" s="1">
        <v>0.19500000000000001</v>
      </c>
      <c r="Y150" s="1">
        <v>0.16500000000000001</v>
      </c>
      <c r="Z150" s="1">
        <v>0.22</v>
      </c>
      <c r="AA150" s="2">
        <v>25.2</v>
      </c>
      <c r="AB150" s="2">
        <v>17.5</v>
      </c>
      <c r="AC150" s="2">
        <v>40</v>
      </c>
      <c r="AD150" s="2">
        <v>26.4</v>
      </c>
      <c r="AE150" s="4" t="s">
        <v>866</v>
      </c>
      <c r="AF150" s="4">
        <v>1.19</v>
      </c>
      <c r="AH150" s="21" t="s">
        <v>1150</v>
      </c>
      <c r="AI150" s="21" t="s">
        <v>924</v>
      </c>
      <c r="AJ150" s="22" t="s">
        <v>945</v>
      </c>
      <c r="AK150" s="24" t="s">
        <v>1036</v>
      </c>
      <c r="AL150" s="20" t="s">
        <v>1098</v>
      </c>
    </row>
    <row r="151" spans="1:38" x14ac:dyDescent="0.25">
      <c r="A151" s="15" t="s">
        <v>40</v>
      </c>
      <c r="B151" s="15" t="s">
        <v>40</v>
      </c>
      <c r="C151" s="14" t="s">
        <v>1127</v>
      </c>
      <c r="D151" t="s">
        <v>1571</v>
      </c>
      <c r="E151" t="s">
        <v>1587</v>
      </c>
      <c r="F151" s="1">
        <v>1.925</v>
      </c>
      <c r="G151" s="1">
        <v>0.63149999999999995</v>
      </c>
      <c r="H151" s="1">
        <v>1.774</v>
      </c>
      <c r="I151" s="1">
        <v>0.6895</v>
      </c>
      <c r="J151" s="1">
        <v>1.9265000000000001</v>
      </c>
      <c r="K151" s="1">
        <v>0.96699999999999997</v>
      </c>
      <c r="L151" s="1">
        <v>0.41620000000000001</v>
      </c>
      <c r="M151" s="1">
        <v>0.309</v>
      </c>
      <c r="N151" s="1">
        <v>0.44320000000000004</v>
      </c>
      <c r="O151" s="1">
        <f>(F151+G151)/2</f>
        <v>1.2782499999999999</v>
      </c>
      <c r="P151" s="1">
        <f>(H151+I151)/2</f>
        <v>1.2317499999999999</v>
      </c>
      <c r="Q151" s="1">
        <f>(J151+K151)/2</f>
        <v>1.44675</v>
      </c>
      <c r="R151" s="1">
        <f>(1-((MIN(F151:G151)/MAX(F151:G151))^2))^0.5</f>
        <v>0.94465968442573112</v>
      </c>
      <c r="S151" s="1">
        <f>(1-((MIN(H151:I151)/MAX(H151:I151))^2))^0.5</f>
        <v>0.92137716774789413</v>
      </c>
      <c r="T151" s="1">
        <f>(1-((MIN(J151:K151)/MAX(J151:K151))^2))^0.5</f>
        <v>0.86489865061372373</v>
      </c>
      <c r="U151" s="2">
        <v>4.5629999999999997</v>
      </c>
      <c r="V151" s="2">
        <v>4.7910000000000004</v>
      </c>
      <c r="W151" s="2">
        <v>4.0549999999999997</v>
      </c>
      <c r="X151" s="1">
        <f>L151/2</f>
        <v>0.20810000000000001</v>
      </c>
      <c r="Y151" s="1">
        <f t="shared" ref="Y151:Z151" si="2">M151/2</f>
        <v>0.1545</v>
      </c>
      <c r="Z151" s="1">
        <f t="shared" si="2"/>
        <v>0.22160000000000002</v>
      </c>
      <c r="AA151" s="2">
        <v>23</v>
      </c>
      <c r="AB151" s="2" t="s">
        <v>40</v>
      </c>
      <c r="AC151" s="2" t="s">
        <v>40</v>
      </c>
      <c r="AD151" s="2">
        <v>26.4</v>
      </c>
      <c r="AE151" s="4" t="s">
        <v>866</v>
      </c>
      <c r="AF151" s="4">
        <v>1.19</v>
      </c>
      <c r="AH151" s="21" t="s">
        <v>923</v>
      </c>
      <c r="AI151" s="23" t="s">
        <v>40</v>
      </c>
      <c r="AJ151" s="42" t="s">
        <v>40</v>
      </c>
      <c r="AK151" s="24" t="s">
        <v>1036</v>
      </c>
      <c r="AL151" s="20" t="s">
        <v>1098</v>
      </c>
    </row>
    <row r="152" spans="1:38" x14ac:dyDescent="0.25">
      <c r="A152" s="15" t="s">
        <v>40</v>
      </c>
      <c r="B152" s="15" t="s">
        <v>40</v>
      </c>
      <c r="C152" s="14" t="s">
        <v>1128</v>
      </c>
      <c r="D152" t="s">
        <v>1571</v>
      </c>
      <c r="E152" t="s">
        <v>1587</v>
      </c>
      <c r="F152" s="1">
        <v>1.873</v>
      </c>
      <c r="G152" s="1">
        <v>0.77400000000000002</v>
      </c>
      <c r="H152" s="1">
        <v>1.784</v>
      </c>
      <c r="I152" s="1">
        <v>1.0398333333333334</v>
      </c>
      <c r="J152" s="1">
        <v>1.8850000000000002</v>
      </c>
      <c r="K152" s="1">
        <v>1.1870000000000001</v>
      </c>
      <c r="L152" s="1">
        <v>0.36199999999999999</v>
      </c>
      <c r="M152" s="1">
        <v>0.34800000000000003</v>
      </c>
      <c r="N152" s="1">
        <v>0.44400000000000006</v>
      </c>
      <c r="O152" s="1">
        <f>(F152+G152)/2</f>
        <v>1.3235000000000001</v>
      </c>
      <c r="P152" s="1">
        <f>(H152+I152)/2</f>
        <v>1.4119166666666667</v>
      </c>
      <c r="Q152" s="1">
        <f>(J152+K152)/2</f>
        <v>1.536</v>
      </c>
      <c r="R152" s="1">
        <f>(1-((MIN(F152:G152)/MAX(F152:G152))^2))^0.5</f>
        <v>0.91062179269692411</v>
      </c>
      <c r="S152" s="1">
        <f>(1-((MIN(H152:I152)/MAX(H152:I152))^2))^0.5</f>
        <v>0.81256813353654311</v>
      </c>
      <c r="T152" s="1">
        <f>(1-((MIN(J152:K152)/MAX(J152:K152))^2))^0.5</f>
        <v>0.77683174119198217</v>
      </c>
      <c r="U152" s="2">
        <v>3.6880000000000002</v>
      </c>
      <c r="V152" s="2">
        <v>5.3460000000000001</v>
      </c>
      <c r="W152" s="2">
        <v>5.3849999999999998</v>
      </c>
      <c r="X152" s="1">
        <f>L152/2</f>
        <v>0.18099999999999999</v>
      </c>
      <c r="Y152" s="1">
        <f t="shared" ref="Y152" si="3">M152/2</f>
        <v>0.17400000000000002</v>
      </c>
      <c r="Z152" s="1">
        <f t="shared" ref="Z152" si="4">N152/2</f>
        <v>0.22200000000000003</v>
      </c>
      <c r="AA152" s="2">
        <v>27.3</v>
      </c>
      <c r="AB152" s="2" t="s">
        <v>40</v>
      </c>
      <c r="AC152" s="2">
        <v>40</v>
      </c>
      <c r="AD152" s="2">
        <v>26.4</v>
      </c>
      <c r="AE152" s="4" t="s">
        <v>866</v>
      </c>
      <c r="AF152" s="4">
        <v>1.19</v>
      </c>
      <c r="AH152" s="21" t="s">
        <v>923</v>
      </c>
      <c r="AI152" s="23" t="s">
        <v>40</v>
      </c>
      <c r="AJ152" s="22" t="s">
        <v>1149</v>
      </c>
      <c r="AK152" s="24" t="s">
        <v>1036</v>
      </c>
      <c r="AL152" s="20" t="s">
        <v>1098</v>
      </c>
    </row>
    <row r="153" spans="1:38" x14ac:dyDescent="0.25">
      <c r="A153" s="14" t="s">
        <v>424</v>
      </c>
      <c r="B153" s="14" t="s">
        <v>82</v>
      </c>
      <c r="C153" s="14" t="s">
        <v>425</v>
      </c>
      <c r="D153" t="s">
        <v>1571</v>
      </c>
      <c r="E153" t="s">
        <v>1587</v>
      </c>
      <c r="F153" s="1">
        <v>4.4954999999999998</v>
      </c>
      <c r="G153" s="1">
        <v>1.9870000000000001</v>
      </c>
      <c r="H153" s="1">
        <v>3.7774999999999999</v>
      </c>
      <c r="I153" s="1">
        <v>2.1905000000000001</v>
      </c>
      <c r="J153" s="1">
        <v>3.7625000000000002</v>
      </c>
      <c r="K153" s="1">
        <v>2.6604999999999999</v>
      </c>
      <c r="L153" s="1">
        <v>0.67</v>
      </c>
      <c r="M153" s="1">
        <v>0.82099999999999995</v>
      </c>
      <c r="N153" s="1">
        <v>0.78200000000000003</v>
      </c>
      <c r="O153" s="1">
        <v>3.24125</v>
      </c>
      <c r="P153" s="1">
        <v>2.984</v>
      </c>
      <c r="Q153" s="1">
        <v>3.2115</v>
      </c>
      <c r="R153" s="1">
        <v>0.89701625573116206</v>
      </c>
      <c r="S153" s="1">
        <v>0.81470127804015957</v>
      </c>
      <c r="T153" s="1">
        <v>0.70710392781008602</v>
      </c>
      <c r="U153" s="2">
        <v>13.585000000000001</v>
      </c>
      <c r="V153" s="2">
        <v>11.638</v>
      </c>
      <c r="W153" s="2">
        <v>13.265000000000001</v>
      </c>
      <c r="X153" s="1">
        <v>0.33500000000000002</v>
      </c>
      <c r="Y153" s="1">
        <v>0.41049999999999998</v>
      </c>
      <c r="Z153" s="1">
        <v>0.39100000000000001</v>
      </c>
      <c r="AA153" s="2">
        <v>99.4</v>
      </c>
      <c r="AB153" s="2">
        <v>55.3</v>
      </c>
      <c r="AC153" s="2">
        <v>2890</v>
      </c>
      <c r="AD153" s="2">
        <v>28.8</v>
      </c>
      <c r="AE153" s="4" t="s">
        <v>866</v>
      </c>
      <c r="AF153" s="4">
        <v>1.19</v>
      </c>
      <c r="AH153" s="21" t="s">
        <v>923</v>
      </c>
      <c r="AI153" s="21" t="s">
        <v>924</v>
      </c>
      <c r="AJ153" s="22" t="s">
        <v>915</v>
      </c>
      <c r="AK153" s="24" t="s">
        <v>1015</v>
      </c>
      <c r="AL153" s="20" t="s">
        <v>1098</v>
      </c>
    </row>
    <row r="154" spans="1:38" x14ac:dyDescent="0.25">
      <c r="A154" s="14" t="s">
        <v>424</v>
      </c>
      <c r="B154" s="14" t="s">
        <v>426</v>
      </c>
      <c r="C154" s="14" t="s">
        <v>427</v>
      </c>
      <c r="D154" t="s">
        <v>1571</v>
      </c>
      <c r="E154" t="s">
        <v>1587</v>
      </c>
      <c r="F154" s="1">
        <v>2.7444999999999999</v>
      </c>
      <c r="G154" s="1">
        <v>1.2555000000000001</v>
      </c>
      <c r="H154" s="1">
        <v>2.56</v>
      </c>
      <c r="I154" s="1">
        <v>1.2655000000000001</v>
      </c>
      <c r="J154" s="1">
        <v>2.1964999999999999</v>
      </c>
      <c r="K154" s="1">
        <v>1.6930000000000001</v>
      </c>
      <c r="L154" s="1">
        <v>0.60299999999999998</v>
      </c>
      <c r="M154" s="1">
        <v>0.55600000000000005</v>
      </c>
      <c r="N154" s="1">
        <v>0.51800000000000002</v>
      </c>
      <c r="O154" s="1">
        <v>2</v>
      </c>
      <c r="P154" s="1">
        <v>1.91275</v>
      </c>
      <c r="Q154" s="1">
        <v>1.94475</v>
      </c>
      <c r="R154" s="1">
        <v>0.88923000682275688</v>
      </c>
      <c r="S154" s="1">
        <v>0.8692709479189995</v>
      </c>
      <c r="T154" s="1">
        <v>0.63711146111579675</v>
      </c>
      <c r="U154" s="2">
        <v>7.5060000000000002</v>
      </c>
      <c r="V154" s="2">
        <v>7.7089999999999996</v>
      </c>
      <c r="W154" s="2">
        <v>7.9459999999999997</v>
      </c>
      <c r="X154" s="1">
        <v>0.30149999999999999</v>
      </c>
      <c r="Y154" s="1">
        <v>0.27800000000000002</v>
      </c>
      <c r="Z154" s="1">
        <v>0.25900000000000001</v>
      </c>
      <c r="AA154" s="2">
        <v>49.1</v>
      </c>
      <c r="AB154" s="2">
        <v>31.1</v>
      </c>
      <c r="AC154" s="2">
        <v>709</v>
      </c>
      <c r="AD154" s="2">
        <v>36.5</v>
      </c>
      <c r="AE154" s="4" t="s">
        <v>866</v>
      </c>
      <c r="AF154" s="4">
        <v>1.19</v>
      </c>
      <c r="AH154" s="21" t="s">
        <v>923</v>
      </c>
      <c r="AI154" s="21" t="s">
        <v>924</v>
      </c>
      <c r="AJ154" s="22" t="s">
        <v>915</v>
      </c>
      <c r="AK154" s="19" t="s">
        <v>1038</v>
      </c>
      <c r="AL154" s="20" t="s">
        <v>1098</v>
      </c>
    </row>
    <row r="155" spans="1:38" x14ac:dyDescent="0.25">
      <c r="A155" s="14" t="s">
        <v>424</v>
      </c>
      <c r="B155" s="14" t="s">
        <v>428</v>
      </c>
      <c r="C155" s="14" t="s">
        <v>429</v>
      </c>
      <c r="D155" t="s">
        <v>1571</v>
      </c>
      <c r="E155" t="s">
        <v>1587</v>
      </c>
      <c r="F155" s="1">
        <v>5.29</v>
      </c>
      <c r="G155" s="1">
        <v>2.8</v>
      </c>
      <c r="H155" s="1">
        <v>4.83</v>
      </c>
      <c r="I155" s="1">
        <v>3.12</v>
      </c>
      <c r="J155" s="1">
        <v>4.1900000000000004</v>
      </c>
      <c r="K155" s="1">
        <v>3.2</v>
      </c>
      <c r="L155" s="1">
        <v>0.95</v>
      </c>
      <c r="M155" s="1">
        <v>0.89</v>
      </c>
      <c r="N155" s="1">
        <v>0.95</v>
      </c>
      <c r="O155" s="1">
        <v>4.0449999999999999</v>
      </c>
      <c r="P155" s="1">
        <v>3.9750000000000001</v>
      </c>
      <c r="Q155" s="1">
        <v>3.6950000000000003</v>
      </c>
      <c r="R155" s="1">
        <v>0.84843438736263743</v>
      </c>
      <c r="S155" s="1">
        <v>0.76336894597533089</v>
      </c>
      <c r="T155" s="1">
        <v>0.64554391764407404</v>
      </c>
      <c r="U155" s="2">
        <v>14</v>
      </c>
      <c r="V155" s="2">
        <v>13.2</v>
      </c>
      <c r="W155" s="2">
        <v>13.5</v>
      </c>
      <c r="X155" s="1">
        <v>0.47499999999999998</v>
      </c>
      <c r="Y155" s="1">
        <v>0.44500000000000001</v>
      </c>
      <c r="Z155" s="1">
        <v>0.47499999999999998</v>
      </c>
      <c r="AA155" s="2">
        <v>140.5</v>
      </c>
      <c r="AB155" s="2">
        <v>75.2</v>
      </c>
      <c r="AC155" s="2">
        <v>4345</v>
      </c>
      <c r="AD155" s="2">
        <v>35.5</v>
      </c>
      <c r="AE155" s="4" t="s">
        <v>866</v>
      </c>
      <c r="AF155" s="4">
        <v>1.19</v>
      </c>
      <c r="AH155" s="21" t="s">
        <v>923</v>
      </c>
      <c r="AI155" s="21" t="s">
        <v>924</v>
      </c>
      <c r="AJ155" s="22" t="s">
        <v>925</v>
      </c>
      <c r="AK155" s="24" t="s">
        <v>1039</v>
      </c>
      <c r="AL155" s="20" t="s">
        <v>1098</v>
      </c>
    </row>
    <row r="156" spans="1:38" x14ac:dyDescent="0.25">
      <c r="A156" s="14" t="s">
        <v>424</v>
      </c>
      <c r="B156" s="14" t="s">
        <v>430</v>
      </c>
      <c r="C156" s="14" t="s">
        <v>1201</v>
      </c>
      <c r="D156" t="s">
        <v>1571</v>
      </c>
      <c r="E156" t="s">
        <v>1587</v>
      </c>
      <c r="F156" s="1">
        <v>3.45</v>
      </c>
      <c r="G156" s="1">
        <v>1.46</v>
      </c>
      <c r="H156" s="1">
        <v>2.93</v>
      </c>
      <c r="I156" s="1">
        <v>1.4</v>
      </c>
      <c r="J156" s="1">
        <v>2.42</v>
      </c>
      <c r="K156" s="1">
        <v>1.67</v>
      </c>
      <c r="L156" s="1">
        <v>0.45</v>
      </c>
      <c r="M156" s="1">
        <v>0.5</v>
      </c>
      <c r="N156" s="1">
        <v>0.45</v>
      </c>
      <c r="O156" s="1">
        <v>2.4550000000000001</v>
      </c>
      <c r="P156" s="1">
        <v>2.165</v>
      </c>
      <c r="Q156" s="1">
        <v>2.0449999999999999</v>
      </c>
      <c r="R156" s="1">
        <v>0.90604170610348167</v>
      </c>
      <c r="S156" s="1">
        <v>0.87846010561644983</v>
      </c>
      <c r="T156" s="1">
        <v>0.72373057388995843</v>
      </c>
      <c r="U156" s="2">
        <v>9.8000000000000007</v>
      </c>
      <c r="V156" s="2">
        <v>8.1999999999999993</v>
      </c>
      <c r="W156" s="2">
        <v>8.8000000000000007</v>
      </c>
      <c r="X156" s="1">
        <v>0.22500000000000001</v>
      </c>
      <c r="Y156" s="1">
        <v>0.25</v>
      </c>
      <c r="Z156" s="1">
        <v>0.22500000000000001</v>
      </c>
      <c r="AA156" s="2">
        <v>52</v>
      </c>
      <c r="AB156" s="2">
        <v>30.7</v>
      </c>
      <c r="AC156" s="2">
        <v>1300</v>
      </c>
      <c r="AD156" s="2">
        <v>32.200000000000003</v>
      </c>
      <c r="AE156" s="4" t="s">
        <v>866</v>
      </c>
      <c r="AF156" s="4">
        <v>1.19</v>
      </c>
      <c r="AH156" s="21" t="s">
        <v>925</v>
      </c>
      <c r="AI156" s="21" t="s">
        <v>924</v>
      </c>
      <c r="AJ156" s="22" t="s">
        <v>915</v>
      </c>
      <c r="AK156" s="24" t="s">
        <v>1040</v>
      </c>
      <c r="AL156" s="20" t="s">
        <v>1098</v>
      </c>
    </row>
    <row r="157" spans="1:38" x14ac:dyDescent="0.25">
      <c r="A157" s="14" t="s">
        <v>424</v>
      </c>
      <c r="B157" s="14" t="s">
        <v>431</v>
      </c>
      <c r="C157" s="14" t="s">
        <v>432</v>
      </c>
      <c r="D157" t="s">
        <v>1571</v>
      </c>
      <c r="E157" t="s">
        <v>1587</v>
      </c>
      <c r="F157" s="1">
        <v>3.59</v>
      </c>
      <c r="G157" s="1">
        <v>1.71</v>
      </c>
      <c r="H157" s="1">
        <v>3.38</v>
      </c>
      <c r="I157" s="1">
        <v>1.87</v>
      </c>
      <c r="J157" s="1">
        <v>2.81</v>
      </c>
      <c r="K157" s="1">
        <v>2.2799999999999998</v>
      </c>
      <c r="L157" s="1">
        <v>0.68</v>
      </c>
      <c r="M157" s="1">
        <v>0.61</v>
      </c>
      <c r="N157" s="1">
        <v>0.63</v>
      </c>
      <c r="O157" s="1">
        <v>2.65</v>
      </c>
      <c r="P157" s="1">
        <v>2.625</v>
      </c>
      <c r="Q157" s="1">
        <v>2.5449999999999999</v>
      </c>
      <c r="R157" s="1">
        <v>0.87927031427528268</v>
      </c>
      <c r="S157" s="1">
        <v>0.83301232102373302</v>
      </c>
      <c r="T157" s="1">
        <v>0.58450806252445298</v>
      </c>
      <c r="U157" s="2">
        <v>10.199999999999999</v>
      </c>
      <c r="V157" s="2">
        <v>9.4</v>
      </c>
      <c r="W157" s="2">
        <v>9.6999999999999993</v>
      </c>
      <c r="X157" s="1">
        <v>0.34</v>
      </c>
      <c r="Y157" s="1">
        <v>0.30499999999999999</v>
      </c>
      <c r="Z157" s="1">
        <v>0.315</v>
      </c>
      <c r="AA157" s="2">
        <v>99.1</v>
      </c>
      <c r="AB157" s="2">
        <v>41.2</v>
      </c>
      <c r="AC157" s="2">
        <v>584.1</v>
      </c>
      <c r="AD157" s="2">
        <v>36</v>
      </c>
      <c r="AE157" s="4" t="s">
        <v>866</v>
      </c>
      <c r="AF157" s="4">
        <v>1.19</v>
      </c>
      <c r="AH157" s="21" t="s">
        <v>923</v>
      </c>
      <c r="AI157" s="21" t="s">
        <v>924</v>
      </c>
      <c r="AJ157" s="22" t="s">
        <v>915</v>
      </c>
      <c r="AK157" s="24" t="s">
        <v>1041</v>
      </c>
      <c r="AL157" s="20" t="s">
        <v>1098</v>
      </c>
    </row>
    <row r="158" spans="1:38" x14ac:dyDescent="0.25">
      <c r="A158" s="14" t="s">
        <v>433</v>
      </c>
      <c r="B158" s="14" t="s">
        <v>434</v>
      </c>
      <c r="C158" s="14" t="s">
        <v>435</v>
      </c>
      <c r="D158" t="s">
        <v>1571</v>
      </c>
      <c r="E158" t="s">
        <v>1588</v>
      </c>
      <c r="F158" s="1">
        <v>2.02</v>
      </c>
      <c r="G158" s="1">
        <v>0.95</v>
      </c>
      <c r="H158" s="1">
        <v>1.71</v>
      </c>
      <c r="I158" s="1">
        <v>1.1100000000000001</v>
      </c>
      <c r="J158" s="1">
        <v>1.39</v>
      </c>
      <c r="K158" s="1">
        <v>1.05</v>
      </c>
      <c r="L158" s="1">
        <v>0.41</v>
      </c>
      <c r="M158" s="1">
        <v>0.44</v>
      </c>
      <c r="N158" s="1">
        <v>0.36</v>
      </c>
      <c r="O158" s="1">
        <v>1.4849999999999999</v>
      </c>
      <c r="P158" s="1">
        <v>1.4100000000000001</v>
      </c>
      <c r="Q158" s="1">
        <v>1.22</v>
      </c>
      <c r="R158" s="1">
        <v>0.88250818911359885</v>
      </c>
      <c r="S158" s="1">
        <v>0.7606836276729404</v>
      </c>
      <c r="T158" s="1">
        <v>0.65526892297759409</v>
      </c>
      <c r="U158" s="2">
        <v>6.1</v>
      </c>
      <c r="V158" s="2">
        <v>5.2</v>
      </c>
      <c r="W158" s="2">
        <v>3.8</v>
      </c>
      <c r="X158" s="1">
        <v>0.20499999999999999</v>
      </c>
      <c r="Y158" s="1">
        <v>0.22</v>
      </c>
      <c r="Z158" s="1">
        <v>0.18</v>
      </c>
      <c r="AA158" s="2">
        <v>23</v>
      </c>
      <c r="AB158" s="2">
        <v>16.399999999999999</v>
      </c>
      <c r="AC158" s="2">
        <v>31.1</v>
      </c>
      <c r="AD158" s="2">
        <v>29.7</v>
      </c>
      <c r="AE158" s="4" t="s">
        <v>866</v>
      </c>
      <c r="AF158" s="4">
        <v>1.19</v>
      </c>
      <c r="AH158" s="21" t="s">
        <v>923</v>
      </c>
      <c r="AI158" s="21" t="s">
        <v>924</v>
      </c>
      <c r="AJ158" s="22" t="s">
        <v>915</v>
      </c>
      <c r="AK158" s="24" t="s">
        <v>1042</v>
      </c>
      <c r="AL158" s="20" t="s">
        <v>1098</v>
      </c>
    </row>
    <row r="159" spans="1:38" x14ac:dyDescent="0.25">
      <c r="A159" s="14" t="s">
        <v>436</v>
      </c>
      <c r="B159" s="14" t="s">
        <v>437</v>
      </c>
      <c r="C159" s="14" t="s">
        <v>438</v>
      </c>
      <c r="D159" t="s">
        <v>1571</v>
      </c>
      <c r="E159" t="s">
        <v>1588</v>
      </c>
      <c r="F159" s="1">
        <v>1.109</v>
      </c>
      <c r="G159" s="1">
        <v>0.66600000000000004</v>
      </c>
      <c r="H159" s="1">
        <v>0.93300000000000005</v>
      </c>
      <c r="I159" s="1">
        <v>0.71399999999999997</v>
      </c>
      <c r="J159" s="1">
        <v>0.95199999999999996</v>
      </c>
      <c r="K159" s="1">
        <v>0.92400000000000004</v>
      </c>
      <c r="L159" s="1">
        <v>0.35899999999999999</v>
      </c>
      <c r="M159" s="1">
        <v>0.41099999999999998</v>
      </c>
      <c r="N159" s="1">
        <v>0.48099999999999998</v>
      </c>
      <c r="O159" s="1">
        <v>0.88749999999999996</v>
      </c>
      <c r="P159" s="1">
        <v>0.82350000000000001</v>
      </c>
      <c r="Q159" s="1">
        <v>0.93799999999999994</v>
      </c>
      <c r="R159" s="1">
        <v>0.79959394303922837</v>
      </c>
      <c r="S159" s="1">
        <v>0.64370549018789236</v>
      </c>
      <c r="T159" s="1">
        <v>0.24074566976095407</v>
      </c>
      <c r="U159" s="2">
        <v>3.6160000000000001</v>
      </c>
      <c r="V159" s="2">
        <v>3.2189999999999999</v>
      </c>
      <c r="W159" s="2">
        <v>3.4569999999999999</v>
      </c>
      <c r="X159" s="1">
        <v>0.17949999999999999</v>
      </c>
      <c r="Y159" s="1">
        <v>0.20549999999999999</v>
      </c>
      <c r="Z159" s="1">
        <v>0.24049999999999999</v>
      </c>
      <c r="AA159" s="2">
        <v>13.1</v>
      </c>
      <c r="AB159" s="2">
        <v>10.4</v>
      </c>
      <c r="AC159" s="2">
        <v>3.4</v>
      </c>
      <c r="AD159" s="2">
        <v>23.9</v>
      </c>
      <c r="AE159" s="4" t="s">
        <v>866</v>
      </c>
      <c r="AF159" s="4">
        <v>1.19</v>
      </c>
      <c r="AH159" s="21" t="s">
        <v>923</v>
      </c>
      <c r="AI159" s="21" t="s">
        <v>924</v>
      </c>
      <c r="AJ159" s="22" t="s">
        <v>954</v>
      </c>
      <c r="AK159" s="24" t="s">
        <v>1043</v>
      </c>
      <c r="AL159" s="20" t="s">
        <v>1098</v>
      </c>
    </row>
    <row r="160" spans="1:38" x14ac:dyDescent="0.25">
      <c r="A160" s="14" t="s">
        <v>439</v>
      </c>
      <c r="B160" s="14" t="s">
        <v>440</v>
      </c>
      <c r="C160" s="14" t="s">
        <v>441</v>
      </c>
      <c r="D160" t="s">
        <v>1571</v>
      </c>
      <c r="E160" t="s">
        <v>1588</v>
      </c>
      <c r="F160" s="1">
        <v>1.8480000000000001</v>
      </c>
      <c r="G160" s="1">
        <v>1.0249999999999999</v>
      </c>
      <c r="H160" s="1">
        <v>1.3955</v>
      </c>
      <c r="I160" s="1">
        <v>0.83750000000000002</v>
      </c>
      <c r="J160" s="1">
        <v>1.2315</v>
      </c>
      <c r="K160" s="1">
        <v>0.97599999999999998</v>
      </c>
      <c r="L160" s="1">
        <v>0.32800000000000001</v>
      </c>
      <c r="M160" s="1">
        <v>0.307</v>
      </c>
      <c r="N160" s="1">
        <v>0.29799999999999999</v>
      </c>
      <c r="O160" s="1">
        <v>1.4365000000000001</v>
      </c>
      <c r="P160" s="1">
        <v>1.1165</v>
      </c>
      <c r="Q160" s="1">
        <v>1.10375</v>
      </c>
      <c r="R160" s="1">
        <v>0.8320813035074357</v>
      </c>
      <c r="S160" s="1">
        <v>0.79989249158328835</v>
      </c>
      <c r="T160" s="1">
        <v>0.60983366062568389</v>
      </c>
      <c r="U160" s="2">
        <v>5.3810000000000002</v>
      </c>
      <c r="V160" s="2">
        <v>4.4649999999999999</v>
      </c>
      <c r="W160" s="2">
        <v>4.4470000000000001</v>
      </c>
      <c r="X160" s="1">
        <v>0.16400000000000001</v>
      </c>
      <c r="Y160" s="1">
        <v>0.1535</v>
      </c>
      <c r="Z160" s="1">
        <v>0.14899999999999999</v>
      </c>
      <c r="AA160" s="2">
        <v>18.3</v>
      </c>
      <c r="AB160" s="2">
        <v>13.2</v>
      </c>
      <c r="AC160" s="2">
        <v>11.6</v>
      </c>
      <c r="AD160" s="2" t="s">
        <v>40</v>
      </c>
      <c r="AE160" s="4" t="s">
        <v>866</v>
      </c>
      <c r="AF160" s="4">
        <v>1.19</v>
      </c>
      <c r="AH160" s="21" t="s">
        <v>923</v>
      </c>
      <c r="AI160" s="21" t="s">
        <v>924</v>
      </c>
      <c r="AJ160" s="22" t="s">
        <v>915</v>
      </c>
      <c r="AK160" s="23" t="s">
        <v>40</v>
      </c>
      <c r="AL160" s="20" t="s">
        <v>1098</v>
      </c>
    </row>
    <row r="161" spans="1:38" x14ac:dyDescent="0.25">
      <c r="A161" s="14" t="s">
        <v>442</v>
      </c>
      <c r="B161" s="14" t="s">
        <v>443</v>
      </c>
      <c r="C161" s="14" t="s">
        <v>444</v>
      </c>
      <c r="D161" t="s">
        <v>1571</v>
      </c>
      <c r="E161" t="s">
        <v>1588</v>
      </c>
      <c r="F161" s="1">
        <v>3.403</v>
      </c>
      <c r="G161" s="1">
        <v>1.552</v>
      </c>
      <c r="H161" s="1">
        <v>2.7250000000000001</v>
      </c>
      <c r="I161" s="1">
        <v>1.48</v>
      </c>
      <c r="J161" s="1">
        <v>2.3650000000000002</v>
      </c>
      <c r="K161" s="1">
        <v>1.99</v>
      </c>
      <c r="L161" s="1">
        <v>0.55100000000000005</v>
      </c>
      <c r="M161" s="1">
        <v>0.63100000000000001</v>
      </c>
      <c r="N161" s="1">
        <v>0.59</v>
      </c>
      <c r="O161" s="1">
        <v>2.4775</v>
      </c>
      <c r="P161" s="1">
        <v>2.1025</v>
      </c>
      <c r="Q161" s="1">
        <v>2.1775000000000002</v>
      </c>
      <c r="R161" s="1">
        <v>0.8899448407765792</v>
      </c>
      <c r="S161" s="1">
        <v>0.83965556202518443</v>
      </c>
      <c r="T161" s="1">
        <v>0.5403542460520957</v>
      </c>
      <c r="U161" s="2">
        <v>10.558999999999999</v>
      </c>
      <c r="V161" s="2">
        <v>8.6620000000000008</v>
      </c>
      <c r="W161" s="2">
        <v>8.6259999999999994</v>
      </c>
      <c r="X161" s="1">
        <v>0.27550000000000002</v>
      </c>
      <c r="Y161" s="1">
        <v>0.3155</v>
      </c>
      <c r="Z161" s="1">
        <v>0.29499999999999998</v>
      </c>
      <c r="AA161" s="2">
        <v>45</v>
      </c>
      <c r="AB161" s="2">
        <v>33.700000000000003</v>
      </c>
      <c r="AC161" s="2">
        <v>178</v>
      </c>
      <c r="AD161" s="2">
        <v>38.9</v>
      </c>
      <c r="AE161" s="4" t="s">
        <v>866</v>
      </c>
      <c r="AF161" s="4">
        <v>1.19</v>
      </c>
      <c r="AH161" s="21" t="s">
        <v>923</v>
      </c>
      <c r="AI161" s="21" t="s">
        <v>924</v>
      </c>
      <c r="AJ161" s="22" t="s">
        <v>915</v>
      </c>
      <c r="AK161" s="24" t="s">
        <v>1044</v>
      </c>
      <c r="AL161" s="20" t="s">
        <v>1098</v>
      </c>
    </row>
    <row r="162" spans="1:38" x14ac:dyDescent="0.25">
      <c r="A162" s="14" t="s">
        <v>445</v>
      </c>
      <c r="B162" s="14" t="s">
        <v>446</v>
      </c>
      <c r="C162" s="14" t="s">
        <v>447</v>
      </c>
      <c r="D162" t="s">
        <v>1571</v>
      </c>
      <c r="E162" t="s">
        <v>1588</v>
      </c>
      <c r="F162" s="1">
        <v>3.629</v>
      </c>
      <c r="G162" s="1">
        <v>1.5734999999999999</v>
      </c>
      <c r="H162" s="1">
        <v>2.7829999999999999</v>
      </c>
      <c r="I162" s="1">
        <v>1.456</v>
      </c>
      <c r="J162" s="1">
        <v>2.278</v>
      </c>
      <c r="K162" s="1">
        <v>1.7985</v>
      </c>
      <c r="L162" s="1">
        <v>0.44500000000000001</v>
      </c>
      <c r="M162" s="1">
        <v>0.432</v>
      </c>
      <c r="N162" s="1">
        <v>0.56999999999999995</v>
      </c>
      <c r="O162" s="1">
        <v>2.6012499999999998</v>
      </c>
      <c r="P162" s="1">
        <v>2.1194999999999999</v>
      </c>
      <c r="Q162" s="1">
        <v>2.0382500000000001</v>
      </c>
      <c r="R162" s="1">
        <v>0.90111001562981774</v>
      </c>
      <c r="S162" s="1">
        <v>0.85222439818148965</v>
      </c>
      <c r="T162" s="1">
        <v>0.61373983090929407</v>
      </c>
      <c r="U162" s="2">
        <v>10.053000000000001</v>
      </c>
      <c r="V162" s="2">
        <v>7.9119999999999999</v>
      </c>
      <c r="W162" s="2">
        <v>8.3970000000000002</v>
      </c>
      <c r="X162" s="1">
        <v>0.2225</v>
      </c>
      <c r="Y162" s="1">
        <v>0.216</v>
      </c>
      <c r="Z162" s="1">
        <v>0.28499999999999998</v>
      </c>
      <c r="AA162" s="2">
        <v>44.7</v>
      </c>
      <c r="AB162" s="2">
        <v>34.799999999999997</v>
      </c>
      <c r="AC162" s="2">
        <v>778</v>
      </c>
      <c r="AD162" s="2">
        <v>37.1</v>
      </c>
      <c r="AE162" s="4" t="s">
        <v>866</v>
      </c>
      <c r="AF162" s="4">
        <v>1.19</v>
      </c>
      <c r="AH162" s="21" t="s">
        <v>923</v>
      </c>
      <c r="AI162" s="21" t="s">
        <v>924</v>
      </c>
      <c r="AJ162" s="22" t="s">
        <v>925</v>
      </c>
      <c r="AK162" s="24" t="s">
        <v>1045</v>
      </c>
      <c r="AL162" s="20" t="s">
        <v>1098</v>
      </c>
    </row>
    <row r="163" spans="1:38" x14ac:dyDescent="0.25">
      <c r="A163" s="14" t="s">
        <v>448</v>
      </c>
      <c r="B163" s="14" t="s">
        <v>449</v>
      </c>
      <c r="C163" s="14" t="s">
        <v>450</v>
      </c>
      <c r="D163" t="s">
        <v>1571</v>
      </c>
      <c r="E163" t="s">
        <v>1588</v>
      </c>
      <c r="F163" s="1">
        <v>1.67</v>
      </c>
      <c r="G163" s="1">
        <v>0.84</v>
      </c>
      <c r="H163" s="1">
        <v>1.38</v>
      </c>
      <c r="I163" s="1">
        <v>0.88</v>
      </c>
      <c r="J163" s="1">
        <v>1.17</v>
      </c>
      <c r="K163" s="1">
        <v>1.0900000000000001</v>
      </c>
      <c r="L163" s="1">
        <v>0.19</v>
      </c>
      <c r="M163" s="1">
        <v>0.24</v>
      </c>
      <c r="N163" s="1">
        <v>0.22</v>
      </c>
      <c r="O163" s="1">
        <v>1.2549999999999999</v>
      </c>
      <c r="P163" s="1">
        <v>1.1299999999999999</v>
      </c>
      <c r="Q163" s="1">
        <v>1.1299999999999999</v>
      </c>
      <c r="R163" s="1">
        <v>0.86428989576197135</v>
      </c>
      <c r="S163" s="1">
        <v>0.77030042121265574</v>
      </c>
      <c r="T163" s="1">
        <v>0.36342378846956025</v>
      </c>
      <c r="U163" s="2">
        <v>4.7</v>
      </c>
      <c r="V163" s="2">
        <v>3.6</v>
      </c>
      <c r="W163" s="2">
        <v>3</v>
      </c>
      <c r="X163" s="1">
        <v>9.5000000000000001E-2</v>
      </c>
      <c r="Y163" s="1">
        <v>0.12</v>
      </c>
      <c r="Z163" s="1">
        <v>0.11</v>
      </c>
      <c r="AA163" s="2">
        <v>18.8</v>
      </c>
      <c r="AB163" s="2">
        <v>13.8</v>
      </c>
      <c r="AC163" s="2">
        <v>11</v>
      </c>
      <c r="AD163" s="2">
        <v>30.7</v>
      </c>
      <c r="AE163" s="4" t="s">
        <v>866</v>
      </c>
      <c r="AF163" s="4">
        <v>1.19</v>
      </c>
      <c r="AH163" s="21" t="s">
        <v>923</v>
      </c>
      <c r="AI163" s="21" t="s">
        <v>924</v>
      </c>
      <c r="AJ163" s="22" t="s">
        <v>915</v>
      </c>
      <c r="AK163" s="24" t="s">
        <v>1046</v>
      </c>
      <c r="AL163" s="20" t="s">
        <v>1098</v>
      </c>
    </row>
    <row r="164" spans="1:38" x14ac:dyDescent="0.25">
      <c r="A164" s="14" t="s">
        <v>451</v>
      </c>
      <c r="B164" s="14" t="s">
        <v>452</v>
      </c>
      <c r="C164" s="14" t="s">
        <v>453</v>
      </c>
      <c r="D164" t="s">
        <v>1571</v>
      </c>
      <c r="E164" t="s">
        <v>1588</v>
      </c>
      <c r="F164" s="1">
        <v>1.6910000000000001</v>
      </c>
      <c r="G164" s="1">
        <v>1.0024999999999999</v>
      </c>
      <c r="H164" s="1">
        <v>1.4595</v>
      </c>
      <c r="I164" s="1">
        <v>0.875</v>
      </c>
      <c r="J164" s="1">
        <v>1.35</v>
      </c>
      <c r="K164" s="1">
        <v>1.202</v>
      </c>
      <c r="L164" s="1">
        <v>0.156</v>
      </c>
      <c r="M164" s="1">
        <v>0.185</v>
      </c>
      <c r="N164" s="1">
        <v>0.222</v>
      </c>
      <c r="O164" s="1">
        <v>1.3467500000000001</v>
      </c>
      <c r="P164" s="1">
        <v>1.1672500000000001</v>
      </c>
      <c r="Q164" s="1">
        <v>1.276</v>
      </c>
      <c r="R164" s="1">
        <v>0.80531697705187644</v>
      </c>
      <c r="S164" s="1">
        <v>0.80035948769071474</v>
      </c>
      <c r="T164" s="1">
        <v>0.45523686534213126</v>
      </c>
      <c r="U164" s="2">
        <v>4.8819999999999997</v>
      </c>
      <c r="V164" s="2">
        <v>4.2949999999999999</v>
      </c>
      <c r="W164" s="2">
        <v>5.266</v>
      </c>
      <c r="X164" s="1">
        <v>7.8E-2</v>
      </c>
      <c r="Y164" s="1">
        <v>9.2499999999999999E-2</v>
      </c>
      <c r="Z164" s="1">
        <v>0.111</v>
      </c>
      <c r="AA164" s="2">
        <v>16.899999999999999</v>
      </c>
      <c r="AB164" s="2">
        <v>12.9</v>
      </c>
      <c r="AC164" s="2">
        <v>13.8</v>
      </c>
      <c r="AD164" s="2">
        <v>36.1</v>
      </c>
      <c r="AE164" s="4" t="s">
        <v>866</v>
      </c>
      <c r="AF164" s="4">
        <v>1.19</v>
      </c>
      <c r="AH164" s="21" t="s">
        <v>923</v>
      </c>
      <c r="AI164" s="21" t="s">
        <v>924</v>
      </c>
      <c r="AJ164" s="22" t="s">
        <v>1378</v>
      </c>
      <c r="AK164" s="24" t="s">
        <v>1047</v>
      </c>
      <c r="AL164" s="20" t="s">
        <v>1098</v>
      </c>
    </row>
    <row r="165" spans="1:38" x14ac:dyDescent="0.25">
      <c r="A165" s="14" t="s">
        <v>454</v>
      </c>
      <c r="B165" s="14" t="s">
        <v>455</v>
      </c>
      <c r="C165" s="14" t="s">
        <v>456</v>
      </c>
      <c r="D165" t="s">
        <v>1571</v>
      </c>
      <c r="E165" t="s">
        <v>1588</v>
      </c>
      <c r="F165" s="1">
        <v>2.843</v>
      </c>
      <c r="G165" s="1">
        <v>1.4695</v>
      </c>
      <c r="H165" s="1">
        <v>2.3085</v>
      </c>
      <c r="I165" s="1">
        <v>1.4215</v>
      </c>
      <c r="J165" s="1">
        <v>2.33</v>
      </c>
      <c r="K165" s="1">
        <v>1.8955</v>
      </c>
      <c r="L165" s="1">
        <v>0.35299999999999998</v>
      </c>
      <c r="M165" s="1">
        <v>0.34300000000000003</v>
      </c>
      <c r="N165" s="1">
        <v>0.39600000000000002</v>
      </c>
      <c r="O165" s="1">
        <v>2.15625</v>
      </c>
      <c r="P165" s="1">
        <v>1.865</v>
      </c>
      <c r="Q165" s="1">
        <v>2.1127500000000001</v>
      </c>
      <c r="R165" s="1">
        <v>0.85605570569309208</v>
      </c>
      <c r="S165" s="1">
        <v>0.78792766070555442</v>
      </c>
      <c r="T165" s="1">
        <v>0.58153789806014822</v>
      </c>
      <c r="U165" s="2">
        <v>7.9619999999999997</v>
      </c>
      <c r="V165" s="2">
        <v>6.843</v>
      </c>
      <c r="W165" s="2">
        <v>8.1859999999999999</v>
      </c>
      <c r="X165" s="1">
        <v>0.17649999999999999</v>
      </c>
      <c r="Y165" s="1">
        <v>0.17150000000000001</v>
      </c>
      <c r="Z165" s="1">
        <v>0.19800000000000001</v>
      </c>
      <c r="AA165" s="2">
        <v>33</v>
      </c>
      <c r="AB165" s="2">
        <v>25.2</v>
      </c>
      <c r="AC165" s="2">
        <v>78.8</v>
      </c>
      <c r="AD165" s="2">
        <v>24.9</v>
      </c>
      <c r="AE165" s="4" t="s">
        <v>866</v>
      </c>
      <c r="AF165" s="4">
        <v>1.19</v>
      </c>
      <c r="AH165" s="21" t="s">
        <v>923</v>
      </c>
      <c r="AI165" s="21" t="s">
        <v>924</v>
      </c>
      <c r="AJ165" s="22" t="s">
        <v>1378</v>
      </c>
      <c r="AK165" s="24" t="s">
        <v>1048</v>
      </c>
      <c r="AL165" s="20" t="s">
        <v>1098</v>
      </c>
    </row>
    <row r="166" spans="1:38" x14ac:dyDescent="0.25">
      <c r="A166" s="14" t="s">
        <v>457</v>
      </c>
      <c r="B166" s="14" t="s">
        <v>458</v>
      </c>
      <c r="C166" s="14" t="s">
        <v>459</v>
      </c>
      <c r="D166" t="s">
        <v>1571</v>
      </c>
      <c r="E166" t="s">
        <v>1588</v>
      </c>
      <c r="F166" s="1">
        <v>2.19</v>
      </c>
      <c r="G166" s="1">
        <v>1.1399999999999999</v>
      </c>
      <c r="H166" s="1">
        <v>1.82</v>
      </c>
      <c r="I166" s="1">
        <v>0.92</v>
      </c>
      <c r="J166" s="1">
        <v>1.59</v>
      </c>
      <c r="K166" s="1">
        <v>1.3</v>
      </c>
      <c r="L166" s="1">
        <v>0.34</v>
      </c>
      <c r="M166" s="1">
        <v>0.37</v>
      </c>
      <c r="N166" s="1">
        <v>0.33</v>
      </c>
      <c r="O166" s="1">
        <v>1.665</v>
      </c>
      <c r="P166" s="1">
        <v>1.37</v>
      </c>
      <c r="Q166" s="1">
        <v>1.4450000000000001</v>
      </c>
      <c r="R166" s="1">
        <v>0.85383244067109154</v>
      </c>
      <c r="S166" s="1">
        <v>0.86282982384411433</v>
      </c>
      <c r="T166" s="1">
        <v>0.57577233786972681</v>
      </c>
      <c r="U166" s="2">
        <v>6.2</v>
      </c>
      <c r="V166" s="2">
        <v>5.7</v>
      </c>
      <c r="W166" s="2">
        <v>5.9</v>
      </c>
      <c r="X166" s="1">
        <v>0.17</v>
      </c>
      <c r="Y166" s="1">
        <v>0.185</v>
      </c>
      <c r="Z166" s="1">
        <v>0.16500000000000001</v>
      </c>
      <c r="AA166" s="2">
        <v>22.1</v>
      </c>
      <c r="AB166" s="2">
        <v>14.8</v>
      </c>
      <c r="AC166" s="2">
        <v>96.8</v>
      </c>
      <c r="AD166" s="2">
        <v>37.4</v>
      </c>
      <c r="AE166" s="4" t="s">
        <v>866</v>
      </c>
      <c r="AF166" s="4">
        <v>1.19</v>
      </c>
      <c r="AH166" s="21" t="s">
        <v>923</v>
      </c>
      <c r="AI166" s="21" t="s">
        <v>924</v>
      </c>
      <c r="AJ166" s="22" t="s">
        <v>1378</v>
      </c>
      <c r="AK166" s="24" t="s">
        <v>1015</v>
      </c>
      <c r="AL166" s="20" t="s">
        <v>1098</v>
      </c>
    </row>
    <row r="167" spans="1:38" x14ac:dyDescent="0.25">
      <c r="A167" s="14" t="s">
        <v>460</v>
      </c>
      <c r="B167" s="14" t="s">
        <v>461</v>
      </c>
      <c r="C167" s="14" t="s">
        <v>462</v>
      </c>
      <c r="D167" t="s">
        <v>1571</v>
      </c>
      <c r="E167" t="s">
        <v>1588</v>
      </c>
      <c r="F167" s="1">
        <v>2.7360000000000002</v>
      </c>
      <c r="G167" s="1">
        <v>1.6054999999999999</v>
      </c>
      <c r="H167" s="1">
        <v>2.0434999999999999</v>
      </c>
      <c r="I167" s="1">
        <v>1.4255</v>
      </c>
      <c r="J167" s="1">
        <v>2.1395</v>
      </c>
      <c r="K167" s="1">
        <v>1.6005</v>
      </c>
      <c r="L167" s="1">
        <v>0.377</v>
      </c>
      <c r="M167" s="1">
        <v>0.33100000000000002</v>
      </c>
      <c r="N167" s="1">
        <v>0.46400000000000002</v>
      </c>
      <c r="O167" s="1">
        <v>2.17075</v>
      </c>
      <c r="P167" s="1">
        <v>1.7344999999999999</v>
      </c>
      <c r="Q167" s="1">
        <v>1.87</v>
      </c>
      <c r="R167" s="1">
        <v>0.80972788019749942</v>
      </c>
      <c r="S167" s="1">
        <v>0.71650915759006462</v>
      </c>
      <c r="T167" s="1">
        <v>0.66361759589768843</v>
      </c>
      <c r="U167" s="2">
        <v>8.4499999999999993</v>
      </c>
      <c r="V167" s="2">
        <v>6.4710000000000001</v>
      </c>
      <c r="W167" s="2">
        <v>7.0609999999999999</v>
      </c>
      <c r="X167" s="1">
        <v>0.1885</v>
      </c>
      <c r="Y167" s="1">
        <v>0.16550000000000001</v>
      </c>
      <c r="Z167" s="1">
        <v>0.23200000000000001</v>
      </c>
      <c r="AA167" s="2">
        <v>41.8</v>
      </c>
      <c r="AB167" s="2">
        <v>29.3</v>
      </c>
      <c r="AC167" s="2">
        <v>250</v>
      </c>
      <c r="AD167" s="2">
        <v>35</v>
      </c>
      <c r="AE167" s="4" t="s">
        <v>866</v>
      </c>
      <c r="AF167" s="4">
        <v>1.19</v>
      </c>
      <c r="AH167" s="21" t="s">
        <v>923</v>
      </c>
      <c r="AI167" s="21" t="s">
        <v>924</v>
      </c>
      <c r="AJ167" s="22" t="s">
        <v>915</v>
      </c>
      <c r="AK167" s="24" t="s">
        <v>1049</v>
      </c>
      <c r="AL167" s="20" t="s">
        <v>1098</v>
      </c>
    </row>
    <row r="168" spans="1:38" x14ac:dyDescent="0.25">
      <c r="A168" s="14" t="s">
        <v>463</v>
      </c>
      <c r="B168" s="14" t="s">
        <v>464</v>
      </c>
      <c r="C168" s="14" t="s">
        <v>465</v>
      </c>
      <c r="D168" t="s">
        <v>1571</v>
      </c>
      <c r="E168" t="s">
        <v>1588</v>
      </c>
      <c r="F168" s="1">
        <v>1.75</v>
      </c>
      <c r="G168" s="1">
        <v>0.8</v>
      </c>
      <c r="H168" s="1">
        <v>1.48</v>
      </c>
      <c r="I168" s="1">
        <v>0.73</v>
      </c>
      <c r="J168" s="1">
        <v>1.32</v>
      </c>
      <c r="K168" s="1">
        <v>0.99</v>
      </c>
      <c r="L168" s="1">
        <v>0.27</v>
      </c>
      <c r="M168" s="1">
        <v>0.33</v>
      </c>
      <c r="N168" s="1">
        <v>0.31</v>
      </c>
      <c r="O168" s="1">
        <v>1.2749999999999999</v>
      </c>
      <c r="P168" s="1">
        <v>1.105</v>
      </c>
      <c r="Q168" s="1">
        <v>1.155</v>
      </c>
      <c r="R168" s="1">
        <v>0.88939328092990744</v>
      </c>
      <c r="S168" s="1">
        <v>0.86989143172863059</v>
      </c>
      <c r="T168" s="1">
        <v>0.66143782776614768</v>
      </c>
      <c r="U168" s="2">
        <v>5</v>
      </c>
      <c r="V168" s="2">
        <v>4.9000000000000004</v>
      </c>
      <c r="W168" s="2">
        <v>3.8</v>
      </c>
      <c r="X168" s="1">
        <v>0.13500000000000001</v>
      </c>
      <c r="Y168" s="1">
        <v>0.16500000000000001</v>
      </c>
      <c r="Z168" s="1">
        <v>0.155</v>
      </c>
      <c r="AA168" s="2">
        <v>20.2</v>
      </c>
      <c r="AB168" s="2">
        <v>14.7</v>
      </c>
      <c r="AC168" s="2">
        <v>13</v>
      </c>
      <c r="AD168" s="2">
        <v>34.299999999999997</v>
      </c>
      <c r="AE168" s="4" t="s">
        <v>866</v>
      </c>
      <c r="AF168" s="4">
        <v>1.19</v>
      </c>
      <c r="AH168" s="21" t="s">
        <v>923</v>
      </c>
      <c r="AI168" s="21" t="s">
        <v>923</v>
      </c>
      <c r="AJ168" s="22" t="s">
        <v>918</v>
      </c>
      <c r="AK168" s="24" t="s">
        <v>1050</v>
      </c>
      <c r="AL168" s="20" t="s">
        <v>1098</v>
      </c>
    </row>
    <row r="169" spans="1:38" x14ac:dyDescent="0.25">
      <c r="A169" s="14" t="s">
        <v>463</v>
      </c>
      <c r="B169" s="14" t="s">
        <v>466</v>
      </c>
      <c r="C169" s="14" t="s">
        <v>467</v>
      </c>
      <c r="D169" t="s">
        <v>1571</v>
      </c>
      <c r="E169" t="s">
        <v>1588</v>
      </c>
      <c r="F169" s="1">
        <v>1.4550000000000001</v>
      </c>
      <c r="G169" s="1">
        <v>0.65</v>
      </c>
      <c r="H169" s="1">
        <v>1.07</v>
      </c>
      <c r="I169" s="1">
        <v>0.66500000000000004</v>
      </c>
      <c r="J169" s="1">
        <v>1.08</v>
      </c>
      <c r="K169" s="1">
        <v>1.02</v>
      </c>
      <c r="L169" s="1">
        <v>0.25</v>
      </c>
      <c r="M169" s="1">
        <v>0.26</v>
      </c>
      <c r="N169" s="1">
        <v>0.25</v>
      </c>
      <c r="O169" s="1">
        <v>1.0525</v>
      </c>
      <c r="P169" s="1">
        <v>0.86750000000000005</v>
      </c>
      <c r="Q169" s="1">
        <v>1.05</v>
      </c>
      <c r="R169" s="1">
        <v>0.89466613140619389</v>
      </c>
      <c r="S169" s="1">
        <v>0.78341786958773096</v>
      </c>
      <c r="T169" s="1">
        <v>0.32867109906108982</v>
      </c>
      <c r="U169" s="2">
        <v>4.5599999999999996</v>
      </c>
      <c r="V169" s="2">
        <v>3.64</v>
      </c>
      <c r="W169" s="2">
        <v>4.22</v>
      </c>
      <c r="X169" s="1">
        <v>0.125</v>
      </c>
      <c r="Y169" s="1">
        <v>0.13</v>
      </c>
      <c r="Z169" s="1">
        <v>0.125</v>
      </c>
      <c r="AA169" s="2">
        <v>16.899999999999999</v>
      </c>
      <c r="AB169" s="2">
        <v>12.8</v>
      </c>
      <c r="AC169" s="2">
        <v>11.3</v>
      </c>
      <c r="AD169" s="2">
        <v>33.5</v>
      </c>
      <c r="AE169" s="4" t="s">
        <v>866</v>
      </c>
      <c r="AF169" s="4">
        <v>1.19</v>
      </c>
      <c r="AH169" s="21" t="s">
        <v>923</v>
      </c>
      <c r="AI169" s="21" t="s">
        <v>924</v>
      </c>
      <c r="AJ169" s="24" t="s">
        <v>918</v>
      </c>
      <c r="AK169" s="24" t="s">
        <v>1050</v>
      </c>
      <c r="AL169" s="20" t="s">
        <v>1098</v>
      </c>
    </row>
    <row r="170" spans="1:38" x14ac:dyDescent="0.25">
      <c r="A170" s="14" t="s">
        <v>468</v>
      </c>
      <c r="B170" s="14" t="s">
        <v>469</v>
      </c>
      <c r="C170" s="14" t="s">
        <v>470</v>
      </c>
      <c r="D170" t="s">
        <v>1571</v>
      </c>
      <c r="E170" t="s">
        <v>1588</v>
      </c>
      <c r="F170" s="1">
        <v>1.4</v>
      </c>
      <c r="G170" s="1">
        <v>0.73</v>
      </c>
      <c r="H170" s="1">
        <v>1.22</v>
      </c>
      <c r="I170" s="1">
        <v>0.68</v>
      </c>
      <c r="J170" s="1">
        <v>1.1100000000000001</v>
      </c>
      <c r="K170" s="1">
        <v>0.89</v>
      </c>
      <c r="L170" s="1">
        <v>0.22</v>
      </c>
      <c r="M170" s="1">
        <v>0.22</v>
      </c>
      <c r="N170" s="1">
        <v>0.25</v>
      </c>
      <c r="O170" s="1">
        <v>1.0649999999999999</v>
      </c>
      <c r="P170" s="1">
        <v>0.95</v>
      </c>
      <c r="Q170" s="1">
        <v>1</v>
      </c>
      <c r="R170" s="1">
        <v>0.85329493429760794</v>
      </c>
      <c r="S170" s="1">
        <v>0.83025949259676057</v>
      </c>
      <c r="T170" s="1">
        <v>0.59759005231628837</v>
      </c>
      <c r="U170" s="2">
        <v>3.9</v>
      </c>
      <c r="V170" s="2">
        <v>3.4</v>
      </c>
      <c r="W170" s="2">
        <v>4.4000000000000004</v>
      </c>
      <c r="X170" s="1">
        <v>0.11</v>
      </c>
      <c r="Y170" s="1">
        <v>0.11</v>
      </c>
      <c r="Z170" s="1">
        <v>0.125</v>
      </c>
      <c r="AA170" s="2">
        <v>13.5</v>
      </c>
      <c r="AB170" s="2">
        <v>8.4</v>
      </c>
      <c r="AC170" s="2">
        <v>5.0999999999999996</v>
      </c>
      <c r="AD170" s="2">
        <v>33.299999999999997</v>
      </c>
      <c r="AE170" s="4" t="s">
        <v>866</v>
      </c>
      <c r="AF170" s="4">
        <v>1.19</v>
      </c>
      <c r="AH170" s="21" t="s">
        <v>923</v>
      </c>
      <c r="AI170" s="21" t="s">
        <v>924</v>
      </c>
      <c r="AJ170" s="24" t="s">
        <v>918</v>
      </c>
      <c r="AK170" s="24" t="s">
        <v>1051</v>
      </c>
      <c r="AL170" s="20" t="s">
        <v>1098</v>
      </c>
    </row>
    <row r="171" spans="1:38" x14ac:dyDescent="0.25">
      <c r="A171" s="14" t="s">
        <v>468</v>
      </c>
      <c r="B171" s="14" t="s">
        <v>471</v>
      </c>
      <c r="C171" s="14" t="s">
        <v>472</v>
      </c>
      <c r="D171" t="s">
        <v>1571</v>
      </c>
      <c r="E171" t="s">
        <v>1588</v>
      </c>
      <c r="F171" s="1">
        <v>1.55</v>
      </c>
      <c r="G171" s="1">
        <v>0.82</v>
      </c>
      <c r="H171" s="1">
        <v>1.39</v>
      </c>
      <c r="I171" s="1">
        <v>0.82</v>
      </c>
      <c r="J171" s="1">
        <v>1.25</v>
      </c>
      <c r="K171" s="1">
        <v>1.03</v>
      </c>
      <c r="L171" s="1">
        <v>0.42</v>
      </c>
      <c r="M171" s="1">
        <v>0.38</v>
      </c>
      <c r="N171" s="1">
        <v>0.36</v>
      </c>
      <c r="O171" s="1">
        <v>1.1850000000000001</v>
      </c>
      <c r="P171" s="1">
        <v>1.105</v>
      </c>
      <c r="Q171" s="1">
        <v>1.1400000000000001</v>
      </c>
      <c r="R171" s="1">
        <v>0.84860171454408417</v>
      </c>
      <c r="S171" s="1">
        <v>0.80745581111947884</v>
      </c>
      <c r="T171" s="1">
        <v>0.56658979870802462</v>
      </c>
      <c r="U171" s="2">
        <v>4.9000000000000004</v>
      </c>
      <c r="V171" s="2">
        <v>4.4000000000000004</v>
      </c>
      <c r="W171" s="2">
        <v>5.6</v>
      </c>
      <c r="X171" s="1">
        <v>0.21</v>
      </c>
      <c r="Y171" s="1">
        <v>0.19</v>
      </c>
      <c r="Z171" s="1">
        <v>0.18</v>
      </c>
      <c r="AA171" s="2">
        <v>20</v>
      </c>
      <c r="AB171" s="2">
        <v>12</v>
      </c>
      <c r="AC171" s="2">
        <v>6.1</v>
      </c>
      <c r="AD171" s="2">
        <v>31.2</v>
      </c>
      <c r="AE171" s="4" t="s">
        <v>866</v>
      </c>
      <c r="AF171" s="4">
        <v>1.19</v>
      </c>
      <c r="AH171" s="21" t="s">
        <v>923</v>
      </c>
      <c r="AI171" s="21" t="s">
        <v>923</v>
      </c>
      <c r="AJ171" s="24" t="s">
        <v>918</v>
      </c>
      <c r="AK171" s="24" t="s">
        <v>1052</v>
      </c>
      <c r="AL171" s="20" t="s">
        <v>1098</v>
      </c>
    </row>
    <row r="172" spans="1:38" x14ac:dyDescent="0.25">
      <c r="A172" s="14" t="s">
        <v>473</v>
      </c>
      <c r="B172" s="14" t="s">
        <v>474</v>
      </c>
      <c r="C172" s="14" t="s">
        <v>475</v>
      </c>
      <c r="D172" s="14" t="s">
        <v>1599</v>
      </c>
      <c r="E172" s="14" t="s">
        <v>1599</v>
      </c>
      <c r="F172" s="1">
        <v>4.0999999999999996</v>
      </c>
      <c r="G172" s="1">
        <v>2.4500000000000002</v>
      </c>
      <c r="H172" s="48">
        <v>3.01</v>
      </c>
      <c r="I172" s="48">
        <v>2.11</v>
      </c>
      <c r="J172" s="48">
        <v>3.56</v>
      </c>
      <c r="K172" s="48">
        <v>2.64</v>
      </c>
      <c r="L172" s="1">
        <v>0.72</v>
      </c>
      <c r="M172" s="48">
        <v>0.71</v>
      </c>
      <c r="N172" s="48">
        <v>0.85</v>
      </c>
      <c r="O172" s="1">
        <v>3.2749999999999999</v>
      </c>
      <c r="P172" s="3">
        <v>2.5599999999999996</v>
      </c>
      <c r="Q172" s="3">
        <v>3.1</v>
      </c>
      <c r="R172" s="1">
        <v>0.80182347211111027</v>
      </c>
      <c r="S172" s="3">
        <v>0.71316453767435151</v>
      </c>
      <c r="T172" s="3">
        <v>0.67087214555182817</v>
      </c>
      <c r="U172" s="2">
        <v>16.3</v>
      </c>
      <c r="V172" s="46">
        <v>11.31</v>
      </c>
      <c r="W172" s="46">
        <v>15.37</v>
      </c>
      <c r="X172" s="1">
        <v>0.36</v>
      </c>
      <c r="Y172" s="3">
        <v>0.35499999999999998</v>
      </c>
      <c r="Z172" s="3">
        <v>0.42499999999999999</v>
      </c>
      <c r="AA172" s="2">
        <v>63</v>
      </c>
      <c r="AB172" s="2">
        <v>48.1</v>
      </c>
      <c r="AC172" s="46">
        <v>1894.5050000000001</v>
      </c>
      <c r="AD172" s="2" t="s">
        <v>40</v>
      </c>
      <c r="AE172" s="4" t="s">
        <v>867</v>
      </c>
      <c r="AF172" s="4">
        <v>1.19</v>
      </c>
      <c r="AH172" s="21" t="s">
        <v>925</v>
      </c>
      <c r="AI172" s="21" t="s">
        <v>925</v>
      </c>
      <c r="AJ172" s="22" t="s">
        <v>953</v>
      </c>
      <c r="AK172" s="23" t="s">
        <v>40</v>
      </c>
      <c r="AL172" s="20" t="s">
        <v>1098</v>
      </c>
    </row>
    <row r="173" spans="1:38" x14ac:dyDescent="0.25">
      <c r="A173" s="14" t="s">
        <v>476</v>
      </c>
      <c r="B173" s="14" t="s">
        <v>63</v>
      </c>
      <c r="C173" s="14" t="s">
        <v>477</v>
      </c>
      <c r="D173" s="14" t="s">
        <v>1599</v>
      </c>
      <c r="E173" s="14" t="s">
        <v>1599</v>
      </c>
      <c r="F173" s="1">
        <v>7.422269223846186</v>
      </c>
      <c r="G173" s="1">
        <v>3.0856624863180766</v>
      </c>
      <c r="H173" s="1">
        <v>5.2539658550821313</v>
      </c>
      <c r="I173" s="1">
        <v>2.5018885024200621</v>
      </c>
      <c r="J173" s="1">
        <v>6.8384952399481698</v>
      </c>
      <c r="K173" s="1">
        <v>3.6694364702160915</v>
      </c>
      <c r="L173" s="1">
        <v>1.1675479677960292</v>
      </c>
      <c r="M173" s="1">
        <v>1.1675479677960292</v>
      </c>
      <c r="N173" s="1">
        <v>1.1675479677960292</v>
      </c>
      <c r="O173" s="1">
        <v>5.2539658550821313</v>
      </c>
      <c r="P173" s="1">
        <v>3.8779271787510967</v>
      </c>
      <c r="Q173" s="1">
        <v>5.2539658550821304</v>
      </c>
      <c r="R173" s="1">
        <v>0.909487925611149</v>
      </c>
      <c r="S173" s="1">
        <v>0.87934215774378044</v>
      </c>
      <c r="T173" s="1">
        <v>0.84384604351249726</v>
      </c>
      <c r="U173" s="2">
        <v>19.014352618392476</v>
      </c>
      <c r="V173" s="2">
        <v>15.344916148176384</v>
      </c>
      <c r="W173" s="2">
        <v>22.016618821296554</v>
      </c>
      <c r="X173" s="1">
        <v>0.5837739838980146</v>
      </c>
      <c r="Y173" s="1">
        <v>0.5837739838980146</v>
      </c>
      <c r="Z173" s="1">
        <v>0.5837739838980146</v>
      </c>
      <c r="AA173" s="2">
        <v>260</v>
      </c>
      <c r="AB173" s="27">
        <v>110</v>
      </c>
      <c r="AC173" s="46">
        <v>59410.74</v>
      </c>
      <c r="AD173" s="2" t="s">
        <v>40</v>
      </c>
      <c r="AE173" s="4" t="s">
        <v>867</v>
      </c>
      <c r="AF173" s="4">
        <v>1.19</v>
      </c>
      <c r="AH173" s="21" t="s">
        <v>925</v>
      </c>
      <c r="AI173" s="21" t="s">
        <v>924</v>
      </c>
      <c r="AJ173" s="22" t="s">
        <v>953</v>
      </c>
      <c r="AK173" s="23" t="s">
        <v>40</v>
      </c>
      <c r="AL173" s="20" t="s">
        <v>1098</v>
      </c>
    </row>
    <row r="174" spans="1:38" x14ac:dyDescent="0.25">
      <c r="A174" s="14" t="s">
        <v>478</v>
      </c>
      <c r="B174" s="14" t="s">
        <v>479</v>
      </c>
      <c r="C174" s="14" t="s">
        <v>480</v>
      </c>
      <c r="D174" s="14" t="s">
        <v>1600</v>
      </c>
      <c r="E174" s="14" t="s">
        <v>1600</v>
      </c>
      <c r="F174" s="1">
        <v>6.8849999999999998</v>
      </c>
      <c r="G174" s="1">
        <v>5.03</v>
      </c>
      <c r="H174" s="1">
        <v>6.2350000000000003</v>
      </c>
      <c r="I174" s="1">
        <v>4.5350000000000001</v>
      </c>
      <c r="J174" s="1">
        <v>5.665</v>
      </c>
      <c r="K174" s="1">
        <v>3.4750000000000001</v>
      </c>
      <c r="L174" s="1">
        <v>0.82</v>
      </c>
      <c r="M174" s="1">
        <v>0.85</v>
      </c>
      <c r="N174" s="1">
        <v>1.03</v>
      </c>
      <c r="O174" s="1">
        <v>5.9574999999999996</v>
      </c>
      <c r="P174" s="1">
        <v>5.3849999999999998</v>
      </c>
      <c r="Q174" s="1">
        <v>4.57</v>
      </c>
      <c r="R174" s="1">
        <v>0.68283383985092638</v>
      </c>
      <c r="S174" s="1">
        <v>0.68627132770610522</v>
      </c>
      <c r="T174" s="1">
        <v>0.7897601953175345</v>
      </c>
      <c r="U174" s="2">
        <v>23.79</v>
      </c>
      <c r="V174" s="2">
        <v>17.740000000000002</v>
      </c>
      <c r="W174" s="2">
        <v>19.39</v>
      </c>
      <c r="X174" s="1">
        <v>0.41</v>
      </c>
      <c r="Y174" s="1">
        <v>0.42499999999999999</v>
      </c>
      <c r="Z174" s="1">
        <v>0.51500000000000001</v>
      </c>
      <c r="AA174" s="2">
        <v>193.9</v>
      </c>
      <c r="AB174" s="27">
        <v>108.5</v>
      </c>
      <c r="AC174" s="46">
        <v>37929.440000000002</v>
      </c>
      <c r="AD174" s="2" t="s">
        <v>40</v>
      </c>
      <c r="AE174" s="4" t="s">
        <v>867</v>
      </c>
      <c r="AF174" s="4">
        <v>1.19</v>
      </c>
      <c r="AH174" s="21" t="s">
        <v>925</v>
      </c>
      <c r="AI174" s="21" t="s">
        <v>925</v>
      </c>
      <c r="AJ174" s="22" t="s">
        <v>953</v>
      </c>
      <c r="AK174" s="23" t="s">
        <v>40</v>
      </c>
      <c r="AL174" s="20" t="s">
        <v>1098</v>
      </c>
    </row>
    <row r="175" spans="1:38" x14ac:dyDescent="0.25">
      <c r="A175" s="14" t="s">
        <v>481</v>
      </c>
      <c r="B175" s="14" t="s">
        <v>482</v>
      </c>
      <c r="C175" s="14" t="s">
        <v>483</v>
      </c>
      <c r="D175" s="14" t="s">
        <v>1600</v>
      </c>
      <c r="E175" s="14" t="s">
        <v>1600</v>
      </c>
      <c r="F175" s="1">
        <v>4.6619999999999999</v>
      </c>
      <c r="G175" s="1">
        <v>3.3475000000000001</v>
      </c>
      <c r="H175" s="1">
        <v>3.55375</v>
      </c>
      <c r="I175" s="1">
        <v>2.77</v>
      </c>
      <c r="J175" s="1">
        <v>3.331</v>
      </c>
      <c r="K175" s="1">
        <v>2.492</v>
      </c>
      <c r="L175" s="1">
        <v>0.77400000000000002</v>
      </c>
      <c r="M175" s="1">
        <v>0.68149999999999999</v>
      </c>
      <c r="N175" s="1">
        <v>0.68700000000000006</v>
      </c>
      <c r="O175" s="1">
        <v>4.0047499999999996</v>
      </c>
      <c r="P175" s="1">
        <v>3.1618750000000002</v>
      </c>
      <c r="Q175" s="1">
        <v>2.9115000000000002</v>
      </c>
      <c r="R175" s="1">
        <v>0.69600238673268766</v>
      </c>
      <c r="S175" s="1">
        <v>0.6264540920486652</v>
      </c>
      <c r="T175" s="1">
        <v>0.66355930373783667</v>
      </c>
      <c r="U175" s="2">
        <v>14.660499999999999</v>
      </c>
      <c r="V175" s="2">
        <v>10.9925</v>
      </c>
      <c r="W175" s="2">
        <v>11.9185</v>
      </c>
      <c r="X175" s="1">
        <v>0.38700000000000001</v>
      </c>
      <c r="Y175" s="1">
        <v>0.34075</v>
      </c>
      <c r="Z175" s="1">
        <v>0.34350000000000003</v>
      </c>
      <c r="AA175" s="2">
        <v>96.9</v>
      </c>
      <c r="AB175" s="27">
        <v>47</v>
      </c>
      <c r="AC175" s="46">
        <v>2738.8229999999999</v>
      </c>
      <c r="AD175" s="2" t="s">
        <v>40</v>
      </c>
      <c r="AE175" s="4" t="s">
        <v>867</v>
      </c>
      <c r="AF175" s="4">
        <v>1.19</v>
      </c>
      <c r="AH175" s="21" t="s">
        <v>1150</v>
      </c>
      <c r="AI175" s="21" t="s">
        <v>1155</v>
      </c>
      <c r="AJ175" s="22" t="s">
        <v>953</v>
      </c>
      <c r="AK175" s="23" t="s">
        <v>40</v>
      </c>
      <c r="AL175" s="20" t="s">
        <v>1098</v>
      </c>
    </row>
    <row r="176" spans="1:38" x14ac:dyDescent="0.25">
      <c r="A176" s="15" t="s">
        <v>40</v>
      </c>
      <c r="B176" s="15" t="s">
        <v>40</v>
      </c>
      <c r="C176" s="14" t="s">
        <v>1129</v>
      </c>
      <c r="D176" s="14" t="s">
        <v>1600</v>
      </c>
      <c r="E176" s="14" t="s">
        <v>1600</v>
      </c>
      <c r="F176" s="1">
        <v>4.5134999999999996</v>
      </c>
      <c r="G176" s="1">
        <v>3.3645</v>
      </c>
      <c r="H176" s="1">
        <v>3.0640000000000001</v>
      </c>
      <c r="I176" s="1">
        <v>2.7404999999999999</v>
      </c>
      <c r="J176" s="1">
        <v>2.9319999999999999</v>
      </c>
      <c r="K176" s="1">
        <v>2.67</v>
      </c>
      <c r="L176" s="1">
        <v>0.63300000000000001</v>
      </c>
      <c r="M176" s="1">
        <v>0.495</v>
      </c>
      <c r="N176" s="1">
        <v>0.63100000000000001</v>
      </c>
      <c r="O176" s="1">
        <v>3.9390000000000001</v>
      </c>
      <c r="P176" s="1">
        <v>2.90225</v>
      </c>
      <c r="Q176" s="1">
        <v>2.8010000000000002</v>
      </c>
      <c r="R176" s="1">
        <v>0.66658349456180288</v>
      </c>
      <c r="S176" s="1">
        <v>0.44722985702578555</v>
      </c>
      <c r="T176" s="1">
        <v>0.41319802016549084</v>
      </c>
      <c r="U176" s="2">
        <v>13.407999999999999</v>
      </c>
      <c r="V176" s="2">
        <v>9.9410000000000007</v>
      </c>
      <c r="W176" s="2">
        <v>11.199</v>
      </c>
      <c r="X176" s="1">
        <v>0.3165</v>
      </c>
      <c r="Y176" s="1">
        <v>0.2475</v>
      </c>
      <c r="Z176" s="1">
        <v>0.3155</v>
      </c>
      <c r="AA176" s="2">
        <v>75.2</v>
      </c>
      <c r="AB176" s="27" t="s">
        <v>40</v>
      </c>
      <c r="AC176" s="2" t="s">
        <v>40</v>
      </c>
      <c r="AD176" s="2" t="s">
        <v>40</v>
      </c>
      <c r="AE176" s="2" t="s">
        <v>40</v>
      </c>
      <c r="AF176" s="2" t="s">
        <v>40</v>
      </c>
      <c r="AH176" s="21" t="s">
        <v>925</v>
      </c>
      <c r="AI176" s="23" t="s">
        <v>40</v>
      </c>
      <c r="AJ176" s="2" t="s">
        <v>40</v>
      </c>
      <c r="AK176" s="2" t="s">
        <v>40</v>
      </c>
      <c r="AL176" s="20"/>
    </row>
    <row r="177" spans="1:38" x14ac:dyDescent="0.25">
      <c r="A177" s="15" t="s">
        <v>40</v>
      </c>
      <c r="B177" s="15" t="s">
        <v>40</v>
      </c>
      <c r="C177" s="14" t="s">
        <v>1130</v>
      </c>
      <c r="D177" s="14" t="s">
        <v>1600</v>
      </c>
      <c r="E177" s="14" t="s">
        <v>1600</v>
      </c>
      <c r="F177" s="1">
        <v>4.8105000000000002</v>
      </c>
      <c r="G177" s="1">
        <v>3.3304999999999998</v>
      </c>
      <c r="H177" s="1">
        <v>4.0434999999999999</v>
      </c>
      <c r="I177" s="1">
        <v>2.7995000000000001</v>
      </c>
      <c r="J177" s="1">
        <v>3.73</v>
      </c>
      <c r="K177" s="1">
        <v>2.3140000000000001</v>
      </c>
      <c r="L177" s="1">
        <v>0.91500000000000004</v>
      </c>
      <c r="M177" s="1">
        <v>0.86799999999999999</v>
      </c>
      <c r="N177" s="1">
        <v>0.74299999999999999</v>
      </c>
      <c r="O177" s="1">
        <v>4.0705</v>
      </c>
      <c r="P177" s="1">
        <v>3.4215</v>
      </c>
      <c r="Q177" s="1">
        <v>3.0220000000000002</v>
      </c>
      <c r="R177" s="1">
        <v>0.72157174024283599</v>
      </c>
      <c r="S177" s="1">
        <v>0.72156591950957139</v>
      </c>
      <c r="T177" s="1">
        <v>0.78430507047573605</v>
      </c>
      <c r="U177" s="2">
        <v>15.913</v>
      </c>
      <c r="V177" s="2">
        <v>12.044</v>
      </c>
      <c r="W177" s="2">
        <v>12.638</v>
      </c>
      <c r="X177" s="1">
        <v>0.45750000000000002</v>
      </c>
      <c r="Y177" s="1">
        <v>0.434</v>
      </c>
      <c r="Z177" s="1">
        <v>0.3715</v>
      </c>
      <c r="AA177" s="2">
        <v>118.53</v>
      </c>
      <c r="AB177" s="27">
        <v>57.491331269349843</v>
      </c>
      <c r="AC177" s="2" t="s">
        <v>40</v>
      </c>
      <c r="AD177" s="2" t="s">
        <v>40</v>
      </c>
      <c r="AE177" s="2" t="s">
        <v>40</v>
      </c>
      <c r="AF177" s="2" t="s">
        <v>40</v>
      </c>
      <c r="AH177" s="21" t="s">
        <v>925</v>
      </c>
      <c r="AI177" s="21" t="s">
        <v>925</v>
      </c>
      <c r="AJ177" s="2" t="s">
        <v>40</v>
      </c>
      <c r="AK177" s="2" t="s">
        <v>40</v>
      </c>
      <c r="AL177" s="20"/>
    </row>
    <row r="178" spans="1:38" x14ac:dyDescent="0.25">
      <c r="A178" s="14" t="s">
        <v>484</v>
      </c>
      <c r="B178" s="14" t="s">
        <v>485</v>
      </c>
      <c r="C178" s="14" t="s">
        <v>486</v>
      </c>
      <c r="D178" s="14" t="s">
        <v>1600</v>
      </c>
      <c r="E178" s="14" t="s">
        <v>1600</v>
      </c>
      <c r="F178" s="1">
        <v>5.9850000000000003</v>
      </c>
      <c r="G178" s="1">
        <v>3.36</v>
      </c>
      <c r="H178" s="1">
        <v>4.41</v>
      </c>
      <c r="I178" s="1">
        <v>2.8250000000000002</v>
      </c>
      <c r="J178" s="1">
        <v>4.4249999999999998</v>
      </c>
      <c r="K178" s="1">
        <v>3.46</v>
      </c>
      <c r="L178" s="1">
        <v>0.84</v>
      </c>
      <c r="M178" s="1">
        <v>0.74</v>
      </c>
      <c r="N178" s="1">
        <v>0.73</v>
      </c>
      <c r="O178" s="1">
        <v>4.6725000000000003</v>
      </c>
      <c r="P178" s="1">
        <v>3.6175000000000002</v>
      </c>
      <c r="Q178" s="1">
        <v>3.9424999999999999</v>
      </c>
      <c r="R178" s="1">
        <v>0.82754220456636873</v>
      </c>
      <c r="S178" s="1">
        <v>0.76788345722650342</v>
      </c>
      <c r="T178" s="1">
        <v>0.62337765436250991</v>
      </c>
      <c r="U178" s="2">
        <v>18.07</v>
      </c>
      <c r="V178" s="2">
        <v>13.17</v>
      </c>
      <c r="W178" s="2">
        <v>16.91</v>
      </c>
      <c r="X178" s="1">
        <v>0.42</v>
      </c>
      <c r="Y178" s="1">
        <v>0.37</v>
      </c>
      <c r="Z178" s="1">
        <v>0.36499999999999999</v>
      </c>
      <c r="AA178" s="2">
        <v>119.5</v>
      </c>
      <c r="AB178" s="27">
        <v>67.900000000000006</v>
      </c>
      <c r="AC178" s="46">
        <v>7772.3370000000004</v>
      </c>
      <c r="AD178" s="2" t="s">
        <v>40</v>
      </c>
      <c r="AE178" s="4" t="s">
        <v>867</v>
      </c>
      <c r="AF178" s="4">
        <v>1.19</v>
      </c>
      <c r="AH178" s="21" t="s">
        <v>925</v>
      </c>
      <c r="AI178" s="21" t="s">
        <v>925</v>
      </c>
      <c r="AJ178" s="22" t="s">
        <v>953</v>
      </c>
      <c r="AK178" s="23" t="s">
        <v>40</v>
      </c>
      <c r="AL178" s="20" t="s">
        <v>1098</v>
      </c>
    </row>
    <row r="179" spans="1:38" x14ac:dyDescent="0.25">
      <c r="A179" s="14" t="s">
        <v>487</v>
      </c>
      <c r="B179" s="14" t="s">
        <v>488</v>
      </c>
      <c r="C179" s="14" t="s">
        <v>489</v>
      </c>
      <c r="D179" s="14" t="s">
        <v>1600</v>
      </c>
      <c r="E179" s="14" t="s">
        <v>1600</v>
      </c>
      <c r="F179" s="1">
        <v>4.1749999999999998</v>
      </c>
      <c r="G179" s="1">
        <v>3.915</v>
      </c>
      <c r="H179" s="1">
        <v>3.2949999999999999</v>
      </c>
      <c r="I179" s="1">
        <v>2.395</v>
      </c>
      <c r="J179" s="1">
        <v>3.8149999999999999</v>
      </c>
      <c r="K179" s="1">
        <v>2.46</v>
      </c>
      <c r="L179" s="1">
        <v>0.67</v>
      </c>
      <c r="M179" s="1">
        <v>0.7</v>
      </c>
      <c r="N179" s="1">
        <v>0.8</v>
      </c>
      <c r="O179" s="1">
        <v>4.0449999999999999</v>
      </c>
      <c r="P179" s="1">
        <v>2.8449999999999998</v>
      </c>
      <c r="Q179" s="1">
        <v>3.1375000000000002</v>
      </c>
      <c r="R179" s="1">
        <v>0.34737971535880202</v>
      </c>
      <c r="S179" s="1">
        <v>0.68678684670031365</v>
      </c>
      <c r="T179" s="1">
        <v>0.76433187325220941</v>
      </c>
      <c r="U179" s="2">
        <v>14.809999999999999</v>
      </c>
      <c r="V179" s="2">
        <v>9.84</v>
      </c>
      <c r="W179" s="2">
        <v>12.370000000000001</v>
      </c>
      <c r="X179" s="1">
        <v>0.33500000000000002</v>
      </c>
      <c r="Y179" s="1">
        <v>0.35</v>
      </c>
      <c r="Z179" s="1">
        <v>0.4</v>
      </c>
      <c r="AA179" s="2">
        <v>112.8</v>
      </c>
      <c r="AB179" s="27">
        <v>53.6</v>
      </c>
      <c r="AC179" s="46">
        <v>4354.0439999999999</v>
      </c>
      <c r="AD179" s="2" t="s">
        <v>40</v>
      </c>
      <c r="AE179" s="4" t="s">
        <v>867</v>
      </c>
      <c r="AF179" s="4">
        <v>1.19</v>
      </c>
      <c r="AH179" s="21" t="s">
        <v>925</v>
      </c>
      <c r="AI179" s="21" t="s">
        <v>925</v>
      </c>
      <c r="AJ179" s="22" t="s">
        <v>953</v>
      </c>
      <c r="AK179" s="23" t="s">
        <v>40</v>
      </c>
      <c r="AL179" s="20" t="s">
        <v>1098</v>
      </c>
    </row>
    <row r="180" spans="1:38" x14ac:dyDescent="0.25">
      <c r="A180" s="14" t="s">
        <v>490</v>
      </c>
      <c r="B180" s="14" t="s">
        <v>48</v>
      </c>
      <c r="C180" s="14" t="s">
        <v>491</v>
      </c>
      <c r="D180" s="14" t="s">
        <v>1600</v>
      </c>
      <c r="E180" s="14" t="s">
        <v>1600</v>
      </c>
      <c r="F180" s="1">
        <v>7.81</v>
      </c>
      <c r="G180" s="1">
        <v>4.5149999999999997</v>
      </c>
      <c r="H180" s="1">
        <v>6.8650000000000002</v>
      </c>
      <c r="I180" s="1">
        <v>5.12</v>
      </c>
      <c r="J180" s="1">
        <v>7.4550000000000001</v>
      </c>
      <c r="K180" s="1">
        <v>4.585</v>
      </c>
      <c r="L180" s="1">
        <v>1.33</v>
      </c>
      <c r="M180" s="1">
        <v>1.3</v>
      </c>
      <c r="N180" s="1">
        <v>1.65</v>
      </c>
      <c r="O180" s="1">
        <v>6.1624999999999996</v>
      </c>
      <c r="P180" s="1">
        <v>5.9924999999999997</v>
      </c>
      <c r="Q180" s="1">
        <v>6.02</v>
      </c>
      <c r="R180" s="1">
        <v>0.81596238661908471</v>
      </c>
      <c r="S180" s="1">
        <v>0.66615638249789422</v>
      </c>
      <c r="T180" s="1">
        <v>0.7885087990691837</v>
      </c>
      <c r="U180" s="2">
        <v>24.38</v>
      </c>
      <c r="V180" s="2">
        <v>21.21</v>
      </c>
      <c r="W180" s="2">
        <v>25.65</v>
      </c>
      <c r="X180" s="1">
        <v>0.66500000000000004</v>
      </c>
      <c r="Y180" s="1">
        <v>0.65</v>
      </c>
      <c r="Z180" s="1">
        <v>0.82499999999999996</v>
      </c>
      <c r="AA180" s="2">
        <v>340.2</v>
      </c>
      <c r="AB180" s="2">
        <v>161.80000000000001</v>
      </c>
      <c r="AC180" s="46">
        <v>174459.9</v>
      </c>
      <c r="AD180" s="2" t="s">
        <v>40</v>
      </c>
      <c r="AE180" s="4" t="s">
        <v>867</v>
      </c>
      <c r="AF180" s="4">
        <v>1.19</v>
      </c>
      <c r="AH180" s="21" t="s">
        <v>925</v>
      </c>
      <c r="AI180" s="21" t="s">
        <v>925</v>
      </c>
      <c r="AJ180" s="22" t="s">
        <v>953</v>
      </c>
      <c r="AK180" s="23" t="s">
        <v>40</v>
      </c>
      <c r="AL180" s="20" t="s">
        <v>1098</v>
      </c>
    </row>
    <row r="181" spans="1:38" x14ac:dyDescent="0.25">
      <c r="A181" s="14" t="s">
        <v>492</v>
      </c>
      <c r="B181" s="14" t="s">
        <v>493</v>
      </c>
      <c r="C181" s="14" t="s">
        <v>494</v>
      </c>
      <c r="D181" s="14" t="s">
        <v>1601</v>
      </c>
      <c r="E181" s="14" t="s">
        <v>1601</v>
      </c>
      <c r="F181" s="1">
        <v>4.0194999999999999</v>
      </c>
      <c r="G181" s="1">
        <v>2.492</v>
      </c>
      <c r="H181" s="1">
        <v>2.923</v>
      </c>
      <c r="I181" s="1">
        <v>2.0354999999999999</v>
      </c>
      <c r="J181" s="1">
        <v>2.8820000000000001</v>
      </c>
      <c r="K181" s="1">
        <v>2.5385</v>
      </c>
      <c r="L181" s="1">
        <v>0.58699999999999997</v>
      </c>
      <c r="M181" s="1">
        <v>0.57799999999999996</v>
      </c>
      <c r="N181" s="1">
        <v>0.56000000000000005</v>
      </c>
      <c r="O181" s="1">
        <v>3.2557499999999999</v>
      </c>
      <c r="P181" s="1">
        <v>2.47925</v>
      </c>
      <c r="Q181" s="1">
        <v>2.7102500000000003</v>
      </c>
      <c r="R181" s="1">
        <v>0.78461950278207726</v>
      </c>
      <c r="S181" s="1">
        <v>0.71767947222387574</v>
      </c>
      <c r="T181" s="1">
        <v>0.47346629566009413</v>
      </c>
      <c r="U181" s="2">
        <v>10.946</v>
      </c>
      <c r="V181" s="2">
        <v>8.9120000000000008</v>
      </c>
      <c r="W181" s="2">
        <v>11.023999999999999</v>
      </c>
      <c r="X181" s="1">
        <v>0.29349999999999998</v>
      </c>
      <c r="Y181" s="1">
        <v>0.28899999999999998</v>
      </c>
      <c r="Z181" s="1">
        <v>0.28000000000000003</v>
      </c>
      <c r="AA181" s="2">
        <v>63.6</v>
      </c>
      <c r="AB181" s="2">
        <v>44.5</v>
      </c>
      <c r="AC181" s="46">
        <v>1472.1030000000001</v>
      </c>
      <c r="AD181" s="2" t="s">
        <v>40</v>
      </c>
      <c r="AE181" s="4" t="s">
        <v>867</v>
      </c>
      <c r="AF181" s="4">
        <v>1.19</v>
      </c>
      <c r="AH181" s="21" t="s">
        <v>925</v>
      </c>
      <c r="AI181" s="21" t="s">
        <v>925</v>
      </c>
      <c r="AJ181" s="22" t="s">
        <v>953</v>
      </c>
      <c r="AK181" s="23" t="s">
        <v>40</v>
      </c>
      <c r="AL181" s="20" t="s">
        <v>1098</v>
      </c>
    </row>
    <row r="182" spans="1:38" x14ac:dyDescent="0.25">
      <c r="A182" s="14" t="s">
        <v>495</v>
      </c>
      <c r="B182" s="14" t="s">
        <v>496</v>
      </c>
      <c r="C182" s="14" t="s">
        <v>497</v>
      </c>
      <c r="D182" s="14" t="s">
        <v>1601</v>
      </c>
      <c r="E182" s="14" t="s">
        <v>1601</v>
      </c>
      <c r="F182" s="1">
        <v>6.1585000000000001</v>
      </c>
      <c r="G182" s="1">
        <v>3.8140000000000001</v>
      </c>
      <c r="H182" s="1">
        <v>5.7039999999999997</v>
      </c>
      <c r="I182" s="1">
        <v>2.9104999999999999</v>
      </c>
      <c r="J182" s="1">
        <v>4.5884999999999998</v>
      </c>
      <c r="K182" s="1">
        <v>4.3555000000000001</v>
      </c>
      <c r="L182" s="1">
        <v>0.96399999999999997</v>
      </c>
      <c r="M182" s="1">
        <v>0.9</v>
      </c>
      <c r="N182" s="1">
        <v>0.92900000000000005</v>
      </c>
      <c r="O182" s="1">
        <v>4.9862500000000001</v>
      </c>
      <c r="P182" s="1">
        <v>4.3072499999999998</v>
      </c>
      <c r="Q182" s="1">
        <v>4.4719999999999995</v>
      </c>
      <c r="R182" s="1">
        <v>0.78514920497654195</v>
      </c>
      <c r="S182" s="1">
        <v>0.86002258955227795</v>
      </c>
      <c r="T182" s="1">
        <v>0.31461043249118348</v>
      </c>
      <c r="U182" s="2">
        <v>17.841999999999999</v>
      </c>
      <c r="V182" s="2">
        <v>16.044</v>
      </c>
      <c r="W182" s="2">
        <v>18.882000000000001</v>
      </c>
      <c r="X182" s="1">
        <v>0.48199999999999998</v>
      </c>
      <c r="Y182" s="1">
        <v>0.45</v>
      </c>
      <c r="Z182" s="1">
        <v>0.46450000000000002</v>
      </c>
      <c r="AA182" s="2">
        <v>99.8</v>
      </c>
      <c r="AB182" s="2">
        <v>70.599999999999994</v>
      </c>
      <c r="AC182" s="46">
        <v>6799.1769999999997</v>
      </c>
      <c r="AD182" s="2" t="s">
        <v>40</v>
      </c>
      <c r="AE182" s="4" t="s">
        <v>867</v>
      </c>
      <c r="AF182" s="4">
        <v>1.19</v>
      </c>
      <c r="AH182" s="21" t="s">
        <v>925</v>
      </c>
      <c r="AI182" s="21" t="s">
        <v>1108</v>
      </c>
      <c r="AJ182" s="22" t="s">
        <v>953</v>
      </c>
      <c r="AK182" s="23" t="s">
        <v>40</v>
      </c>
      <c r="AL182" s="20" t="s">
        <v>1098</v>
      </c>
    </row>
    <row r="183" spans="1:38" x14ac:dyDescent="0.25">
      <c r="A183" s="14" t="s">
        <v>498</v>
      </c>
      <c r="B183" s="14" t="s">
        <v>499</v>
      </c>
      <c r="C183" s="14" t="s">
        <v>500</v>
      </c>
      <c r="D183" s="14" t="s">
        <v>1601</v>
      </c>
      <c r="E183" s="14" t="s">
        <v>1601</v>
      </c>
      <c r="F183" s="1">
        <v>2.1909999999999998</v>
      </c>
      <c r="G183" s="1">
        <v>1.1910000000000001</v>
      </c>
      <c r="H183" s="1">
        <v>1.819</v>
      </c>
      <c r="I183" s="1">
        <v>1.135</v>
      </c>
      <c r="J183" s="1">
        <v>1.222</v>
      </c>
      <c r="K183" s="1">
        <v>1.1815</v>
      </c>
      <c r="L183" s="1">
        <v>0.42099999999999999</v>
      </c>
      <c r="M183" s="1">
        <v>0.35299999999999998</v>
      </c>
      <c r="N183" s="1">
        <v>0.41599999999999998</v>
      </c>
      <c r="O183" s="1">
        <v>1.6909999999999998</v>
      </c>
      <c r="P183" s="1">
        <v>1.4769999999999999</v>
      </c>
      <c r="Q183" s="1">
        <v>1.2017500000000001</v>
      </c>
      <c r="R183" s="1">
        <v>0.83935256911879297</v>
      </c>
      <c r="S183" s="1">
        <v>0.7814489235789589</v>
      </c>
      <c r="T183" s="1">
        <v>0.25531619820780105</v>
      </c>
      <c r="U183" s="2">
        <v>6.269000000000001</v>
      </c>
      <c r="V183" s="2">
        <v>5.4179999999999993</v>
      </c>
      <c r="W183" s="2">
        <v>6.1130000000000004</v>
      </c>
      <c r="X183" s="1">
        <v>0.21049999999999999</v>
      </c>
      <c r="Y183" s="1">
        <v>0.17649999999999999</v>
      </c>
      <c r="Z183" s="1">
        <v>0.20799999999999999</v>
      </c>
      <c r="AA183" s="2">
        <v>40.4</v>
      </c>
      <c r="AB183" s="2">
        <v>32</v>
      </c>
      <c r="AC183" s="46">
        <v>422.1925</v>
      </c>
      <c r="AD183" s="2" t="s">
        <v>40</v>
      </c>
      <c r="AE183" s="4" t="s">
        <v>867</v>
      </c>
      <c r="AF183" s="4">
        <v>1.19</v>
      </c>
      <c r="AH183" s="21" t="s">
        <v>925</v>
      </c>
      <c r="AI183" s="21" t="s">
        <v>924</v>
      </c>
      <c r="AJ183" s="22" t="s">
        <v>953</v>
      </c>
      <c r="AK183" s="23" t="s">
        <v>40</v>
      </c>
      <c r="AL183" s="20" t="s">
        <v>1098</v>
      </c>
    </row>
    <row r="184" spans="1:38" x14ac:dyDescent="0.25">
      <c r="A184" s="14" t="s">
        <v>501</v>
      </c>
      <c r="B184" s="14" t="s">
        <v>502</v>
      </c>
      <c r="C184" s="14" t="s">
        <v>503</v>
      </c>
      <c r="D184" s="14" t="s">
        <v>1601</v>
      </c>
      <c r="E184" s="14" t="s">
        <v>1601</v>
      </c>
      <c r="F184" s="1">
        <v>4.7919999999999998</v>
      </c>
      <c r="G184" s="1">
        <v>3.1044999999999998</v>
      </c>
      <c r="H184" s="1">
        <v>4.0575000000000001</v>
      </c>
      <c r="I184" s="1">
        <v>2.8</v>
      </c>
      <c r="J184" s="1">
        <v>3.3165</v>
      </c>
      <c r="K184" s="1">
        <v>2.9415</v>
      </c>
      <c r="L184" s="1">
        <v>0.60599999999999998</v>
      </c>
      <c r="M184" s="1">
        <v>0.54700000000000004</v>
      </c>
      <c r="N184" s="1">
        <v>0.72599999999999998</v>
      </c>
      <c r="O184" s="1">
        <v>3.9482499999999998</v>
      </c>
      <c r="P184" s="1">
        <v>3.42875</v>
      </c>
      <c r="Q184" s="1">
        <v>3.129</v>
      </c>
      <c r="R184" s="1">
        <v>0.76176743197175822</v>
      </c>
      <c r="S184" s="1">
        <v>0.72373300155503129</v>
      </c>
      <c r="T184" s="1">
        <v>0.4619057958095627</v>
      </c>
      <c r="U184" s="2">
        <v>14.351000000000001</v>
      </c>
      <c r="V184" s="2">
        <v>12.255000000000001</v>
      </c>
      <c r="W184" s="2">
        <v>14.18</v>
      </c>
      <c r="X184" s="1">
        <v>0.30299999999999999</v>
      </c>
      <c r="Y184" s="1">
        <v>0.27350000000000002</v>
      </c>
      <c r="Z184" s="1">
        <v>0.36299999999999999</v>
      </c>
      <c r="AA184" s="2">
        <v>86.6</v>
      </c>
      <c r="AB184" s="2">
        <v>68.599999999999994</v>
      </c>
      <c r="AC184" s="46">
        <v>5403.7209999999995</v>
      </c>
      <c r="AD184" s="2" t="s">
        <v>40</v>
      </c>
      <c r="AE184" s="4" t="s">
        <v>867</v>
      </c>
      <c r="AF184" s="4">
        <v>1.19</v>
      </c>
      <c r="AH184" s="21" t="s">
        <v>925</v>
      </c>
      <c r="AI184" s="21" t="s">
        <v>924</v>
      </c>
      <c r="AJ184" s="22" t="s">
        <v>953</v>
      </c>
      <c r="AK184" s="23" t="s">
        <v>40</v>
      </c>
      <c r="AL184" s="20" t="s">
        <v>1098</v>
      </c>
    </row>
    <row r="185" spans="1:38" x14ac:dyDescent="0.25">
      <c r="A185" s="14" t="s">
        <v>504</v>
      </c>
      <c r="B185" s="14" t="s">
        <v>505</v>
      </c>
      <c r="C185" s="14" t="s">
        <v>506</v>
      </c>
      <c r="D185" s="14" t="s">
        <v>1601</v>
      </c>
      <c r="E185" s="14" t="s">
        <v>1601</v>
      </c>
      <c r="F185" s="1">
        <v>3.4135</v>
      </c>
      <c r="G185" s="1">
        <v>2.359</v>
      </c>
      <c r="H185" s="1">
        <v>3.4805000000000001</v>
      </c>
      <c r="I185" s="1">
        <v>2.4594999999999998</v>
      </c>
      <c r="J185" s="1">
        <v>2.7155</v>
      </c>
      <c r="K185" s="1">
        <v>2.5575000000000001</v>
      </c>
      <c r="L185" s="1">
        <v>0.625</v>
      </c>
      <c r="M185" s="1">
        <v>0.63200000000000001</v>
      </c>
      <c r="N185" s="1">
        <v>0.83</v>
      </c>
      <c r="O185" s="1">
        <v>2.88625</v>
      </c>
      <c r="P185" s="1">
        <v>2.9699999999999998</v>
      </c>
      <c r="Q185" s="1">
        <v>2.6364999999999998</v>
      </c>
      <c r="R185" s="1">
        <v>0.72277871672971516</v>
      </c>
      <c r="S185" s="1">
        <v>0.70756192602253698</v>
      </c>
      <c r="T185" s="1">
        <v>0.33613026819460146</v>
      </c>
      <c r="U185" s="2">
        <v>10.525</v>
      </c>
      <c r="V185" s="2">
        <v>9.6289999999999996</v>
      </c>
      <c r="W185" s="2">
        <v>12.340999999999999</v>
      </c>
      <c r="X185" s="1">
        <v>0.3125</v>
      </c>
      <c r="Y185" s="1">
        <v>0.316</v>
      </c>
      <c r="Z185" s="1">
        <v>0.41499999999999998</v>
      </c>
      <c r="AA185" s="2">
        <v>63.5</v>
      </c>
      <c r="AB185" s="2">
        <v>46.9</v>
      </c>
      <c r="AC185" s="46">
        <v>1646.0940000000001</v>
      </c>
      <c r="AD185" s="2" t="s">
        <v>40</v>
      </c>
      <c r="AE185" s="4" t="s">
        <v>867</v>
      </c>
      <c r="AF185" s="4">
        <v>1.19</v>
      </c>
      <c r="AH185" s="21" t="s">
        <v>925</v>
      </c>
      <c r="AI185" s="21" t="s">
        <v>925</v>
      </c>
      <c r="AJ185" s="22" t="s">
        <v>953</v>
      </c>
      <c r="AK185" s="23" t="s">
        <v>40</v>
      </c>
      <c r="AL185" s="20" t="s">
        <v>1098</v>
      </c>
    </row>
    <row r="186" spans="1:38" x14ac:dyDescent="0.25">
      <c r="A186" s="14" t="s">
        <v>507</v>
      </c>
      <c r="B186" s="14" t="s">
        <v>508</v>
      </c>
      <c r="C186" s="14" t="s">
        <v>509</v>
      </c>
      <c r="D186" s="14" t="s">
        <v>1601</v>
      </c>
      <c r="E186" s="14" t="s">
        <v>1601</v>
      </c>
      <c r="F186" s="1">
        <v>11.961333333333334</v>
      </c>
      <c r="G186" s="1">
        <v>6.7423333333333337</v>
      </c>
      <c r="H186" s="1">
        <v>10.583011312329221</v>
      </c>
      <c r="I186" s="1">
        <v>5.5438574512917391</v>
      </c>
      <c r="J186" s="1">
        <v>9.0276666666666667</v>
      </c>
      <c r="K186" s="1">
        <v>6.6420000000000003</v>
      </c>
      <c r="L186" s="1">
        <v>1.2966666666666666</v>
      </c>
      <c r="M186" s="1">
        <v>1.3766666666666667</v>
      </c>
      <c r="N186" s="1">
        <v>1.3133333333333332</v>
      </c>
      <c r="O186" s="1">
        <v>9.3518333333333334</v>
      </c>
      <c r="P186" s="1">
        <v>8.063434381810481</v>
      </c>
      <c r="Q186" s="1">
        <v>7.8348333333333331</v>
      </c>
      <c r="R186" s="1">
        <v>0.81876123022897751</v>
      </c>
      <c r="S186" s="1">
        <v>0.84725611849396432</v>
      </c>
      <c r="T186" s="1">
        <v>0.67403371864885442</v>
      </c>
      <c r="U186" s="2">
        <v>34.042666666666669</v>
      </c>
      <c r="V186" s="2">
        <v>27.075600518121874</v>
      </c>
      <c r="W186" s="2">
        <v>33.244</v>
      </c>
      <c r="X186" s="1">
        <v>0.64833333333333332</v>
      </c>
      <c r="Y186" s="1">
        <v>0.68833333333333335</v>
      </c>
      <c r="Z186" s="1">
        <v>0.65666666666666662</v>
      </c>
      <c r="AA186" s="2">
        <v>260</v>
      </c>
      <c r="AB186" s="2">
        <v>174.2</v>
      </c>
      <c r="AC186" s="46">
        <v>148502.9</v>
      </c>
      <c r="AD186" s="2" t="s">
        <v>40</v>
      </c>
      <c r="AE186" s="4" t="s">
        <v>867</v>
      </c>
      <c r="AF186" s="4">
        <v>1.19</v>
      </c>
      <c r="AH186" s="21" t="s">
        <v>1151</v>
      </c>
      <c r="AI186" s="21" t="s">
        <v>1156</v>
      </c>
      <c r="AJ186" s="22" t="s">
        <v>953</v>
      </c>
      <c r="AK186" s="23" t="s">
        <v>40</v>
      </c>
      <c r="AL186" s="20" t="s">
        <v>1098</v>
      </c>
    </row>
    <row r="187" spans="1:38" x14ac:dyDescent="0.25">
      <c r="A187" s="15" t="s">
        <v>40</v>
      </c>
      <c r="B187" s="15" t="s">
        <v>40</v>
      </c>
      <c r="C187" s="14" t="s">
        <v>1131</v>
      </c>
      <c r="D187" s="14" t="s">
        <v>1601</v>
      </c>
      <c r="E187" s="14" t="s">
        <v>1601</v>
      </c>
      <c r="F187" s="1">
        <v>12.192</v>
      </c>
      <c r="G187" s="1">
        <v>7.5830000000000002</v>
      </c>
      <c r="H187" s="1">
        <v>10.78</v>
      </c>
      <c r="I187" s="1">
        <v>6.4969999999999999</v>
      </c>
      <c r="J187" s="1">
        <v>9.3510000000000009</v>
      </c>
      <c r="K187" s="1">
        <v>7.4509999999999996</v>
      </c>
      <c r="L187" s="1">
        <v>1.484</v>
      </c>
      <c r="M187" s="1">
        <v>1.6379999999999999</v>
      </c>
      <c r="N187" s="1">
        <v>1.3939999999999999</v>
      </c>
      <c r="O187" s="1">
        <v>9.8874999999999993</v>
      </c>
      <c r="P187" s="1">
        <v>8.6385000000000005</v>
      </c>
      <c r="Q187" s="1">
        <v>8.4009999999999998</v>
      </c>
      <c r="R187" s="1">
        <v>0.78304486541816909</v>
      </c>
      <c r="S187" s="1">
        <v>0.79797528948619978</v>
      </c>
      <c r="T187" s="1">
        <v>0.60422575586317595</v>
      </c>
      <c r="U187" s="2">
        <v>35.299999999999997</v>
      </c>
      <c r="V187" s="2">
        <v>28.82</v>
      </c>
      <c r="W187" s="2">
        <v>36.094000000000001</v>
      </c>
      <c r="X187" s="1">
        <v>0.74199999999999999</v>
      </c>
      <c r="Y187" s="1">
        <v>0.81899999999999995</v>
      </c>
      <c r="Z187" s="1">
        <v>0.69699999999999995</v>
      </c>
      <c r="AA187" s="27" t="s">
        <v>40</v>
      </c>
      <c r="AB187" s="2" t="s">
        <v>40</v>
      </c>
      <c r="AC187" s="2" t="s">
        <v>40</v>
      </c>
      <c r="AD187" s="2" t="s">
        <v>40</v>
      </c>
      <c r="AE187" s="2" t="s">
        <v>40</v>
      </c>
      <c r="AF187" s="2" t="s">
        <v>40</v>
      </c>
      <c r="AH187" s="2" t="s">
        <v>40</v>
      </c>
      <c r="AI187" s="2" t="s">
        <v>40</v>
      </c>
      <c r="AJ187" s="2" t="s">
        <v>40</v>
      </c>
      <c r="AK187" s="2" t="s">
        <v>40</v>
      </c>
      <c r="AL187" s="20"/>
    </row>
    <row r="188" spans="1:38" x14ac:dyDescent="0.25">
      <c r="A188" s="15" t="s">
        <v>40</v>
      </c>
      <c r="B188" s="15" t="s">
        <v>40</v>
      </c>
      <c r="C188" s="14" t="s">
        <v>1132</v>
      </c>
      <c r="D188" s="14" t="s">
        <v>1601</v>
      </c>
      <c r="E188" s="14" t="s">
        <v>1601</v>
      </c>
      <c r="F188" s="1">
        <v>12.507</v>
      </c>
      <c r="G188" s="1">
        <v>5.673</v>
      </c>
      <c r="H188" s="1">
        <v>11.353</v>
      </c>
      <c r="I188" s="1">
        <v>5.0220000000000002</v>
      </c>
      <c r="J188" s="1">
        <v>8.8450000000000006</v>
      </c>
      <c r="K188" s="1">
        <v>6.5270000000000001</v>
      </c>
      <c r="L188" s="1">
        <v>1.1599999999999999</v>
      </c>
      <c r="M188" s="1">
        <v>1.246</v>
      </c>
      <c r="N188" s="1">
        <v>1.1359999999999999</v>
      </c>
      <c r="O188" s="1">
        <v>9.09</v>
      </c>
      <c r="P188" s="1">
        <v>8.1875</v>
      </c>
      <c r="Q188" s="1">
        <v>7.6859999999999999</v>
      </c>
      <c r="R188" s="1">
        <v>0.89121251562260972</v>
      </c>
      <c r="S188" s="1">
        <v>0.89684248473912953</v>
      </c>
      <c r="T188" s="1">
        <v>0.6748761281503487</v>
      </c>
      <c r="U188" s="2">
        <v>33.886000000000003</v>
      </c>
      <c r="V188" s="2">
        <v>27.404</v>
      </c>
      <c r="W188" s="2">
        <v>33.095999999999997</v>
      </c>
      <c r="X188" s="1">
        <v>0.57999999999999996</v>
      </c>
      <c r="Y188" s="1">
        <v>0.623</v>
      </c>
      <c r="Z188" s="1">
        <v>0.56799999999999995</v>
      </c>
      <c r="AA188" s="27" t="s">
        <v>40</v>
      </c>
      <c r="AB188" s="2" t="s">
        <v>40</v>
      </c>
      <c r="AC188" s="2" t="s">
        <v>40</v>
      </c>
      <c r="AD188" s="2" t="s">
        <v>40</v>
      </c>
      <c r="AE188" s="2" t="s">
        <v>40</v>
      </c>
      <c r="AF188" s="2" t="s">
        <v>40</v>
      </c>
      <c r="AH188" s="2" t="s">
        <v>40</v>
      </c>
      <c r="AI188" s="2" t="s">
        <v>40</v>
      </c>
      <c r="AJ188" s="2" t="s">
        <v>40</v>
      </c>
      <c r="AK188" s="2" t="s">
        <v>40</v>
      </c>
      <c r="AL188" s="20"/>
    </row>
    <row r="189" spans="1:38" x14ac:dyDescent="0.25">
      <c r="A189" s="15" t="s">
        <v>40</v>
      </c>
      <c r="B189" s="15" t="s">
        <v>40</v>
      </c>
      <c r="C189" s="14" t="s">
        <v>1133</v>
      </c>
      <c r="D189" s="14" t="s">
        <v>1601</v>
      </c>
      <c r="E189" s="14" t="s">
        <v>1601</v>
      </c>
      <c r="F189" s="1">
        <v>11.185</v>
      </c>
      <c r="G189" s="1">
        <v>6.9710000000000001</v>
      </c>
      <c r="H189" s="1">
        <v>9.6160339369876642</v>
      </c>
      <c r="I189" s="1">
        <v>5.1125723538752164</v>
      </c>
      <c r="J189" s="1">
        <v>8.8870000000000005</v>
      </c>
      <c r="K189" s="1">
        <v>5.9480000000000004</v>
      </c>
      <c r="L189" s="1">
        <v>1.246</v>
      </c>
      <c r="M189" s="1">
        <v>1.246</v>
      </c>
      <c r="N189" s="1">
        <v>1.41</v>
      </c>
      <c r="O189" s="1">
        <v>9.0779999999999994</v>
      </c>
      <c r="P189" s="1">
        <v>7.3643031454314407</v>
      </c>
      <c r="Q189" s="1">
        <v>7.4175000000000004</v>
      </c>
      <c r="R189" s="1">
        <v>0.78202630964615349</v>
      </c>
      <c r="S189" s="1">
        <v>0.84695058125656375</v>
      </c>
      <c r="T189" s="1">
        <v>0.74299927193303872</v>
      </c>
      <c r="U189" s="2">
        <v>32.942</v>
      </c>
      <c r="V189" s="2">
        <v>25.002801554365618</v>
      </c>
      <c r="W189" s="2">
        <v>30.542000000000002</v>
      </c>
      <c r="X189" s="1">
        <v>0.623</v>
      </c>
      <c r="Y189" s="1">
        <v>0.623</v>
      </c>
      <c r="Z189" s="1">
        <v>0.70499999999999996</v>
      </c>
      <c r="AA189" s="27" t="s">
        <v>40</v>
      </c>
      <c r="AB189" s="2" t="s">
        <v>40</v>
      </c>
      <c r="AC189" s="2" t="s">
        <v>40</v>
      </c>
      <c r="AD189" s="2" t="s">
        <v>40</v>
      </c>
      <c r="AE189" s="2" t="s">
        <v>40</v>
      </c>
      <c r="AF189" s="2" t="s">
        <v>40</v>
      </c>
      <c r="AH189" s="2" t="s">
        <v>40</v>
      </c>
      <c r="AI189" s="2" t="s">
        <v>40</v>
      </c>
      <c r="AJ189" s="2" t="s">
        <v>40</v>
      </c>
      <c r="AK189" s="2" t="s">
        <v>40</v>
      </c>
      <c r="AL189" s="20"/>
    </row>
    <row r="190" spans="1:38" x14ac:dyDescent="0.25">
      <c r="A190" s="14" t="s">
        <v>507</v>
      </c>
      <c r="B190" s="14" t="s">
        <v>510</v>
      </c>
      <c r="C190" s="14" t="s">
        <v>511</v>
      </c>
      <c r="D190" s="14" t="s">
        <v>1601</v>
      </c>
      <c r="E190" s="14" t="s">
        <v>1601</v>
      </c>
      <c r="F190" s="1">
        <v>6.8979999999999997</v>
      </c>
      <c r="G190" s="1">
        <v>3.6092500000000003</v>
      </c>
      <c r="H190" s="1">
        <v>5.6437499999999998</v>
      </c>
      <c r="I190" s="1">
        <v>3.3617499999999998</v>
      </c>
      <c r="J190" s="1">
        <v>5.8047500000000003</v>
      </c>
      <c r="K190" s="1">
        <v>3.0342500000000001</v>
      </c>
      <c r="L190" s="1">
        <v>1.1575000000000002</v>
      </c>
      <c r="M190" s="1">
        <v>0.90429999999999999</v>
      </c>
      <c r="N190" s="1">
        <v>1.0823</v>
      </c>
      <c r="O190" s="1">
        <v>5.2536249999999995</v>
      </c>
      <c r="P190" s="1">
        <v>4.5027500000000007</v>
      </c>
      <c r="Q190" s="1">
        <v>4.4195000000000002</v>
      </c>
      <c r="R190" s="1">
        <v>0.84407182894185295</v>
      </c>
      <c r="S190" s="1">
        <v>0.80237797429917679</v>
      </c>
      <c r="T190" s="1">
        <v>0.85510530356694958</v>
      </c>
      <c r="U190" s="2">
        <v>21.646999999999998</v>
      </c>
      <c r="V190" s="2">
        <v>18.312999999999999</v>
      </c>
      <c r="W190" s="2">
        <v>23.910499999999999</v>
      </c>
      <c r="X190" s="1">
        <v>0.5787500000000001</v>
      </c>
      <c r="Y190" s="1">
        <v>0.45215</v>
      </c>
      <c r="Z190" s="1">
        <v>0.54115000000000002</v>
      </c>
      <c r="AA190" s="2">
        <v>151.5</v>
      </c>
      <c r="AB190" s="2">
        <v>101.2</v>
      </c>
      <c r="AC190" s="46">
        <v>24248.99</v>
      </c>
      <c r="AD190" s="2" t="s">
        <v>40</v>
      </c>
      <c r="AE190" s="4" t="s">
        <v>867</v>
      </c>
      <c r="AF190" s="4">
        <v>1.19</v>
      </c>
      <c r="AH190" s="21" t="s">
        <v>1150</v>
      </c>
      <c r="AI190" s="21" t="s">
        <v>924</v>
      </c>
      <c r="AJ190" s="22" t="s">
        <v>953</v>
      </c>
      <c r="AK190" s="23" t="s">
        <v>40</v>
      </c>
      <c r="AL190" s="20" t="s">
        <v>1098</v>
      </c>
    </row>
    <row r="191" spans="1:38" x14ac:dyDescent="0.25">
      <c r="A191" s="15" t="s">
        <v>40</v>
      </c>
      <c r="B191" s="15" t="s">
        <v>40</v>
      </c>
      <c r="C191" s="14" t="s">
        <v>1134</v>
      </c>
      <c r="D191" s="14" t="s">
        <v>1601</v>
      </c>
      <c r="E191" s="14" t="s">
        <v>1601</v>
      </c>
      <c r="F191" s="1">
        <v>8.2240000000000002</v>
      </c>
      <c r="G191" s="1">
        <v>3.9685000000000006</v>
      </c>
      <c r="H191" s="1">
        <v>5.7024999999999997</v>
      </c>
      <c r="I191" s="1">
        <v>3.2494999999999994</v>
      </c>
      <c r="J191" s="1">
        <v>6.7565000000000008</v>
      </c>
      <c r="K191" s="1">
        <v>3.7410000000000001</v>
      </c>
      <c r="L191" s="1">
        <v>1.2600000000000005</v>
      </c>
      <c r="M191" s="1">
        <v>0.90359999999999996</v>
      </c>
      <c r="N191" s="1">
        <v>1.2086000000000001</v>
      </c>
      <c r="O191" s="1">
        <v>6.0962500000000004</v>
      </c>
      <c r="P191" s="1">
        <v>4.4759999999999991</v>
      </c>
      <c r="Q191" s="1">
        <v>5.2487500000000002</v>
      </c>
      <c r="R191" s="1">
        <v>0.87586783523788703</v>
      </c>
      <c r="S191" s="1">
        <v>0.82175719807208325</v>
      </c>
      <c r="T191" s="1">
        <v>0.8327235116055296</v>
      </c>
      <c r="U191" s="2">
        <v>26.926999999999996</v>
      </c>
      <c r="V191" s="2">
        <v>21.928999999999998</v>
      </c>
      <c r="W191" s="2">
        <v>29.305</v>
      </c>
      <c r="X191" s="1">
        <v>0.63000000000000023</v>
      </c>
      <c r="Y191" s="1">
        <v>0.37680000000000002</v>
      </c>
      <c r="Z191" s="1">
        <v>0.55480000000000007</v>
      </c>
      <c r="AA191" s="2">
        <v>155.80000000000001</v>
      </c>
      <c r="AB191" s="2" t="s">
        <v>40</v>
      </c>
      <c r="AC191" s="2" t="s">
        <v>40</v>
      </c>
      <c r="AD191" s="2" t="s">
        <v>40</v>
      </c>
      <c r="AE191" s="2" t="s">
        <v>40</v>
      </c>
      <c r="AF191" s="2" t="s">
        <v>40</v>
      </c>
      <c r="AH191" s="21" t="s">
        <v>925</v>
      </c>
      <c r="AI191" s="2" t="s">
        <v>40</v>
      </c>
      <c r="AJ191" s="2" t="s">
        <v>40</v>
      </c>
      <c r="AK191" s="2" t="s">
        <v>40</v>
      </c>
      <c r="AL191" s="20"/>
    </row>
    <row r="192" spans="1:38" x14ac:dyDescent="0.25">
      <c r="A192" s="15" t="s">
        <v>40</v>
      </c>
      <c r="B192" s="15" t="s">
        <v>40</v>
      </c>
      <c r="C192" s="14" t="s">
        <v>1135</v>
      </c>
      <c r="D192" s="14" t="s">
        <v>1601</v>
      </c>
      <c r="E192" s="14" t="s">
        <v>1601</v>
      </c>
      <c r="F192" s="1">
        <v>5.5720000000000001</v>
      </c>
      <c r="G192" s="1">
        <v>3.25</v>
      </c>
      <c r="H192" s="1">
        <v>5.585</v>
      </c>
      <c r="I192" s="1">
        <v>3.4740000000000002</v>
      </c>
      <c r="J192" s="1">
        <v>4.8529999999999998</v>
      </c>
      <c r="K192" s="1">
        <v>2.3275000000000001</v>
      </c>
      <c r="L192" s="1">
        <v>1.0549999999999999</v>
      </c>
      <c r="M192" s="1">
        <v>0.90500000000000003</v>
      </c>
      <c r="N192" s="1">
        <v>0.95599999999999996</v>
      </c>
      <c r="O192" s="1">
        <v>4.4109999999999996</v>
      </c>
      <c r="P192" s="1">
        <v>4.5295000000000005</v>
      </c>
      <c r="Q192" s="1">
        <v>3.5902500000000002</v>
      </c>
      <c r="R192" s="1">
        <v>0.81227582264581888</v>
      </c>
      <c r="S192" s="1">
        <v>0.78299875052627033</v>
      </c>
      <c r="T192" s="1">
        <v>0.87748709552836945</v>
      </c>
      <c r="U192" s="2">
        <v>16.367000000000001</v>
      </c>
      <c r="V192" s="2">
        <v>14.696999999999999</v>
      </c>
      <c r="W192" s="2">
        <v>18.515999999999998</v>
      </c>
      <c r="X192" s="1">
        <v>0.52749999999999997</v>
      </c>
      <c r="Y192" s="1">
        <v>0.52749999999999997</v>
      </c>
      <c r="Z192" s="1">
        <v>0.52749999999999997</v>
      </c>
      <c r="AA192" s="2">
        <v>147.19999999999999</v>
      </c>
      <c r="AB192" s="2" t="s">
        <v>40</v>
      </c>
      <c r="AC192" s="2" t="s">
        <v>40</v>
      </c>
      <c r="AD192" s="2" t="s">
        <v>40</v>
      </c>
      <c r="AE192" s="2" t="s">
        <v>40</v>
      </c>
      <c r="AF192" s="2" t="s">
        <v>40</v>
      </c>
      <c r="AH192" s="21" t="s">
        <v>925</v>
      </c>
      <c r="AI192" s="2" t="s">
        <v>40</v>
      </c>
      <c r="AJ192" s="2" t="s">
        <v>40</v>
      </c>
      <c r="AK192" s="2" t="s">
        <v>40</v>
      </c>
      <c r="AL192" s="20"/>
    </row>
    <row r="193" spans="1:38" x14ac:dyDescent="0.25">
      <c r="A193" s="14" t="s">
        <v>512</v>
      </c>
      <c r="B193" s="14" t="s">
        <v>513</v>
      </c>
      <c r="C193" s="14" t="s">
        <v>514</v>
      </c>
      <c r="D193" s="14" t="s">
        <v>1601</v>
      </c>
      <c r="E193" s="14" t="s">
        <v>1601</v>
      </c>
      <c r="F193" s="1">
        <v>6.46</v>
      </c>
      <c r="G193" s="1">
        <v>3.71</v>
      </c>
      <c r="H193" s="1">
        <v>6.5</v>
      </c>
      <c r="I193" s="1">
        <v>3.42</v>
      </c>
      <c r="J193" s="1">
        <v>5.73</v>
      </c>
      <c r="K193" s="1">
        <v>3.76</v>
      </c>
      <c r="L193" s="1">
        <v>0.89</v>
      </c>
      <c r="M193" s="1">
        <v>0.92</v>
      </c>
      <c r="N193" s="1">
        <v>1.24</v>
      </c>
      <c r="O193" s="1">
        <v>5.085</v>
      </c>
      <c r="P193" s="1">
        <v>4.96</v>
      </c>
      <c r="Q193" s="1">
        <v>4.7450000000000001</v>
      </c>
      <c r="R193" s="1">
        <v>0.8186425339227954</v>
      </c>
      <c r="S193" s="1">
        <v>0.85038939914460054</v>
      </c>
      <c r="T193" s="1">
        <v>0.75459095874721493</v>
      </c>
      <c r="U193" s="2">
        <v>18.8</v>
      </c>
      <c r="V193" s="2">
        <v>15.5</v>
      </c>
      <c r="W193" s="2">
        <v>17.8</v>
      </c>
      <c r="X193" s="1">
        <v>0.44500000000000001</v>
      </c>
      <c r="Y193" s="1">
        <v>0.46</v>
      </c>
      <c r="Z193" s="1">
        <v>0.62</v>
      </c>
      <c r="AA193" s="2">
        <v>96.8</v>
      </c>
      <c r="AB193" s="2">
        <v>69.7</v>
      </c>
      <c r="AC193" s="46">
        <v>6378.9880000000003</v>
      </c>
      <c r="AD193" s="2" t="s">
        <v>40</v>
      </c>
      <c r="AE193" s="4" t="s">
        <v>867</v>
      </c>
      <c r="AF193" s="4">
        <v>1.19</v>
      </c>
      <c r="AH193" s="21" t="s">
        <v>925</v>
      </c>
      <c r="AI193" s="21" t="s">
        <v>925</v>
      </c>
      <c r="AJ193" s="22" t="s">
        <v>953</v>
      </c>
      <c r="AK193" s="23" t="s">
        <v>40</v>
      </c>
      <c r="AL193" s="20" t="s">
        <v>1098</v>
      </c>
    </row>
    <row r="194" spans="1:38" x14ac:dyDescent="0.25">
      <c r="A194" s="14" t="s">
        <v>515</v>
      </c>
      <c r="B194" s="14" t="s">
        <v>516</v>
      </c>
      <c r="C194" s="14" t="s">
        <v>517</v>
      </c>
      <c r="D194" s="14" t="s">
        <v>1601</v>
      </c>
      <c r="E194" s="14" t="s">
        <v>1601</v>
      </c>
      <c r="F194" s="1">
        <v>4.67</v>
      </c>
      <c r="G194" s="1">
        <v>2.46</v>
      </c>
      <c r="H194" s="1">
        <v>4.42</v>
      </c>
      <c r="I194" s="1">
        <v>2.3199999999999998</v>
      </c>
      <c r="J194" s="1">
        <v>4.1900000000000004</v>
      </c>
      <c r="K194" s="1">
        <v>2.2999999999999998</v>
      </c>
      <c r="L194" s="1">
        <v>0.63</v>
      </c>
      <c r="M194" s="1">
        <v>0.73</v>
      </c>
      <c r="N194" s="1">
        <v>1.0900000000000001</v>
      </c>
      <c r="O194" s="1">
        <v>3.5649999999999999</v>
      </c>
      <c r="P194" s="1">
        <v>3.37</v>
      </c>
      <c r="Q194" s="1">
        <v>3.2450000000000001</v>
      </c>
      <c r="R194" s="1">
        <v>0.8500099729341718</v>
      </c>
      <c r="S194" s="1">
        <v>0.85117199524180609</v>
      </c>
      <c r="T194" s="1">
        <v>0.83587094147539831</v>
      </c>
      <c r="U194" s="2">
        <v>14.8</v>
      </c>
      <c r="V194" s="2">
        <v>11.3</v>
      </c>
      <c r="W194" s="2">
        <v>14.2</v>
      </c>
      <c r="X194" s="1">
        <v>0.315</v>
      </c>
      <c r="Y194" s="1">
        <v>0.36499999999999999</v>
      </c>
      <c r="Z194" s="1">
        <v>0.54500000000000004</v>
      </c>
      <c r="AA194" s="2">
        <v>113.8</v>
      </c>
      <c r="AB194" s="2">
        <v>94.6</v>
      </c>
      <c r="AC194" s="46">
        <v>14947.7</v>
      </c>
      <c r="AD194" s="2" t="s">
        <v>40</v>
      </c>
      <c r="AE194" s="4" t="s">
        <v>867</v>
      </c>
      <c r="AF194" s="4">
        <v>1.19</v>
      </c>
      <c r="AH194" s="21" t="s">
        <v>925</v>
      </c>
      <c r="AI194" s="21" t="s">
        <v>924</v>
      </c>
      <c r="AJ194" s="22" t="s">
        <v>953</v>
      </c>
      <c r="AK194" s="23" t="s">
        <v>40</v>
      </c>
      <c r="AL194" s="20" t="s">
        <v>1098</v>
      </c>
    </row>
    <row r="195" spans="1:38" x14ac:dyDescent="0.25">
      <c r="A195" s="14" t="s">
        <v>518</v>
      </c>
      <c r="B195" s="14" t="s">
        <v>519</v>
      </c>
      <c r="C195" s="14" t="s">
        <v>520</v>
      </c>
      <c r="D195" s="14" t="s">
        <v>1601</v>
      </c>
      <c r="E195" s="14" t="s">
        <v>1601</v>
      </c>
      <c r="F195" s="1">
        <v>3.89</v>
      </c>
      <c r="G195" s="1">
        <v>1.96</v>
      </c>
      <c r="H195" s="1">
        <v>3.39</v>
      </c>
      <c r="I195" s="1">
        <v>2.0099999999999998</v>
      </c>
      <c r="J195" s="1">
        <v>2.91</v>
      </c>
      <c r="K195" s="1">
        <v>1.93</v>
      </c>
      <c r="L195" s="1">
        <v>0.45</v>
      </c>
      <c r="M195" s="1">
        <v>0.49</v>
      </c>
      <c r="N195" s="1">
        <v>0.6</v>
      </c>
      <c r="O195" s="1">
        <v>2.9249999999999998</v>
      </c>
      <c r="P195" s="1">
        <v>2.7</v>
      </c>
      <c r="Q195" s="1">
        <v>2.42</v>
      </c>
      <c r="R195" s="1">
        <v>0.86378764162014365</v>
      </c>
      <c r="S195" s="1">
        <v>0.80526110910281967</v>
      </c>
      <c r="T195" s="1">
        <v>0.74841542476101941</v>
      </c>
      <c r="U195" s="2">
        <v>11.5</v>
      </c>
      <c r="V195" s="2">
        <v>10.3</v>
      </c>
      <c r="W195" s="2">
        <v>10.1</v>
      </c>
      <c r="X195" s="1">
        <v>0.22500000000000001</v>
      </c>
      <c r="Y195" s="1">
        <v>0.245</v>
      </c>
      <c r="Z195" s="1">
        <v>0.3</v>
      </c>
      <c r="AA195" s="2">
        <v>47</v>
      </c>
      <c r="AB195" s="2">
        <v>32.700000000000003</v>
      </c>
      <c r="AC195" s="46">
        <v>529.00059999999996</v>
      </c>
      <c r="AD195" s="2" t="s">
        <v>40</v>
      </c>
      <c r="AE195" s="4" t="s">
        <v>867</v>
      </c>
      <c r="AF195" s="4">
        <v>1.19</v>
      </c>
      <c r="AH195" s="21" t="s">
        <v>925</v>
      </c>
      <c r="AI195" s="21" t="s">
        <v>925</v>
      </c>
      <c r="AJ195" s="22" t="s">
        <v>953</v>
      </c>
      <c r="AK195" s="23" t="s">
        <v>40</v>
      </c>
      <c r="AL195" s="20" t="s">
        <v>1098</v>
      </c>
    </row>
    <row r="196" spans="1:38" s="11" customFormat="1" x14ac:dyDescent="0.25">
      <c r="A196" s="16" t="s">
        <v>521</v>
      </c>
      <c r="B196" s="16" t="s">
        <v>522</v>
      </c>
      <c r="C196" s="16" t="s">
        <v>523</v>
      </c>
      <c r="D196" s="14" t="s">
        <v>1601</v>
      </c>
      <c r="E196" s="14" t="s">
        <v>1601</v>
      </c>
      <c r="F196" s="9">
        <v>2.98</v>
      </c>
      <c r="G196" s="9">
        <v>1.6425000000000001</v>
      </c>
      <c r="H196" s="9">
        <v>2.5754999999999999</v>
      </c>
      <c r="I196" s="9">
        <v>1.319</v>
      </c>
      <c r="J196" s="9">
        <v>2.7469999999999999</v>
      </c>
      <c r="K196" s="9">
        <v>2.6970000000000001</v>
      </c>
      <c r="L196" s="9">
        <v>0.439</v>
      </c>
      <c r="M196" s="9">
        <v>0.48499999999999999</v>
      </c>
      <c r="N196" s="9">
        <v>0.55800000000000005</v>
      </c>
      <c r="O196" s="9">
        <v>2.3112500000000002</v>
      </c>
      <c r="P196" s="9">
        <v>2.39</v>
      </c>
      <c r="Q196" s="9">
        <v>2.4545000000000003</v>
      </c>
      <c r="R196" s="9">
        <v>0.83439000128771179</v>
      </c>
      <c r="S196" s="9">
        <v>0.84042009216911284</v>
      </c>
      <c r="T196" s="9">
        <v>0.54265602382716993</v>
      </c>
      <c r="U196" s="10">
        <v>8.7540000000000013</v>
      </c>
      <c r="V196" s="10">
        <v>5.85</v>
      </c>
      <c r="W196" s="10">
        <v>11.22</v>
      </c>
      <c r="X196" s="9">
        <v>0.2195</v>
      </c>
      <c r="Y196" s="9">
        <v>0.24249999999999999</v>
      </c>
      <c r="Z196" s="9">
        <v>0.27900000000000003</v>
      </c>
      <c r="AA196" s="10">
        <v>36.9</v>
      </c>
      <c r="AB196" s="10">
        <v>25.4</v>
      </c>
      <c r="AC196" s="46">
        <v>230.21260000000001</v>
      </c>
      <c r="AD196" s="10" t="s">
        <v>40</v>
      </c>
      <c r="AE196" s="12" t="s">
        <v>867</v>
      </c>
      <c r="AF196" s="12">
        <v>1.19</v>
      </c>
      <c r="AH196" s="21" t="s">
        <v>925</v>
      </c>
      <c r="AI196" s="21" t="s">
        <v>925</v>
      </c>
      <c r="AJ196" s="22" t="s">
        <v>953</v>
      </c>
      <c r="AK196" s="23" t="s">
        <v>40</v>
      </c>
      <c r="AL196" s="20" t="s">
        <v>1098</v>
      </c>
    </row>
    <row r="197" spans="1:38" x14ac:dyDescent="0.25">
      <c r="A197" s="14" t="s">
        <v>524</v>
      </c>
      <c r="B197" s="14" t="s">
        <v>525</v>
      </c>
      <c r="C197" s="14" t="s">
        <v>526</v>
      </c>
      <c r="D197" s="14" t="s">
        <v>1601</v>
      </c>
      <c r="E197" s="14" t="s">
        <v>1601</v>
      </c>
      <c r="F197" s="48">
        <v>9.11</v>
      </c>
      <c r="G197" s="48">
        <v>5.07</v>
      </c>
      <c r="H197" s="1">
        <v>8.3219999999999992</v>
      </c>
      <c r="I197" s="1">
        <v>5.0369999999999999</v>
      </c>
      <c r="J197" s="1">
        <v>6.694</v>
      </c>
      <c r="K197" s="1">
        <v>4.7560000000000002</v>
      </c>
      <c r="L197" s="48">
        <v>1.39</v>
      </c>
      <c r="M197" s="1">
        <v>1.302</v>
      </c>
      <c r="N197" s="1">
        <v>1.8129999999999999</v>
      </c>
      <c r="O197" s="3">
        <v>7.09</v>
      </c>
      <c r="P197" s="1">
        <v>6.6794999999999991</v>
      </c>
      <c r="Q197" s="1">
        <v>5.7249999999999996</v>
      </c>
      <c r="R197" s="3">
        <v>0.83082665435823233</v>
      </c>
      <c r="S197" s="1">
        <v>0.79602544538179854</v>
      </c>
      <c r="T197" s="1">
        <v>0.70371032261928135</v>
      </c>
      <c r="U197" s="2">
        <v>26.380764434519598</v>
      </c>
      <c r="V197" s="2">
        <v>23.295000000000002</v>
      </c>
      <c r="W197" s="2">
        <v>24.24</v>
      </c>
      <c r="X197" s="3">
        <v>0.69499999999999995</v>
      </c>
      <c r="Y197" s="1">
        <v>0.65100000000000002</v>
      </c>
      <c r="Z197" s="1">
        <v>0.90649999999999997</v>
      </c>
      <c r="AA197" s="2">
        <v>155.1</v>
      </c>
      <c r="AB197" s="2">
        <v>115.4</v>
      </c>
      <c r="AC197" s="46">
        <v>33115.839999999997</v>
      </c>
      <c r="AD197" s="2" t="s">
        <v>40</v>
      </c>
      <c r="AE197" s="4" t="s">
        <v>867</v>
      </c>
      <c r="AF197" s="4">
        <v>1.19</v>
      </c>
      <c r="AH197" s="21" t="s">
        <v>925</v>
      </c>
      <c r="AI197" s="21" t="s">
        <v>924</v>
      </c>
      <c r="AJ197" s="22" t="s">
        <v>953</v>
      </c>
      <c r="AK197" s="23" t="s">
        <v>40</v>
      </c>
      <c r="AL197" s="20" t="s">
        <v>1098</v>
      </c>
    </row>
    <row r="198" spans="1:38" x14ac:dyDescent="0.25">
      <c r="A198" s="14" t="s">
        <v>527</v>
      </c>
      <c r="B198" s="14" t="s">
        <v>63</v>
      </c>
      <c r="C198" s="14" t="s">
        <v>528</v>
      </c>
      <c r="D198" s="14" t="s">
        <v>1601</v>
      </c>
      <c r="E198" s="14" t="s">
        <v>1601</v>
      </c>
      <c r="F198" s="1">
        <v>9.1184999999999992</v>
      </c>
      <c r="G198" s="1">
        <v>6.0795000000000003</v>
      </c>
      <c r="H198" s="1">
        <v>8.3874999999999993</v>
      </c>
      <c r="I198" s="1">
        <v>5.6195000000000004</v>
      </c>
      <c r="J198" s="1">
        <v>7.0049999999999999</v>
      </c>
      <c r="K198" s="1">
        <v>6.6715</v>
      </c>
      <c r="L198" s="1">
        <v>1.306</v>
      </c>
      <c r="M198" s="1">
        <v>1.3560000000000001</v>
      </c>
      <c r="N198" s="1">
        <v>1.415</v>
      </c>
      <c r="O198" s="1">
        <v>7.5990000000000002</v>
      </c>
      <c r="P198" s="1">
        <v>7.0034999999999998</v>
      </c>
      <c r="Q198" s="1">
        <v>6.8382500000000004</v>
      </c>
      <c r="R198" s="1">
        <v>0.74530694422413724</v>
      </c>
      <c r="S198" s="1">
        <v>0.74237454830539362</v>
      </c>
      <c r="T198" s="1">
        <v>0.3048788266921848</v>
      </c>
      <c r="U198" s="2">
        <v>26.613</v>
      </c>
      <c r="V198" s="2">
        <v>24.879000000000001</v>
      </c>
      <c r="W198" s="2">
        <v>27.657</v>
      </c>
      <c r="X198" s="1">
        <v>0.65300000000000002</v>
      </c>
      <c r="Y198" s="1">
        <v>0.67800000000000005</v>
      </c>
      <c r="Z198" s="1">
        <v>0.70750000000000002</v>
      </c>
      <c r="AA198" s="2">
        <v>253.9</v>
      </c>
      <c r="AB198" s="2">
        <v>173.5</v>
      </c>
      <c r="AC198" s="46">
        <v>143144.6</v>
      </c>
      <c r="AD198" s="2" t="s">
        <v>40</v>
      </c>
      <c r="AE198" s="4" t="s">
        <v>867</v>
      </c>
      <c r="AF198" s="4">
        <v>1.19</v>
      </c>
      <c r="AH198" s="21" t="s">
        <v>925</v>
      </c>
      <c r="AI198" s="21" t="s">
        <v>930</v>
      </c>
      <c r="AJ198" s="22" t="s">
        <v>953</v>
      </c>
      <c r="AK198" s="23" t="s">
        <v>40</v>
      </c>
      <c r="AL198" s="20" t="s">
        <v>1098</v>
      </c>
    </row>
    <row r="199" spans="1:38" x14ac:dyDescent="0.25">
      <c r="A199" s="14" t="s">
        <v>529</v>
      </c>
      <c r="B199" s="14" t="s">
        <v>530</v>
      </c>
      <c r="C199" s="14" t="s">
        <v>531</v>
      </c>
      <c r="D199" s="14" t="s">
        <v>1601</v>
      </c>
      <c r="E199" s="14" t="s">
        <v>1601</v>
      </c>
      <c r="F199" s="1">
        <v>6.1064999999999996</v>
      </c>
      <c r="G199" s="1">
        <v>3.8165</v>
      </c>
      <c r="H199" s="1">
        <v>5.625</v>
      </c>
      <c r="I199" s="1">
        <v>3.8824999999999998</v>
      </c>
      <c r="J199" s="1">
        <v>3.9510000000000001</v>
      </c>
      <c r="K199" s="1">
        <v>3.7530000000000001</v>
      </c>
      <c r="L199" s="1">
        <v>0.90600000000000003</v>
      </c>
      <c r="M199" s="1">
        <v>0.95</v>
      </c>
      <c r="N199" s="1">
        <v>0.90800000000000003</v>
      </c>
      <c r="O199" s="1">
        <v>4.9615</v>
      </c>
      <c r="P199" s="1">
        <v>4.7537500000000001</v>
      </c>
      <c r="Q199" s="1">
        <v>3.8520000000000003</v>
      </c>
      <c r="R199" s="1">
        <v>0.78063294424435836</v>
      </c>
      <c r="S199" s="1">
        <v>0.7235974598840279</v>
      </c>
      <c r="T199" s="1">
        <v>0.31259620589354786</v>
      </c>
      <c r="U199" s="2">
        <v>17.39</v>
      </c>
      <c r="V199" s="2">
        <v>15.061</v>
      </c>
      <c r="W199" s="2">
        <v>16.652999999999999</v>
      </c>
      <c r="X199" s="1">
        <v>0.45300000000000001</v>
      </c>
      <c r="Y199" s="1">
        <v>0.47499999999999998</v>
      </c>
      <c r="Z199" s="1">
        <v>0.45400000000000001</v>
      </c>
      <c r="AA199" s="2">
        <v>101.8</v>
      </c>
      <c r="AB199" s="2">
        <v>67.3</v>
      </c>
      <c r="AC199" s="46">
        <v>6276.0450000000001</v>
      </c>
      <c r="AD199" s="2" t="s">
        <v>40</v>
      </c>
      <c r="AE199" s="4" t="s">
        <v>867</v>
      </c>
      <c r="AF199" s="4">
        <v>1.19</v>
      </c>
      <c r="AH199" s="21" t="s">
        <v>925</v>
      </c>
      <c r="AI199" s="21" t="s">
        <v>924</v>
      </c>
      <c r="AJ199" s="22" t="s">
        <v>953</v>
      </c>
      <c r="AK199" s="23" t="s">
        <v>40</v>
      </c>
      <c r="AL199" s="20" t="s">
        <v>1098</v>
      </c>
    </row>
    <row r="200" spans="1:38" x14ac:dyDescent="0.25">
      <c r="A200" s="14" t="s">
        <v>529</v>
      </c>
      <c r="B200" s="14" t="s">
        <v>532</v>
      </c>
      <c r="C200" s="14" t="s">
        <v>533</v>
      </c>
      <c r="D200" s="14" t="s">
        <v>1601</v>
      </c>
      <c r="E200" s="14" t="s">
        <v>1601</v>
      </c>
      <c r="F200" s="1">
        <v>5.6539999999999999</v>
      </c>
      <c r="G200" s="1">
        <v>3.45</v>
      </c>
      <c r="H200" s="1">
        <v>5.4675000000000002</v>
      </c>
      <c r="I200" s="1">
        <v>3.9620000000000002</v>
      </c>
      <c r="J200" s="1">
        <v>4.4625000000000004</v>
      </c>
      <c r="K200" s="1">
        <v>4.2835000000000001</v>
      </c>
      <c r="L200" s="1">
        <v>0.92100000000000004</v>
      </c>
      <c r="M200" s="1">
        <v>0.88</v>
      </c>
      <c r="N200" s="1">
        <v>0.876</v>
      </c>
      <c r="O200" s="1">
        <v>4.5519999999999996</v>
      </c>
      <c r="P200" s="1">
        <v>4.7147500000000004</v>
      </c>
      <c r="Q200" s="1">
        <v>4.3730000000000002</v>
      </c>
      <c r="R200" s="1">
        <v>0.79225705539559277</v>
      </c>
      <c r="S200" s="1">
        <v>0.68912169183475913</v>
      </c>
      <c r="T200" s="1">
        <v>0.28038386811009464</v>
      </c>
      <c r="U200" s="2">
        <v>17.488</v>
      </c>
      <c r="V200" s="2">
        <v>17.012</v>
      </c>
      <c r="W200" s="2">
        <v>18.645</v>
      </c>
      <c r="X200" s="1">
        <v>0.46050000000000002</v>
      </c>
      <c r="Y200" s="1">
        <v>0.44</v>
      </c>
      <c r="Z200" s="1">
        <v>0.438</v>
      </c>
      <c r="AA200" s="2">
        <v>101.6</v>
      </c>
      <c r="AB200" s="2">
        <v>78</v>
      </c>
      <c r="AC200" s="46">
        <v>8614.3719999999994</v>
      </c>
      <c r="AD200" s="2" t="s">
        <v>40</v>
      </c>
      <c r="AE200" s="4" t="s">
        <v>867</v>
      </c>
      <c r="AF200" s="4">
        <v>1.19</v>
      </c>
      <c r="AH200" s="21" t="s">
        <v>925</v>
      </c>
      <c r="AI200" s="21" t="s">
        <v>924</v>
      </c>
      <c r="AJ200" s="22" t="s">
        <v>953</v>
      </c>
      <c r="AK200" s="23" t="s">
        <v>40</v>
      </c>
      <c r="AL200" s="20" t="s">
        <v>1098</v>
      </c>
    </row>
    <row r="201" spans="1:38" x14ac:dyDescent="0.25">
      <c r="A201" s="14" t="s">
        <v>534</v>
      </c>
      <c r="B201" s="14" t="s">
        <v>535</v>
      </c>
      <c r="C201" s="14" t="s">
        <v>536</v>
      </c>
      <c r="D201" s="14" t="s">
        <v>1601</v>
      </c>
      <c r="E201" s="14" t="s">
        <v>1601</v>
      </c>
      <c r="F201" s="1">
        <v>7.88</v>
      </c>
      <c r="G201" s="1">
        <v>4.4400000000000004</v>
      </c>
      <c r="H201" s="1">
        <v>6.21</v>
      </c>
      <c r="I201" s="1">
        <v>3.69</v>
      </c>
      <c r="J201" s="1">
        <v>6.84</v>
      </c>
      <c r="K201" s="1">
        <v>3.68</v>
      </c>
      <c r="L201" s="1">
        <v>1.329</v>
      </c>
      <c r="M201" s="1">
        <v>1.31</v>
      </c>
      <c r="N201" s="1">
        <v>1.54</v>
      </c>
      <c r="O201" s="1">
        <v>6.16</v>
      </c>
      <c r="P201" s="1">
        <v>4.95</v>
      </c>
      <c r="Q201" s="1">
        <v>5.26</v>
      </c>
      <c r="R201" s="1">
        <v>0.82614895472320515</v>
      </c>
      <c r="S201" s="1">
        <v>0.80431518408762948</v>
      </c>
      <c r="T201" s="1">
        <v>0.84293737315881534</v>
      </c>
      <c r="U201" s="2">
        <v>29.4</v>
      </c>
      <c r="V201" s="2">
        <v>22</v>
      </c>
      <c r="W201" s="2">
        <v>22</v>
      </c>
      <c r="X201" s="1">
        <v>0.66449999999999998</v>
      </c>
      <c r="Y201" s="1">
        <v>0.65500000000000003</v>
      </c>
      <c r="Z201" s="1">
        <v>0.77</v>
      </c>
      <c r="AA201" s="2">
        <v>335</v>
      </c>
      <c r="AB201" s="2">
        <v>154.1</v>
      </c>
      <c r="AC201" s="46">
        <v>153685.6</v>
      </c>
      <c r="AD201" s="2" t="s">
        <v>40</v>
      </c>
      <c r="AE201" s="4" t="s">
        <v>867</v>
      </c>
      <c r="AF201" s="4">
        <v>1.19</v>
      </c>
      <c r="AH201" s="21" t="s">
        <v>925</v>
      </c>
      <c r="AI201" s="21" t="s">
        <v>925</v>
      </c>
      <c r="AJ201" s="22" t="s">
        <v>953</v>
      </c>
      <c r="AK201" s="23" t="s">
        <v>40</v>
      </c>
      <c r="AL201" s="20" t="s">
        <v>1098</v>
      </c>
    </row>
    <row r="202" spans="1:38" x14ac:dyDescent="0.25">
      <c r="A202" s="14" t="s">
        <v>537</v>
      </c>
      <c r="B202" s="14" t="s">
        <v>63</v>
      </c>
      <c r="C202" s="14" t="s">
        <v>538</v>
      </c>
      <c r="D202" s="14" t="s">
        <v>1602</v>
      </c>
      <c r="E202" s="14" t="s">
        <v>1602</v>
      </c>
      <c r="F202" s="1">
        <v>4.0599999999999996</v>
      </c>
      <c r="G202" s="1">
        <v>3.09</v>
      </c>
      <c r="H202" s="1">
        <v>3.5</v>
      </c>
      <c r="I202" s="1">
        <v>1.5</v>
      </c>
      <c r="J202" s="1">
        <v>2.96</v>
      </c>
      <c r="K202" s="1">
        <v>2.0499999999999998</v>
      </c>
      <c r="L202" s="1">
        <v>0.68</v>
      </c>
      <c r="M202" s="1">
        <v>0.62</v>
      </c>
      <c r="N202" s="1">
        <v>0.6</v>
      </c>
      <c r="O202" s="1">
        <v>3.5749999999999997</v>
      </c>
      <c r="P202" s="1">
        <v>2.5</v>
      </c>
      <c r="Q202" s="1">
        <v>2.5049999999999999</v>
      </c>
      <c r="R202" s="1">
        <v>0.64865363242557272</v>
      </c>
      <c r="S202" s="1">
        <v>0.90350790290525129</v>
      </c>
      <c r="T202" s="1">
        <v>0.72135300952691861</v>
      </c>
      <c r="U202" s="2">
        <v>12.9</v>
      </c>
      <c r="V202" s="2">
        <v>10.4</v>
      </c>
      <c r="W202" s="2">
        <v>9.6999999999999993</v>
      </c>
      <c r="X202" s="1">
        <v>0.34</v>
      </c>
      <c r="Y202" s="1">
        <v>0.31</v>
      </c>
      <c r="Z202" s="1">
        <v>0.3</v>
      </c>
      <c r="AA202" s="2">
        <v>99.3</v>
      </c>
      <c r="AB202" s="2">
        <v>56.6</v>
      </c>
      <c r="AC202" s="46">
        <v>4164.7730000000001</v>
      </c>
      <c r="AD202" s="2" t="s">
        <v>40</v>
      </c>
      <c r="AE202" s="4" t="s">
        <v>867</v>
      </c>
      <c r="AF202" s="4">
        <v>1.19</v>
      </c>
      <c r="AH202" s="21" t="s">
        <v>925</v>
      </c>
      <c r="AI202" s="21" t="s">
        <v>925</v>
      </c>
      <c r="AJ202" s="22" t="s">
        <v>953</v>
      </c>
      <c r="AK202" s="23" t="s">
        <v>40</v>
      </c>
      <c r="AL202" s="20" t="s">
        <v>1098</v>
      </c>
    </row>
    <row r="203" spans="1:38" x14ac:dyDescent="0.25">
      <c r="A203" s="14" t="s">
        <v>539</v>
      </c>
      <c r="B203" s="14" t="s">
        <v>63</v>
      </c>
      <c r="C203" s="14" t="s">
        <v>540</v>
      </c>
      <c r="D203" s="14" t="s">
        <v>1602</v>
      </c>
      <c r="E203" s="14" t="s">
        <v>1602</v>
      </c>
      <c r="F203" s="1">
        <v>6.4615</v>
      </c>
      <c r="G203" s="1">
        <v>4.1835000000000004</v>
      </c>
      <c r="H203" s="48">
        <v>5.82</v>
      </c>
      <c r="I203" s="48">
        <v>2.72</v>
      </c>
      <c r="J203" s="48">
        <v>4.71</v>
      </c>
      <c r="K203" s="48">
        <v>3.29</v>
      </c>
      <c r="L203" s="1">
        <v>1.1120000000000001</v>
      </c>
      <c r="M203" s="48">
        <v>1.06</v>
      </c>
      <c r="N203" s="48">
        <v>1.1399999999999999</v>
      </c>
      <c r="O203" s="1">
        <v>5.3224999999999998</v>
      </c>
      <c r="P203" s="3">
        <v>4.2700000000000005</v>
      </c>
      <c r="Q203" s="3">
        <v>4</v>
      </c>
      <c r="R203" s="1">
        <v>0.76210769039917892</v>
      </c>
      <c r="S203" s="3">
        <v>0.88407029338891796</v>
      </c>
      <c r="T203" s="3">
        <v>0.71559658370924484</v>
      </c>
      <c r="U203" s="2">
        <v>17.265999999999998</v>
      </c>
      <c r="V203" s="46">
        <v>14.98</v>
      </c>
      <c r="W203" s="46">
        <v>17.579999999999998</v>
      </c>
      <c r="X203" s="1">
        <v>0.55600000000000005</v>
      </c>
      <c r="Y203" s="3">
        <v>0.53</v>
      </c>
      <c r="Z203" s="3">
        <v>0.56999999999999995</v>
      </c>
      <c r="AA203" s="2">
        <v>206</v>
      </c>
      <c r="AB203" s="2">
        <v>112.9</v>
      </c>
      <c r="AC203" s="46">
        <v>43884.57</v>
      </c>
      <c r="AD203" s="2" t="s">
        <v>40</v>
      </c>
      <c r="AE203" s="4" t="s">
        <v>867</v>
      </c>
      <c r="AF203" s="4">
        <v>1.19</v>
      </c>
      <c r="AH203" s="21" t="s">
        <v>925</v>
      </c>
      <c r="AI203" s="21" t="s">
        <v>924</v>
      </c>
      <c r="AJ203" s="22" t="s">
        <v>953</v>
      </c>
      <c r="AK203" s="23" t="s">
        <v>40</v>
      </c>
      <c r="AL203" s="20" t="s">
        <v>1098</v>
      </c>
    </row>
    <row r="204" spans="1:38" x14ac:dyDescent="0.25">
      <c r="A204" s="14" t="s">
        <v>541</v>
      </c>
      <c r="B204" s="14" t="s">
        <v>393</v>
      </c>
      <c r="C204" s="14" t="s">
        <v>542</v>
      </c>
      <c r="D204" s="14" t="s">
        <v>1602</v>
      </c>
      <c r="E204" s="14" t="s">
        <v>1602</v>
      </c>
      <c r="F204" s="48">
        <v>3.79</v>
      </c>
      <c r="G204" s="48">
        <v>2.58</v>
      </c>
      <c r="H204" s="1">
        <v>2.6004999999999998</v>
      </c>
      <c r="I204" s="1">
        <v>1.6595</v>
      </c>
      <c r="J204" s="48">
        <v>2.57</v>
      </c>
      <c r="K204" s="48">
        <v>1.92</v>
      </c>
      <c r="L204" s="48">
        <v>0.64</v>
      </c>
      <c r="M204" s="1">
        <v>0.69799999999999995</v>
      </c>
      <c r="N204" s="48">
        <v>0.64</v>
      </c>
      <c r="O204" s="3">
        <v>3.1850000000000001</v>
      </c>
      <c r="P204" s="1">
        <v>2.13</v>
      </c>
      <c r="Q204" s="3">
        <v>2.2450000000000001</v>
      </c>
      <c r="R204" s="3">
        <v>0.73252624857711646</v>
      </c>
      <c r="S204" s="1">
        <v>0.76991495076351335</v>
      </c>
      <c r="T204" s="3">
        <v>0.66473221337778354</v>
      </c>
      <c r="U204" s="46">
        <v>10.93</v>
      </c>
      <c r="V204" s="46">
        <v>8.2200000000000006</v>
      </c>
      <c r="W204" s="46">
        <v>9.5</v>
      </c>
      <c r="X204" s="3">
        <v>0.32</v>
      </c>
      <c r="Y204" s="1">
        <v>0.34899999999999998</v>
      </c>
      <c r="Z204" s="3">
        <v>0.32</v>
      </c>
      <c r="AA204" s="2">
        <v>177.4</v>
      </c>
      <c r="AB204" s="2">
        <v>81.599999999999994</v>
      </c>
      <c r="AC204" s="46">
        <v>18229.27</v>
      </c>
      <c r="AD204" s="2" t="s">
        <v>40</v>
      </c>
      <c r="AE204" s="4" t="s">
        <v>867</v>
      </c>
      <c r="AF204" s="4">
        <v>1.19</v>
      </c>
      <c r="AH204" s="21" t="s">
        <v>925</v>
      </c>
      <c r="AI204" s="21" t="s">
        <v>925</v>
      </c>
      <c r="AJ204" s="22" t="s">
        <v>953</v>
      </c>
      <c r="AK204" s="23" t="s">
        <v>40</v>
      </c>
      <c r="AL204" s="20" t="s">
        <v>1098</v>
      </c>
    </row>
    <row r="205" spans="1:38" x14ac:dyDescent="0.25">
      <c r="A205" s="14" t="s">
        <v>543</v>
      </c>
      <c r="B205" s="15" t="s">
        <v>40</v>
      </c>
      <c r="C205" s="14" t="s">
        <v>544</v>
      </c>
      <c r="D205" s="14" t="s">
        <v>1602</v>
      </c>
      <c r="E205" s="14" t="s">
        <v>1602</v>
      </c>
      <c r="F205" s="1">
        <v>4.13</v>
      </c>
      <c r="G205" s="1">
        <v>2.66</v>
      </c>
      <c r="H205" s="1">
        <v>3.9</v>
      </c>
      <c r="I205" s="1">
        <v>1.92</v>
      </c>
      <c r="J205" s="1">
        <v>2.73</v>
      </c>
      <c r="K205" s="1">
        <v>2.2200000000000002</v>
      </c>
      <c r="L205" s="1">
        <v>0.73</v>
      </c>
      <c r="M205" s="1">
        <v>0.67</v>
      </c>
      <c r="N205" s="1">
        <v>0.8</v>
      </c>
      <c r="O205" s="1">
        <v>3.395</v>
      </c>
      <c r="P205" s="1">
        <v>2.91</v>
      </c>
      <c r="Q205" s="1">
        <v>2.4750000000000001</v>
      </c>
      <c r="R205" s="1">
        <v>0.7649684133150344</v>
      </c>
      <c r="S205" s="1">
        <v>0.87042124060403914</v>
      </c>
      <c r="T205" s="1">
        <v>0.58200275502704868</v>
      </c>
      <c r="U205" s="2">
        <v>13.4</v>
      </c>
      <c r="V205" s="2">
        <v>10.6</v>
      </c>
      <c r="W205" s="2">
        <v>12.1</v>
      </c>
      <c r="X205" s="1">
        <v>0.36499999999999999</v>
      </c>
      <c r="Y205" s="1">
        <v>0.33500000000000002</v>
      </c>
      <c r="Z205" s="1">
        <v>0.4</v>
      </c>
      <c r="AA205" s="2">
        <v>134.69999999999999</v>
      </c>
      <c r="AB205" s="2">
        <v>70</v>
      </c>
      <c r="AC205" s="46">
        <v>9452.1560000000009</v>
      </c>
      <c r="AD205" s="2" t="s">
        <v>40</v>
      </c>
      <c r="AE205" s="4" t="s">
        <v>867</v>
      </c>
      <c r="AF205" s="4">
        <v>1.19</v>
      </c>
      <c r="AH205" s="21" t="s">
        <v>925</v>
      </c>
      <c r="AI205" s="21" t="s">
        <v>925</v>
      </c>
      <c r="AJ205" s="22" t="s">
        <v>953</v>
      </c>
      <c r="AK205" s="23" t="s">
        <v>40</v>
      </c>
      <c r="AL205" s="20" t="s">
        <v>1098</v>
      </c>
    </row>
    <row r="206" spans="1:38" x14ac:dyDescent="0.25">
      <c r="A206" s="14" t="s">
        <v>545</v>
      </c>
      <c r="B206" s="15" t="s">
        <v>40</v>
      </c>
      <c r="C206" s="14" t="s">
        <v>546</v>
      </c>
      <c r="D206" s="14" t="s">
        <v>1602</v>
      </c>
      <c r="E206" s="14" t="s">
        <v>1602</v>
      </c>
      <c r="F206" s="1">
        <v>5.3319999999999999</v>
      </c>
      <c r="G206" s="1">
        <v>3.8380000000000001</v>
      </c>
      <c r="H206" s="1">
        <v>3.7290000000000001</v>
      </c>
      <c r="I206" s="1">
        <v>3.2029999999999998</v>
      </c>
      <c r="J206" s="1">
        <v>4.4320000000000004</v>
      </c>
      <c r="K206" s="1">
        <v>3.9820000000000002</v>
      </c>
      <c r="L206" s="1">
        <v>0.96</v>
      </c>
      <c r="M206" s="1">
        <v>1.07</v>
      </c>
      <c r="N206" s="1">
        <v>0.94</v>
      </c>
      <c r="O206" s="1">
        <v>4.585</v>
      </c>
      <c r="P206" s="1">
        <v>3.4660000000000002</v>
      </c>
      <c r="Q206" s="1">
        <v>4.2070000000000007</v>
      </c>
      <c r="R206" s="1">
        <v>0.6941763696450165</v>
      </c>
      <c r="S206" s="1">
        <v>0.51207051009651539</v>
      </c>
      <c r="T206" s="1">
        <v>0.43904370942729765</v>
      </c>
      <c r="U206" s="2">
        <v>19.908000000000001</v>
      </c>
      <c r="V206" s="2">
        <v>13.598000000000001</v>
      </c>
      <c r="W206" s="2">
        <v>17.47</v>
      </c>
      <c r="X206" s="1">
        <v>0.48</v>
      </c>
      <c r="Y206" s="1">
        <v>0.53500000000000003</v>
      </c>
      <c r="Z206" s="1">
        <v>0.47</v>
      </c>
      <c r="AA206" s="2">
        <v>146.1</v>
      </c>
      <c r="AB206" s="27">
        <v>74.5</v>
      </c>
      <c r="AC206" s="46">
        <v>11904.49</v>
      </c>
      <c r="AD206" s="2" t="s">
        <v>40</v>
      </c>
      <c r="AE206" s="4" t="s">
        <v>867</v>
      </c>
      <c r="AF206" s="4">
        <v>1.19</v>
      </c>
      <c r="AH206" s="21" t="s">
        <v>925</v>
      </c>
      <c r="AI206" s="21" t="s">
        <v>925</v>
      </c>
      <c r="AJ206" s="22" t="s">
        <v>953</v>
      </c>
      <c r="AK206" s="23" t="s">
        <v>40</v>
      </c>
      <c r="AL206" s="20" t="s">
        <v>1098</v>
      </c>
    </row>
    <row r="207" spans="1:38" x14ac:dyDescent="0.25">
      <c r="A207" s="14" t="s">
        <v>547</v>
      </c>
      <c r="B207" s="14" t="s">
        <v>548</v>
      </c>
      <c r="C207" s="14" t="s">
        <v>549</v>
      </c>
      <c r="D207" s="14" t="s">
        <v>1603</v>
      </c>
      <c r="E207" s="14" t="s">
        <v>1603</v>
      </c>
      <c r="F207" s="1">
        <v>4.3899999999999997</v>
      </c>
      <c r="G207" s="1">
        <v>4.03</v>
      </c>
      <c r="H207" s="1">
        <v>4.758</v>
      </c>
      <c r="I207" s="1">
        <v>2.65</v>
      </c>
      <c r="J207" s="1">
        <v>4.1399999999999997</v>
      </c>
      <c r="K207" s="1">
        <v>3.3734999999999999</v>
      </c>
      <c r="L207" s="1">
        <v>0.997</v>
      </c>
      <c r="M207" s="1">
        <v>1.1830000000000001</v>
      </c>
      <c r="N207" s="1">
        <v>0.96</v>
      </c>
      <c r="O207" s="1">
        <v>4.21</v>
      </c>
      <c r="P207" s="1">
        <v>3.7039999999999997</v>
      </c>
      <c r="Q207" s="1">
        <v>3.7567499999999998</v>
      </c>
      <c r="R207" s="1">
        <v>0.39659092834296766</v>
      </c>
      <c r="S207" s="1">
        <v>0.83054152774865808</v>
      </c>
      <c r="T207" s="1">
        <v>0.57966474006969493</v>
      </c>
      <c r="U207" s="2">
        <v>19</v>
      </c>
      <c r="V207" s="2">
        <v>12.792999999999999</v>
      </c>
      <c r="W207" s="2">
        <v>17.378</v>
      </c>
      <c r="X207" s="1">
        <v>0.4985</v>
      </c>
      <c r="Y207" s="1">
        <v>0.59150000000000003</v>
      </c>
      <c r="Z207" s="1">
        <v>0.48</v>
      </c>
      <c r="AA207" s="2">
        <v>96.1</v>
      </c>
      <c r="AB207" s="27">
        <v>48.1</v>
      </c>
      <c r="AC207" s="46">
        <v>2815.3339999999998</v>
      </c>
      <c r="AD207" s="2" t="s">
        <v>40</v>
      </c>
      <c r="AE207" s="4" t="s">
        <v>867</v>
      </c>
      <c r="AF207" s="4">
        <v>1.19</v>
      </c>
      <c r="AH207" s="21" t="s">
        <v>925</v>
      </c>
      <c r="AI207" s="21" t="s">
        <v>925</v>
      </c>
      <c r="AJ207" s="22" t="s">
        <v>953</v>
      </c>
      <c r="AK207" s="23" t="s">
        <v>40</v>
      </c>
      <c r="AL207" s="20" t="s">
        <v>1098</v>
      </c>
    </row>
    <row r="208" spans="1:38" x14ac:dyDescent="0.25">
      <c r="A208" s="14" t="s">
        <v>550</v>
      </c>
      <c r="B208" s="14" t="s">
        <v>551</v>
      </c>
      <c r="C208" s="14" t="s">
        <v>552</v>
      </c>
      <c r="D208" s="14" t="s">
        <v>1603</v>
      </c>
      <c r="E208" s="14" t="s">
        <v>1603</v>
      </c>
      <c r="F208" s="1">
        <v>4.58</v>
      </c>
      <c r="G208" s="1">
        <v>2.86</v>
      </c>
      <c r="H208" s="1">
        <v>4.09</v>
      </c>
      <c r="I208" s="1">
        <v>2.21</v>
      </c>
      <c r="J208" s="1">
        <v>3.6</v>
      </c>
      <c r="K208" s="1">
        <v>3.37</v>
      </c>
      <c r="L208" s="1">
        <v>0.79</v>
      </c>
      <c r="M208" s="1">
        <v>0.65</v>
      </c>
      <c r="N208" s="1">
        <v>0.89</v>
      </c>
      <c r="O208" s="1">
        <v>3.7199999999999998</v>
      </c>
      <c r="P208" s="1">
        <v>3.15</v>
      </c>
      <c r="Q208" s="1">
        <v>3.4850000000000003</v>
      </c>
      <c r="R208" s="1">
        <v>0.78106146778380336</v>
      </c>
      <c r="S208" s="1">
        <v>0.84144530462787204</v>
      </c>
      <c r="T208" s="1">
        <v>0.351704403802854</v>
      </c>
      <c r="U208" s="2">
        <v>14.6</v>
      </c>
      <c r="V208" s="2">
        <v>12.9</v>
      </c>
      <c r="W208" s="2">
        <v>16.3</v>
      </c>
      <c r="X208" s="1">
        <v>0.39500000000000002</v>
      </c>
      <c r="Y208" s="1">
        <v>0.32500000000000001</v>
      </c>
      <c r="Z208" s="1">
        <v>0.44500000000000001</v>
      </c>
      <c r="AA208" s="2">
        <v>102.4</v>
      </c>
      <c r="AB208" s="27">
        <v>54.8</v>
      </c>
      <c r="AC208" s="46">
        <v>4023.056</v>
      </c>
      <c r="AD208" s="2" t="s">
        <v>40</v>
      </c>
      <c r="AE208" s="4" t="s">
        <v>867</v>
      </c>
      <c r="AF208" s="4">
        <v>1.19</v>
      </c>
      <c r="AH208" s="21" t="s">
        <v>1150</v>
      </c>
      <c r="AI208" s="21" t="s">
        <v>1153</v>
      </c>
      <c r="AJ208" s="22" t="s">
        <v>953</v>
      </c>
      <c r="AK208" s="23" t="s">
        <v>40</v>
      </c>
      <c r="AL208" s="20" t="s">
        <v>1098</v>
      </c>
    </row>
    <row r="209" spans="1:38" x14ac:dyDescent="0.25">
      <c r="A209" s="15" t="s">
        <v>40</v>
      </c>
      <c r="B209" s="15" t="s">
        <v>40</v>
      </c>
      <c r="C209" s="14" t="s">
        <v>1136</v>
      </c>
      <c r="D209" s="14" t="s">
        <v>1603</v>
      </c>
      <c r="E209" s="14" t="s">
        <v>1603</v>
      </c>
      <c r="F209" s="1">
        <v>5.5510000000000002</v>
      </c>
      <c r="G209" s="1">
        <v>2.8180000000000001</v>
      </c>
      <c r="H209" s="1">
        <v>4.4260000000000002</v>
      </c>
      <c r="I209" s="1">
        <v>2.0920000000000001</v>
      </c>
      <c r="J209" s="1">
        <v>3.6204999999999998</v>
      </c>
      <c r="K209" s="1">
        <v>3.4055</v>
      </c>
      <c r="L209" s="1">
        <v>0.63679999999999992</v>
      </c>
      <c r="M209" s="1">
        <v>0.43339999999999995</v>
      </c>
      <c r="N209" s="1">
        <v>0.874</v>
      </c>
      <c r="O209" s="1">
        <f>(F209+G209)/2</f>
        <v>4.1844999999999999</v>
      </c>
      <c r="P209" s="1">
        <f>(H209+I209)/2</f>
        <v>3.2590000000000003</v>
      </c>
      <c r="Q209" s="1">
        <f>(J209+K209)/2</f>
        <v>3.5129999999999999</v>
      </c>
      <c r="R209" s="1">
        <f>(1-((MIN(F209:G209)/MAX(F209:G209))^2))^0.5</f>
        <v>0.86155969221919726</v>
      </c>
      <c r="S209" s="1">
        <f>(1-((MIN(H209:I209)/MAX(H209:I209))^2))^0.5</f>
        <v>0.88124404309325921</v>
      </c>
      <c r="T209" s="1">
        <f>(1-((MIN(J209:K209)/MAX(J209:K209))^2))^0.5</f>
        <v>0.33947261894601755</v>
      </c>
      <c r="U209" s="2">
        <v>16.712</v>
      </c>
      <c r="V209" s="2">
        <v>11.525</v>
      </c>
      <c r="W209" s="2">
        <v>15.116</v>
      </c>
      <c r="X209" s="1">
        <f>L209/2</f>
        <v>0.31839999999999996</v>
      </c>
      <c r="Y209" s="1">
        <f t="shared" ref="Y209:Z209" si="5">M209/2</f>
        <v>0.21669999999999998</v>
      </c>
      <c r="Z209" s="1">
        <f t="shared" si="5"/>
        <v>0.437</v>
      </c>
      <c r="AA209" s="2">
        <v>121</v>
      </c>
      <c r="AB209" s="27">
        <v>64.753906249999986</v>
      </c>
      <c r="AC209" s="2" t="s">
        <v>40</v>
      </c>
      <c r="AD209" s="2" t="s">
        <v>40</v>
      </c>
      <c r="AE209" s="2" t="s">
        <v>40</v>
      </c>
      <c r="AF209" s="2" t="s">
        <v>40</v>
      </c>
      <c r="AH209" s="21" t="s">
        <v>925</v>
      </c>
      <c r="AI209" s="21" t="s">
        <v>925</v>
      </c>
      <c r="AJ209" s="2" t="s">
        <v>40</v>
      </c>
      <c r="AK209" s="2" t="s">
        <v>40</v>
      </c>
      <c r="AL209" s="20"/>
    </row>
    <row r="210" spans="1:38" x14ac:dyDescent="0.25">
      <c r="A210" s="15" t="s">
        <v>40</v>
      </c>
      <c r="B210" s="15" t="s">
        <v>40</v>
      </c>
      <c r="C210" s="14" t="s">
        <v>1137</v>
      </c>
      <c r="D210" s="14" t="s">
        <v>1603</v>
      </c>
      <c r="E210" s="14" t="s">
        <v>1603</v>
      </c>
      <c r="F210" s="1">
        <v>3.6055000000000001</v>
      </c>
      <c r="G210" s="1">
        <v>2.8935</v>
      </c>
      <c r="H210" s="1">
        <v>3.7440000000000002</v>
      </c>
      <c r="I210" s="1">
        <v>2.3344999999999998</v>
      </c>
      <c r="J210" s="1">
        <v>3.5735000000000001</v>
      </c>
      <c r="K210" s="1">
        <v>3.34</v>
      </c>
      <c r="L210" s="1">
        <v>0.93520000000000003</v>
      </c>
      <c r="M210" s="1">
        <v>0.87219999999999998</v>
      </c>
      <c r="N210" s="1">
        <v>0.89680000000000004</v>
      </c>
      <c r="O210" s="1">
        <f>(F210+G210)/2</f>
        <v>3.2495000000000003</v>
      </c>
      <c r="P210" s="1">
        <f>(H210+I210)/2</f>
        <v>3.03925</v>
      </c>
      <c r="Q210" s="1">
        <f>(J210+K210)/2</f>
        <v>3.45675</v>
      </c>
      <c r="R210" s="1">
        <f>(1-((MIN(F210:G210)/MAX(F210:G210))^2))^0.5</f>
        <v>0.59661994180630717</v>
      </c>
      <c r="S210" s="1">
        <f>(1-((MIN(H210:I210)/MAX(H210:I210))^2))^0.5</f>
        <v>0.78179863990435472</v>
      </c>
      <c r="T210" s="1">
        <f>(1-((MIN(J210:K210)/MAX(J210:K210))^2))^0.5</f>
        <v>0.35554832712745732</v>
      </c>
      <c r="U210" s="2">
        <v>12.541</v>
      </c>
      <c r="V210" s="2">
        <v>14.193</v>
      </c>
      <c r="W210" s="2">
        <v>17.507999999999999</v>
      </c>
      <c r="X210" s="1">
        <f>L210/2</f>
        <v>0.46760000000000002</v>
      </c>
      <c r="Y210" s="1">
        <f t="shared" ref="Y210" si="6">M210/2</f>
        <v>0.43609999999999999</v>
      </c>
      <c r="Z210" s="1">
        <f t="shared" ref="Z210" si="7">N210/2</f>
        <v>0.44840000000000002</v>
      </c>
      <c r="AA210" s="2">
        <v>83.7</v>
      </c>
      <c r="AB210" s="27" t="s">
        <v>40</v>
      </c>
      <c r="AC210" s="2" t="s">
        <v>40</v>
      </c>
      <c r="AD210" s="2" t="s">
        <v>40</v>
      </c>
      <c r="AE210" s="2" t="s">
        <v>40</v>
      </c>
      <c r="AF210" s="2" t="s">
        <v>40</v>
      </c>
      <c r="AH210" s="21" t="s">
        <v>925</v>
      </c>
      <c r="AI210" s="2" t="s">
        <v>40</v>
      </c>
      <c r="AJ210" s="2" t="s">
        <v>40</v>
      </c>
      <c r="AK210" s="2" t="s">
        <v>40</v>
      </c>
      <c r="AL210" s="20"/>
    </row>
    <row r="211" spans="1:38" x14ac:dyDescent="0.25">
      <c r="A211" s="14" t="s">
        <v>553</v>
      </c>
      <c r="B211" s="14" t="s">
        <v>63</v>
      </c>
      <c r="C211" s="14" t="s">
        <v>554</v>
      </c>
      <c r="D211" s="14" t="s">
        <v>1603</v>
      </c>
      <c r="E211" s="14" t="s">
        <v>1603</v>
      </c>
      <c r="F211" s="1">
        <v>3.62</v>
      </c>
      <c r="G211" s="1">
        <v>2.0499999999999998</v>
      </c>
      <c r="H211" s="48">
        <v>3.1</v>
      </c>
      <c r="I211" s="48">
        <v>2.06</v>
      </c>
      <c r="J211" s="48">
        <v>3.09</v>
      </c>
      <c r="K211" s="48">
        <v>2.5299999999999998</v>
      </c>
      <c r="L211" s="1">
        <v>0.74</v>
      </c>
      <c r="M211" s="48">
        <v>0.78</v>
      </c>
      <c r="N211" s="48">
        <v>0.83</v>
      </c>
      <c r="O211" s="1">
        <v>2.835</v>
      </c>
      <c r="P211" s="3">
        <v>2.58</v>
      </c>
      <c r="Q211" s="3">
        <v>2.8099999999999996</v>
      </c>
      <c r="R211" s="1">
        <v>0.82420033197932041</v>
      </c>
      <c r="S211" s="3">
        <v>0.74727392183588426</v>
      </c>
      <c r="T211" s="3">
        <v>0.57412134269350656</v>
      </c>
      <c r="U211" s="2">
        <v>14.5</v>
      </c>
      <c r="V211" s="46">
        <v>10.029999999999999</v>
      </c>
      <c r="W211" s="46">
        <v>12.5</v>
      </c>
      <c r="X211" s="1">
        <v>0.37</v>
      </c>
      <c r="Y211" s="3">
        <v>0.39</v>
      </c>
      <c r="Z211" s="3">
        <v>0.41499999999999998</v>
      </c>
      <c r="AA211" s="2">
        <v>116.5</v>
      </c>
      <c r="AB211" s="27">
        <v>52.4</v>
      </c>
      <c r="AC211" s="46">
        <v>4252.8959999999997</v>
      </c>
      <c r="AD211" s="2" t="s">
        <v>40</v>
      </c>
      <c r="AE211" s="4" t="s">
        <v>867</v>
      </c>
      <c r="AF211" s="4">
        <v>1.19</v>
      </c>
      <c r="AH211" s="21" t="s">
        <v>869</v>
      </c>
      <c r="AI211" s="21" t="s">
        <v>925</v>
      </c>
      <c r="AJ211" s="22" t="s">
        <v>953</v>
      </c>
      <c r="AK211" s="23" t="s">
        <v>40</v>
      </c>
      <c r="AL211" s="20" t="s">
        <v>1098</v>
      </c>
    </row>
    <row r="212" spans="1:38" x14ac:dyDescent="0.25">
      <c r="A212" s="14" t="s">
        <v>555</v>
      </c>
      <c r="B212" s="14" t="s">
        <v>556</v>
      </c>
      <c r="C212" s="14" t="s">
        <v>557</v>
      </c>
      <c r="D212" s="14" t="s">
        <v>1603</v>
      </c>
      <c r="E212" s="14" t="s">
        <v>1603</v>
      </c>
      <c r="F212" s="1">
        <v>3.177</v>
      </c>
      <c r="G212" s="1">
        <v>2.5625</v>
      </c>
      <c r="H212" s="1">
        <v>2.8250000000000002</v>
      </c>
      <c r="I212" s="1">
        <v>1.7825</v>
      </c>
      <c r="J212" s="1">
        <v>2.8725000000000001</v>
      </c>
      <c r="K212" s="1">
        <v>2.4304999999999999</v>
      </c>
      <c r="L212" s="1">
        <v>0.8</v>
      </c>
      <c r="M212" s="1">
        <v>0.85899999999999999</v>
      </c>
      <c r="N212" s="1">
        <v>0.85199999999999998</v>
      </c>
      <c r="O212" s="1">
        <v>2.8697499999999998</v>
      </c>
      <c r="P212" s="1">
        <v>2.30375</v>
      </c>
      <c r="Q212" s="1">
        <v>2.6515</v>
      </c>
      <c r="R212" s="1">
        <v>0.59112694894493978</v>
      </c>
      <c r="S212" s="1">
        <v>0.77580442362746738</v>
      </c>
      <c r="T212" s="1">
        <v>0.53298122524619929</v>
      </c>
      <c r="U212" s="2">
        <v>11.034000000000001</v>
      </c>
      <c r="V212" s="2">
        <v>9.3539999999999992</v>
      </c>
      <c r="W212" s="2">
        <v>11.308</v>
      </c>
      <c r="X212" s="1">
        <v>0.4</v>
      </c>
      <c r="Y212" s="1">
        <v>0.42949999999999999</v>
      </c>
      <c r="Z212" s="1">
        <v>0.42599999999999999</v>
      </c>
      <c r="AA212" s="2">
        <v>91</v>
      </c>
      <c r="AB212" s="27">
        <v>46.7</v>
      </c>
      <c r="AC212" s="46">
        <v>2476.3960000000002</v>
      </c>
      <c r="AD212" s="2" t="s">
        <v>40</v>
      </c>
      <c r="AE212" s="4" t="s">
        <v>867</v>
      </c>
      <c r="AF212" s="4">
        <v>1.19</v>
      </c>
      <c r="AH212" s="21" t="s">
        <v>925</v>
      </c>
      <c r="AI212" s="21" t="s">
        <v>925</v>
      </c>
      <c r="AJ212" s="22" t="s">
        <v>953</v>
      </c>
      <c r="AK212" s="23" t="s">
        <v>40</v>
      </c>
      <c r="AL212" s="20" t="s">
        <v>1098</v>
      </c>
    </row>
    <row r="213" spans="1:38" x14ac:dyDescent="0.25">
      <c r="A213" s="14" t="s">
        <v>558</v>
      </c>
      <c r="B213" s="14" t="s">
        <v>559</v>
      </c>
      <c r="C213" s="14" t="s">
        <v>560</v>
      </c>
      <c r="D213" s="14" t="s">
        <v>1603</v>
      </c>
      <c r="E213" s="14" t="s">
        <v>1603</v>
      </c>
      <c r="F213" s="1">
        <v>3.681</v>
      </c>
      <c r="G213" s="1">
        <v>1.8580000000000001</v>
      </c>
      <c r="H213" s="1">
        <v>3.661</v>
      </c>
      <c r="I213" s="1">
        <v>2.2065000000000001</v>
      </c>
      <c r="J213" s="1">
        <v>3.1909999999999998</v>
      </c>
      <c r="K213" s="1">
        <v>1.6819999999999999</v>
      </c>
      <c r="L213" s="1">
        <v>0.64500000000000002</v>
      </c>
      <c r="M213" s="1">
        <v>0.59499999999999997</v>
      </c>
      <c r="N213" s="1">
        <v>0.73199999999999998</v>
      </c>
      <c r="O213" s="1">
        <v>2.7694999999999999</v>
      </c>
      <c r="P213" s="1">
        <v>2.9337499999999999</v>
      </c>
      <c r="Q213" s="1">
        <v>2.4364999999999997</v>
      </c>
      <c r="R213" s="1">
        <v>0.86326314367600143</v>
      </c>
      <c r="S213" s="1">
        <v>0.79796470623186844</v>
      </c>
      <c r="T213" s="1">
        <v>0.84979861978048599</v>
      </c>
      <c r="U213" s="2">
        <v>9.9130000000000003</v>
      </c>
      <c r="V213" s="2">
        <v>10.598000000000001</v>
      </c>
      <c r="W213" s="2">
        <v>11.66</v>
      </c>
      <c r="X213" s="1">
        <v>0.32250000000000001</v>
      </c>
      <c r="Y213" s="1">
        <v>0.29749999999999999</v>
      </c>
      <c r="Z213" s="1">
        <v>0.36599999999999999</v>
      </c>
      <c r="AA213" s="2">
        <v>87</v>
      </c>
      <c r="AB213" s="2">
        <v>59.8</v>
      </c>
      <c r="AC213" s="46">
        <v>4008.0720000000001</v>
      </c>
      <c r="AD213" s="2" t="s">
        <v>40</v>
      </c>
      <c r="AE213" s="4" t="s">
        <v>867</v>
      </c>
      <c r="AF213" s="4">
        <v>1.19</v>
      </c>
      <c r="AH213" s="21" t="s">
        <v>925</v>
      </c>
      <c r="AI213" s="21" t="s">
        <v>924</v>
      </c>
      <c r="AJ213" s="22" t="s">
        <v>953</v>
      </c>
      <c r="AK213" s="23" t="s">
        <v>40</v>
      </c>
      <c r="AL213" s="20" t="s">
        <v>1098</v>
      </c>
    </row>
    <row r="214" spans="1:38" x14ac:dyDescent="0.25">
      <c r="A214" s="14" t="s">
        <v>561</v>
      </c>
      <c r="B214" s="14" t="s">
        <v>562</v>
      </c>
      <c r="C214" s="14" t="s">
        <v>563</v>
      </c>
      <c r="D214" s="14" t="s">
        <v>1603</v>
      </c>
      <c r="E214" s="14" t="s">
        <v>1603</v>
      </c>
      <c r="F214" s="1">
        <v>2.5295000000000001</v>
      </c>
      <c r="G214" s="1">
        <v>2.1190000000000002</v>
      </c>
      <c r="H214" s="1">
        <v>2.5209999999999999</v>
      </c>
      <c r="I214" s="1">
        <v>1.7805</v>
      </c>
      <c r="J214" s="1">
        <v>2.726</v>
      </c>
      <c r="K214" s="1">
        <v>1.5485</v>
      </c>
      <c r="L214" s="1">
        <v>0.52100000000000002</v>
      </c>
      <c r="M214" s="1">
        <v>0.54900000000000004</v>
      </c>
      <c r="N214" s="1">
        <v>0.58399999999999996</v>
      </c>
      <c r="O214" s="1">
        <v>2.3242500000000001</v>
      </c>
      <c r="P214" s="1">
        <v>2.1507499999999999</v>
      </c>
      <c r="Q214" s="1">
        <v>2.1372499999999999</v>
      </c>
      <c r="R214" s="1">
        <v>0.54610771835137684</v>
      </c>
      <c r="S214" s="1">
        <v>0.7079452128213769</v>
      </c>
      <c r="T214" s="1">
        <v>0.82299513339072616</v>
      </c>
      <c r="U214" s="2">
        <v>7.8040000000000003</v>
      </c>
      <c r="V214" s="2">
        <v>6.6630000000000003</v>
      </c>
      <c r="W214" s="2">
        <v>9.0109999999999992</v>
      </c>
      <c r="X214" s="1">
        <v>0.26050000000000001</v>
      </c>
      <c r="Y214" s="1">
        <v>0.27450000000000002</v>
      </c>
      <c r="Z214" s="1">
        <v>0.29199999999999998</v>
      </c>
      <c r="AA214" s="2">
        <v>93.1</v>
      </c>
      <c r="AB214" s="2">
        <v>40.1</v>
      </c>
      <c r="AC214" s="46">
        <v>1830.0060000000001</v>
      </c>
      <c r="AD214" s="2" t="s">
        <v>40</v>
      </c>
      <c r="AE214" s="4" t="s">
        <v>867</v>
      </c>
      <c r="AF214" s="4">
        <v>1.19</v>
      </c>
      <c r="AH214" s="21" t="s">
        <v>925</v>
      </c>
      <c r="AI214" s="21" t="s">
        <v>925</v>
      </c>
      <c r="AJ214" s="22" t="s">
        <v>953</v>
      </c>
      <c r="AK214" s="23" t="s">
        <v>40</v>
      </c>
      <c r="AL214" s="20" t="s">
        <v>1098</v>
      </c>
    </row>
    <row r="215" spans="1:38" x14ac:dyDescent="0.25">
      <c r="A215" s="14" t="s">
        <v>564</v>
      </c>
      <c r="B215" s="14" t="s">
        <v>565</v>
      </c>
      <c r="C215" s="14" t="s">
        <v>566</v>
      </c>
      <c r="D215" s="14" t="s">
        <v>1604</v>
      </c>
      <c r="E215" s="14" t="s">
        <v>1604</v>
      </c>
      <c r="F215" s="1">
        <v>3.96</v>
      </c>
      <c r="G215" s="1">
        <v>2.93</v>
      </c>
      <c r="H215" s="1">
        <v>3.41</v>
      </c>
      <c r="I215" s="1">
        <v>2.1150000000000002</v>
      </c>
      <c r="J215" s="1">
        <v>2.645</v>
      </c>
      <c r="K215" s="1">
        <v>2.6</v>
      </c>
      <c r="L215" s="1">
        <v>0.61</v>
      </c>
      <c r="M215" s="1">
        <v>0.64</v>
      </c>
      <c r="N215" s="1">
        <v>0.66</v>
      </c>
      <c r="O215" s="1">
        <v>3.4450000000000003</v>
      </c>
      <c r="P215" s="1">
        <v>2.7625000000000002</v>
      </c>
      <c r="Q215" s="1">
        <v>2.6225000000000001</v>
      </c>
      <c r="R215" s="1">
        <v>0.67271798307050956</v>
      </c>
      <c r="S215" s="1">
        <v>0.78441636639606427</v>
      </c>
      <c r="T215" s="1">
        <v>0.18367638647298626</v>
      </c>
      <c r="U215" s="2">
        <v>12.07</v>
      </c>
      <c r="V215" s="2">
        <v>10.370000000000001</v>
      </c>
      <c r="W215" s="2">
        <v>11.599999999999998</v>
      </c>
      <c r="X215" s="1">
        <v>0.30499999999999999</v>
      </c>
      <c r="Y215" s="1">
        <v>0.32</v>
      </c>
      <c r="Z215" s="1">
        <v>0.33</v>
      </c>
      <c r="AA215" s="2">
        <v>85.5</v>
      </c>
      <c r="AB215" s="2">
        <v>41</v>
      </c>
      <c r="AC215" s="46">
        <v>1714.366</v>
      </c>
      <c r="AD215" s="2" t="s">
        <v>40</v>
      </c>
      <c r="AE215" s="4" t="s">
        <v>867</v>
      </c>
      <c r="AF215" s="4">
        <v>1.19</v>
      </c>
      <c r="AH215" s="21" t="s">
        <v>1105</v>
      </c>
      <c r="AI215" s="21" t="s">
        <v>1105</v>
      </c>
      <c r="AJ215" s="22" t="s">
        <v>953</v>
      </c>
      <c r="AK215" s="23" t="s">
        <v>40</v>
      </c>
      <c r="AL215" s="20" t="s">
        <v>1098</v>
      </c>
    </row>
    <row r="216" spans="1:38" x14ac:dyDescent="0.25">
      <c r="A216" s="14" t="s">
        <v>567</v>
      </c>
      <c r="B216" s="14" t="s">
        <v>568</v>
      </c>
      <c r="C216" s="14" t="s">
        <v>569</v>
      </c>
      <c r="D216" s="14" t="s">
        <v>1604</v>
      </c>
      <c r="E216" s="14" t="s">
        <v>1604</v>
      </c>
      <c r="F216" s="1">
        <v>3.45275</v>
      </c>
      <c r="G216" s="1">
        <v>2.1869999999999998</v>
      </c>
      <c r="H216" s="1">
        <v>3.0017500000000004</v>
      </c>
      <c r="I216" s="1">
        <v>1.5634999999999999</v>
      </c>
      <c r="J216" s="1">
        <v>2.8002500000000001</v>
      </c>
      <c r="K216" s="1">
        <v>2.3544999999999998</v>
      </c>
      <c r="L216" s="1">
        <v>0.504</v>
      </c>
      <c r="M216" s="1">
        <v>0.51500000000000001</v>
      </c>
      <c r="N216" s="1">
        <v>0.52500000000000002</v>
      </c>
      <c r="O216" s="1">
        <v>2.8198749999999997</v>
      </c>
      <c r="P216" s="1">
        <v>2.2826250000000003</v>
      </c>
      <c r="Q216" s="1">
        <v>2.577375</v>
      </c>
      <c r="R216" s="1">
        <v>0.77381788026154263</v>
      </c>
      <c r="S216" s="1">
        <v>0.85364038816582877</v>
      </c>
      <c r="T216" s="1">
        <v>0.54131825564702851</v>
      </c>
      <c r="U216" s="2">
        <v>10.1495</v>
      </c>
      <c r="V216" s="2">
        <v>7.9184999999999999</v>
      </c>
      <c r="W216" s="2">
        <v>10.176</v>
      </c>
      <c r="X216" s="1">
        <v>0.252</v>
      </c>
      <c r="Y216" s="1">
        <v>0.25750000000000001</v>
      </c>
      <c r="Z216" s="1">
        <v>0.26250000000000001</v>
      </c>
      <c r="AA216" s="2">
        <v>82.8</v>
      </c>
      <c r="AB216" s="2">
        <v>46.8</v>
      </c>
      <c r="AC216" s="46">
        <v>2192.6190000000001</v>
      </c>
      <c r="AD216" s="2" t="s">
        <v>40</v>
      </c>
      <c r="AE216" s="4" t="s">
        <v>867</v>
      </c>
      <c r="AF216" s="4">
        <v>1.19</v>
      </c>
      <c r="AH216" s="21" t="s">
        <v>1150</v>
      </c>
      <c r="AI216" s="21" t="s">
        <v>924</v>
      </c>
      <c r="AJ216" s="22" t="s">
        <v>953</v>
      </c>
      <c r="AK216" s="23" t="s">
        <v>40</v>
      </c>
      <c r="AL216" s="20" t="s">
        <v>1098</v>
      </c>
    </row>
    <row r="217" spans="1:38" x14ac:dyDescent="0.25">
      <c r="A217" s="15" t="s">
        <v>40</v>
      </c>
      <c r="B217" s="15" t="s">
        <v>40</v>
      </c>
      <c r="C217" s="14" t="s">
        <v>1138</v>
      </c>
      <c r="D217" s="14" t="s">
        <v>1604</v>
      </c>
      <c r="E217" s="14" t="s">
        <v>1604</v>
      </c>
      <c r="F217" s="1">
        <v>2.7650000000000001</v>
      </c>
      <c r="G217" s="1">
        <v>1.7735000000000001</v>
      </c>
      <c r="H217" s="1">
        <v>2.4180000000000001</v>
      </c>
      <c r="I217" s="1">
        <v>1.3514999999999999</v>
      </c>
      <c r="J217" s="1">
        <v>2.4765000000000001</v>
      </c>
      <c r="K217" s="1">
        <v>1.88</v>
      </c>
      <c r="L217" s="1">
        <v>0.59399999999999997</v>
      </c>
      <c r="M217" s="1">
        <v>0.58399999999999996</v>
      </c>
      <c r="N217" s="1">
        <v>0.59799999999999998</v>
      </c>
      <c r="O217" s="1">
        <v>2.26925</v>
      </c>
      <c r="P217" s="1">
        <v>1.8847499999999999</v>
      </c>
      <c r="Q217" s="1">
        <v>2.1782500000000002</v>
      </c>
      <c r="R217" s="1">
        <v>0.76719787901695613</v>
      </c>
      <c r="S217" s="1">
        <v>0.82921281872456543</v>
      </c>
      <c r="T217" s="1">
        <v>0.65093219299537941</v>
      </c>
      <c r="U217" s="2">
        <v>7.9710000000000001</v>
      </c>
      <c r="V217" s="2">
        <v>6.4669999999999996</v>
      </c>
      <c r="W217" s="2">
        <v>8.5250000000000004</v>
      </c>
      <c r="X217" s="1">
        <v>0.29699999999999999</v>
      </c>
      <c r="Y217" s="1">
        <v>0.29199999999999998</v>
      </c>
      <c r="Z217" s="1">
        <v>0.29899999999999999</v>
      </c>
      <c r="AA217" s="2">
        <v>49.7</v>
      </c>
      <c r="AB217" s="2" t="s">
        <v>40</v>
      </c>
      <c r="AC217" s="2" t="s">
        <v>40</v>
      </c>
      <c r="AD217" s="2" t="s">
        <v>40</v>
      </c>
      <c r="AE217" s="2" t="s">
        <v>40</v>
      </c>
      <c r="AF217" s="2" t="s">
        <v>40</v>
      </c>
      <c r="AH217" s="21" t="s">
        <v>925</v>
      </c>
      <c r="AI217" s="2" t="s">
        <v>40</v>
      </c>
      <c r="AJ217" s="2" t="s">
        <v>40</v>
      </c>
      <c r="AK217" s="2" t="s">
        <v>40</v>
      </c>
      <c r="AL217" s="20"/>
    </row>
    <row r="218" spans="1:38" x14ac:dyDescent="0.25">
      <c r="A218" s="15" t="s">
        <v>40</v>
      </c>
      <c r="B218" s="15" t="s">
        <v>40</v>
      </c>
      <c r="C218" s="14" t="s">
        <v>1139</v>
      </c>
      <c r="D218" s="14" t="s">
        <v>1604</v>
      </c>
      <c r="E218" s="14" t="s">
        <v>1604</v>
      </c>
      <c r="F218" s="1">
        <v>4.1405000000000003</v>
      </c>
      <c r="G218" s="1">
        <v>2.6004999999999998</v>
      </c>
      <c r="H218" s="1">
        <v>3.5855000000000001</v>
      </c>
      <c r="I218" s="1">
        <v>1.7755000000000001</v>
      </c>
      <c r="J218" s="1">
        <v>3.1240000000000001</v>
      </c>
      <c r="K218" s="1">
        <v>2.8290000000000002</v>
      </c>
      <c r="L218" s="1">
        <v>0.41399999999999998</v>
      </c>
      <c r="M218" s="1">
        <v>0.44600000000000001</v>
      </c>
      <c r="N218" s="1">
        <v>0.45200000000000001</v>
      </c>
      <c r="O218" s="1">
        <v>3.3704999999999998</v>
      </c>
      <c r="P218" s="1">
        <v>2.6805000000000003</v>
      </c>
      <c r="Q218" s="1">
        <v>2.9765000000000001</v>
      </c>
      <c r="R218" s="1">
        <v>0.77816149101649379</v>
      </c>
      <c r="S218" s="1">
        <v>0.8687853004832069</v>
      </c>
      <c r="T218" s="1">
        <v>0.42419732357733037</v>
      </c>
      <c r="U218" s="2">
        <v>12.327999999999999</v>
      </c>
      <c r="V218" s="2">
        <v>9.3699999999999992</v>
      </c>
      <c r="W218" s="2">
        <v>11.827</v>
      </c>
      <c r="X218" s="1">
        <v>0.20699999999999999</v>
      </c>
      <c r="Y218" s="1">
        <v>0.223</v>
      </c>
      <c r="Z218" s="1">
        <v>0.22600000000000001</v>
      </c>
      <c r="AA218" s="2">
        <v>115.8</v>
      </c>
      <c r="AB218" s="2" t="s">
        <v>40</v>
      </c>
      <c r="AC218" s="2" t="s">
        <v>40</v>
      </c>
      <c r="AD218" s="2" t="s">
        <v>40</v>
      </c>
      <c r="AE218" s="2" t="s">
        <v>40</v>
      </c>
      <c r="AF218" s="2" t="s">
        <v>40</v>
      </c>
      <c r="AH218" s="21" t="s">
        <v>925</v>
      </c>
      <c r="AI218" s="2" t="s">
        <v>40</v>
      </c>
      <c r="AJ218" s="2" t="s">
        <v>40</v>
      </c>
      <c r="AK218" s="2" t="s">
        <v>40</v>
      </c>
      <c r="AL218" s="20"/>
    </row>
    <row r="219" spans="1:38" x14ac:dyDescent="0.25">
      <c r="A219" s="14" t="s">
        <v>570</v>
      </c>
      <c r="B219" s="14" t="s">
        <v>571</v>
      </c>
      <c r="C219" s="14" t="s">
        <v>572</v>
      </c>
      <c r="D219" s="14" t="s">
        <v>1604</v>
      </c>
      <c r="E219" s="14" t="s">
        <v>1604</v>
      </c>
      <c r="F219" s="1">
        <v>3.18</v>
      </c>
      <c r="G219" s="1">
        <v>1.96</v>
      </c>
      <c r="H219" s="1">
        <v>2.83</v>
      </c>
      <c r="I219" s="1">
        <v>1.78</v>
      </c>
      <c r="J219" s="1">
        <v>2.68</v>
      </c>
      <c r="K219" s="1">
        <v>2.42</v>
      </c>
      <c r="L219" s="1">
        <v>0.72</v>
      </c>
      <c r="M219" s="1">
        <v>0.8</v>
      </c>
      <c r="N219" s="1">
        <v>1.02</v>
      </c>
      <c r="O219" s="1">
        <v>2.5700000000000003</v>
      </c>
      <c r="P219" s="1">
        <v>2.3050000000000002</v>
      </c>
      <c r="Q219" s="1">
        <v>2.5499999999999998</v>
      </c>
      <c r="R219" s="1">
        <v>0.78747061151803521</v>
      </c>
      <c r="S219" s="1">
        <v>0.77742531216571187</v>
      </c>
      <c r="T219" s="1">
        <v>0.42967191553685924</v>
      </c>
      <c r="U219" s="2">
        <v>9.3000000000000007</v>
      </c>
      <c r="V219" s="2">
        <v>7</v>
      </c>
      <c r="W219" s="2">
        <v>11.7</v>
      </c>
      <c r="X219" s="1">
        <v>0.36</v>
      </c>
      <c r="Y219" s="1">
        <v>0.4</v>
      </c>
      <c r="Z219" s="1">
        <v>0.51</v>
      </c>
      <c r="AA219" s="2">
        <v>93.4</v>
      </c>
      <c r="AB219" s="2">
        <v>60.3</v>
      </c>
      <c r="AC219" s="46">
        <v>4363.4459999999999</v>
      </c>
      <c r="AD219" s="2" t="s">
        <v>40</v>
      </c>
      <c r="AE219" s="4" t="s">
        <v>867</v>
      </c>
      <c r="AF219" s="4">
        <v>1.19</v>
      </c>
      <c r="AH219" s="21" t="s">
        <v>925</v>
      </c>
      <c r="AI219" s="21" t="s">
        <v>924</v>
      </c>
      <c r="AJ219" s="22" t="s">
        <v>953</v>
      </c>
      <c r="AK219" s="23" t="s">
        <v>40</v>
      </c>
      <c r="AL219" s="20" t="s">
        <v>1098</v>
      </c>
    </row>
    <row r="220" spans="1:38" x14ac:dyDescent="0.25">
      <c r="A220" s="14" t="s">
        <v>573</v>
      </c>
      <c r="B220" s="14" t="s">
        <v>574</v>
      </c>
      <c r="C220" s="14" t="s">
        <v>575</v>
      </c>
      <c r="D220" s="14" t="s">
        <v>1604</v>
      </c>
      <c r="E220" s="14" t="s">
        <v>1604</v>
      </c>
      <c r="F220" s="1">
        <v>2.6697500000000001</v>
      </c>
      <c r="G220" s="1">
        <v>1.7017500000000001</v>
      </c>
      <c r="H220" s="1">
        <v>2.7362500000000001</v>
      </c>
      <c r="I220" s="1">
        <v>1.8544999999999998</v>
      </c>
      <c r="J220" s="1">
        <v>2.5009999999999999</v>
      </c>
      <c r="K220" s="1">
        <v>1.8527499999999999</v>
      </c>
      <c r="L220" s="1">
        <v>0.3735</v>
      </c>
      <c r="M220" s="1">
        <v>0.42049999999999998</v>
      </c>
      <c r="N220" s="1">
        <v>0.51749999999999996</v>
      </c>
      <c r="O220" s="1">
        <v>2.1857500000000001</v>
      </c>
      <c r="P220" s="1">
        <v>2.2953749999999999</v>
      </c>
      <c r="Q220" s="1">
        <v>2.1768749999999999</v>
      </c>
      <c r="R220" s="1">
        <v>0.75237446762519844</v>
      </c>
      <c r="S220" s="1">
        <v>0.73501088689946603</v>
      </c>
      <c r="T220" s="1">
        <v>0.66977457480093361</v>
      </c>
      <c r="U220" s="2">
        <v>6.46</v>
      </c>
      <c r="V220" s="2">
        <v>8.0905000000000005</v>
      </c>
      <c r="W220" s="2">
        <v>10.218</v>
      </c>
      <c r="X220" s="1">
        <v>0.18675</v>
      </c>
      <c r="Y220" s="1">
        <v>0.21024999999999999</v>
      </c>
      <c r="Z220" s="1">
        <v>0.25874999999999998</v>
      </c>
      <c r="AA220" s="2">
        <v>71.7</v>
      </c>
      <c r="AB220" s="2">
        <v>40.9</v>
      </c>
      <c r="AC220" s="46">
        <v>1376.4369999999999</v>
      </c>
      <c r="AD220" s="2" t="s">
        <v>40</v>
      </c>
      <c r="AE220" s="4" t="s">
        <v>867</v>
      </c>
      <c r="AF220" s="4">
        <v>1.19</v>
      </c>
      <c r="AH220" s="21" t="s">
        <v>1150</v>
      </c>
      <c r="AI220" s="21" t="s">
        <v>924</v>
      </c>
      <c r="AJ220" s="22" t="s">
        <v>953</v>
      </c>
      <c r="AK220" s="23" t="s">
        <v>40</v>
      </c>
      <c r="AL220" s="20" t="s">
        <v>1098</v>
      </c>
    </row>
    <row r="221" spans="1:38" x14ac:dyDescent="0.25">
      <c r="A221" s="15" t="s">
        <v>40</v>
      </c>
      <c r="B221" s="15" t="s">
        <v>40</v>
      </c>
      <c r="C221" s="14" t="s">
        <v>1140</v>
      </c>
      <c r="D221" s="14" t="s">
        <v>1604</v>
      </c>
      <c r="E221" s="14" t="s">
        <v>1604</v>
      </c>
      <c r="F221" s="1">
        <v>2.3485</v>
      </c>
      <c r="G221" s="1">
        <v>1.7315</v>
      </c>
      <c r="H221" s="1">
        <v>2.6135000000000002</v>
      </c>
      <c r="I221" s="1">
        <v>1.7869999999999999</v>
      </c>
      <c r="J221" s="1">
        <v>2.5259999999999998</v>
      </c>
      <c r="K221" s="1">
        <v>1.7935000000000001</v>
      </c>
      <c r="L221" s="1">
        <v>0.39100000000000001</v>
      </c>
      <c r="M221" s="1">
        <v>0.40899999999999997</v>
      </c>
      <c r="N221" s="1">
        <v>0.56699999999999995</v>
      </c>
      <c r="O221" s="1">
        <v>2.04</v>
      </c>
      <c r="P221" s="1">
        <v>2.20025</v>
      </c>
      <c r="Q221" s="1">
        <v>2.1597499999999998</v>
      </c>
      <c r="R221" s="1">
        <v>0.6755882677898466</v>
      </c>
      <c r="S221" s="1">
        <v>0.72970939392278111</v>
      </c>
      <c r="T221" s="1">
        <v>0.70418570960020299</v>
      </c>
      <c r="U221" s="2">
        <v>5</v>
      </c>
      <c r="V221" s="2">
        <v>8.5069999999999997</v>
      </c>
      <c r="W221" s="2">
        <v>10.898</v>
      </c>
      <c r="X221" s="1">
        <v>0.19550000000000001</v>
      </c>
      <c r="Y221" s="1">
        <v>0.20449999999999999</v>
      </c>
      <c r="Z221" s="1">
        <v>0.28349999999999997</v>
      </c>
      <c r="AA221" s="2">
        <v>70.88</v>
      </c>
      <c r="AB221" s="2" t="s">
        <v>40</v>
      </c>
      <c r="AC221" s="2" t="s">
        <v>40</v>
      </c>
      <c r="AD221" s="2" t="s">
        <v>40</v>
      </c>
      <c r="AE221" s="2" t="s">
        <v>40</v>
      </c>
      <c r="AF221" s="2" t="s">
        <v>40</v>
      </c>
      <c r="AH221" s="21" t="s">
        <v>925</v>
      </c>
      <c r="AI221" s="2" t="s">
        <v>40</v>
      </c>
      <c r="AJ221" s="2" t="s">
        <v>40</v>
      </c>
      <c r="AK221" s="2" t="s">
        <v>40</v>
      </c>
      <c r="AL221" s="20"/>
    </row>
    <row r="222" spans="1:38" x14ac:dyDescent="0.25">
      <c r="A222" s="15" t="s">
        <v>40</v>
      </c>
      <c r="B222" s="15" t="s">
        <v>40</v>
      </c>
      <c r="C222" s="14" t="s">
        <v>1141</v>
      </c>
      <c r="D222" s="14" t="s">
        <v>1604</v>
      </c>
      <c r="E222" s="14" t="s">
        <v>1604</v>
      </c>
      <c r="F222" s="1">
        <v>2.9910000000000001</v>
      </c>
      <c r="G222" s="1">
        <v>1.6719999999999999</v>
      </c>
      <c r="H222" s="1">
        <v>2.859</v>
      </c>
      <c r="I222" s="1">
        <v>1.9219999999999999</v>
      </c>
      <c r="J222" s="1">
        <v>2.476</v>
      </c>
      <c r="K222" s="1">
        <v>1.9119999999999999</v>
      </c>
      <c r="L222" s="1">
        <v>0.35599999999999998</v>
      </c>
      <c r="M222" s="1">
        <v>0.432</v>
      </c>
      <c r="N222" s="1">
        <v>0.46800000000000003</v>
      </c>
      <c r="O222" s="1">
        <v>2.3315000000000001</v>
      </c>
      <c r="P222" s="1">
        <v>2.3904999999999998</v>
      </c>
      <c r="Q222" s="1">
        <v>2.194</v>
      </c>
      <c r="R222" s="1">
        <v>0.82916066746055017</v>
      </c>
      <c r="S222" s="1">
        <v>0.74031237987615095</v>
      </c>
      <c r="T222" s="1">
        <v>0.63536344000166423</v>
      </c>
      <c r="U222" s="2">
        <v>7.92</v>
      </c>
      <c r="V222" s="2">
        <v>7.6740000000000004</v>
      </c>
      <c r="W222" s="2">
        <v>9.5380000000000003</v>
      </c>
      <c r="X222" s="1">
        <v>0.17799999999999999</v>
      </c>
      <c r="Y222" s="1">
        <v>0.216</v>
      </c>
      <c r="Z222" s="1">
        <v>0.23400000000000001</v>
      </c>
      <c r="AA222" s="2">
        <v>72.540000000000006</v>
      </c>
      <c r="AB222" s="2" t="s">
        <v>40</v>
      </c>
      <c r="AC222" s="2" t="s">
        <v>40</v>
      </c>
      <c r="AD222" s="2" t="s">
        <v>40</v>
      </c>
      <c r="AE222" s="2" t="s">
        <v>40</v>
      </c>
      <c r="AF222" s="2" t="s">
        <v>40</v>
      </c>
      <c r="AH222" s="21" t="s">
        <v>925</v>
      </c>
      <c r="AI222" s="2" t="s">
        <v>40</v>
      </c>
      <c r="AJ222" s="2" t="s">
        <v>40</v>
      </c>
      <c r="AK222" s="2" t="s">
        <v>40</v>
      </c>
      <c r="AL222" s="20"/>
    </row>
    <row r="223" spans="1:38" x14ac:dyDescent="0.25">
      <c r="A223" s="14" t="s">
        <v>576</v>
      </c>
      <c r="B223" s="14" t="s">
        <v>577</v>
      </c>
      <c r="C223" s="14" t="s">
        <v>578</v>
      </c>
      <c r="D223" s="14" t="s">
        <v>1604</v>
      </c>
      <c r="E223" s="14" t="s">
        <v>1604</v>
      </c>
      <c r="F223" s="1">
        <v>3.919</v>
      </c>
      <c r="G223" s="1">
        <v>2.2505000000000002</v>
      </c>
      <c r="H223" s="1">
        <v>3.169</v>
      </c>
      <c r="I223" s="1">
        <v>2.4689999999999999</v>
      </c>
      <c r="J223" s="1">
        <v>3.0815000000000001</v>
      </c>
      <c r="K223" s="1">
        <v>2.5594999999999999</v>
      </c>
      <c r="L223" s="1">
        <v>0.621</v>
      </c>
      <c r="M223" s="1">
        <v>0.57499999999999996</v>
      </c>
      <c r="N223" s="1">
        <v>0.64400000000000002</v>
      </c>
      <c r="O223" s="1">
        <v>3.0847500000000001</v>
      </c>
      <c r="P223" s="1">
        <v>2.819</v>
      </c>
      <c r="Q223" s="1">
        <v>2.8205</v>
      </c>
      <c r="R223" s="1">
        <v>0.81867744648888419</v>
      </c>
      <c r="S223" s="1">
        <v>0.62688707619478512</v>
      </c>
      <c r="T223" s="1">
        <v>0.55686654735100771</v>
      </c>
      <c r="U223" s="2">
        <v>11.657</v>
      </c>
      <c r="V223" s="2">
        <v>10.137</v>
      </c>
      <c r="W223" s="2">
        <v>11.776</v>
      </c>
      <c r="X223" s="1">
        <v>0.3105</v>
      </c>
      <c r="Y223" s="1">
        <v>0.28749999999999998</v>
      </c>
      <c r="Z223" s="1">
        <v>0.32200000000000001</v>
      </c>
      <c r="AA223" s="2">
        <v>101.5</v>
      </c>
      <c r="AB223" s="2">
        <v>60.9</v>
      </c>
      <c r="AC223" s="46">
        <v>4881.607</v>
      </c>
      <c r="AD223" s="2" t="s">
        <v>40</v>
      </c>
      <c r="AE223" s="4" t="s">
        <v>867</v>
      </c>
      <c r="AF223" s="4">
        <v>1.19</v>
      </c>
      <c r="AH223" s="21" t="s">
        <v>925</v>
      </c>
      <c r="AI223" s="21" t="s">
        <v>925</v>
      </c>
      <c r="AJ223" s="22" t="s">
        <v>953</v>
      </c>
      <c r="AK223" s="23" t="s">
        <v>40</v>
      </c>
      <c r="AL223" s="20" t="s">
        <v>1098</v>
      </c>
    </row>
    <row r="224" spans="1:38" x14ac:dyDescent="0.25">
      <c r="A224" s="14" t="s">
        <v>579</v>
      </c>
      <c r="B224" s="14" t="s">
        <v>580</v>
      </c>
      <c r="C224" s="14" t="s">
        <v>581</v>
      </c>
      <c r="D224" s="14" t="s">
        <v>1604</v>
      </c>
      <c r="E224" s="14" t="s">
        <v>1604</v>
      </c>
      <c r="F224" s="1">
        <v>4.41</v>
      </c>
      <c r="G224" s="1">
        <v>2.2799999999999998</v>
      </c>
      <c r="H224" s="1">
        <v>2.2999999999999998</v>
      </c>
      <c r="I224" s="1">
        <v>3.11</v>
      </c>
      <c r="J224" s="1">
        <v>3.76</v>
      </c>
      <c r="K224" s="1">
        <v>2.1800000000000002</v>
      </c>
      <c r="L224" s="1">
        <v>0.44</v>
      </c>
      <c r="M224" s="1">
        <v>0.43</v>
      </c>
      <c r="N224" s="1">
        <v>0.75</v>
      </c>
      <c r="O224" s="1">
        <v>3.3449999999999998</v>
      </c>
      <c r="P224" s="1">
        <v>2.7050000000000001</v>
      </c>
      <c r="Q224" s="1">
        <v>2.9699999999999998</v>
      </c>
      <c r="R224" s="1">
        <v>0.85598128831191023</v>
      </c>
      <c r="S224" s="1">
        <v>0.67310180158531874</v>
      </c>
      <c r="T224" s="1">
        <v>0.8147679198650899</v>
      </c>
      <c r="U224" s="2">
        <v>10.4</v>
      </c>
      <c r="V224" s="2">
        <v>9.6</v>
      </c>
      <c r="W224" s="2">
        <v>11.8</v>
      </c>
      <c r="X224" s="1">
        <v>0.22</v>
      </c>
      <c r="Y224" s="1">
        <v>0.215</v>
      </c>
      <c r="Z224" s="1">
        <v>0.375</v>
      </c>
      <c r="AA224" s="2">
        <v>93</v>
      </c>
      <c r="AB224" s="2">
        <v>53</v>
      </c>
      <c r="AC224" s="46">
        <v>3260.105</v>
      </c>
      <c r="AD224" s="2" t="s">
        <v>40</v>
      </c>
      <c r="AE224" s="4" t="s">
        <v>867</v>
      </c>
      <c r="AF224" s="4">
        <v>1.19</v>
      </c>
      <c r="AH224" s="21" t="s">
        <v>925</v>
      </c>
      <c r="AI224" s="21" t="s">
        <v>925</v>
      </c>
      <c r="AJ224" s="22" t="s">
        <v>953</v>
      </c>
      <c r="AK224" s="23" t="s">
        <v>40</v>
      </c>
      <c r="AL224" s="20" t="s">
        <v>1098</v>
      </c>
    </row>
    <row r="225" spans="1:38" x14ac:dyDescent="0.25">
      <c r="A225" s="14" t="s">
        <v>582</v>
      </c>
      <c r="B225" s="14" t="s">
        <v>583</v>
      </c>
      <c r="C225" s="14" t="s">
        <v>584</v>
      </c>
      <c r="D225" s="14" t="s">
        <v>1604</v>
      </c>
      <c r="E225" s="14" t="s">
        <v>1604</v>
      </c>
      <c r="F225" s="1">
        <v>3.77</v>
      </c>
      <c r="G225" s="1">
        <v>1.99</v>
      </c>
      <c r="H225" s="1">
        <v>3.79</v>
      </c>
      <c r="I225" s="1">
        <v>2.06</v>
      </c>
      <c r="J225" s="1">
        <v>4.01</v>
      </c>
      <c r="K225" s="1">
        <v>2.96</v>
      </c>
      <c r="L225" s="1">
        <v>0.65800000000000003</v>
      </c>
      <c r="M225" s="1">
        <v>0.74199999999999999</v>
      </c>
      <c r="N225" s="1">
        <v>0.84399999999999997</v>
      </c>
      <c r="O225" s="1">
        <v>2.88</v>
      </c>
      <c r="P225" s="1">
        <v>2.9249999999999998</v>
      </c>
      <c r="Q225" s="1">
        <v>3.4849999999999999</v>
      </c>
      <c r="R225" s="1">
        <v>0.84933670434756492</v>
      </c>
      <c r="S225" s="1">
        <v>0.83938610289535431</v>
      </c>
      <c r="T225" s="1">
        <v>0.67463157843252997</v>
      </c>
      <c r="U225" s="2">
        <v>10.3</v>
      </c>
      <c r="V225" s="2">
        <v>9.6</v>
      </c>
      <c r="W225" s="2">
        <v>13.2</v>
      </c>
      <c r="X225" s="1">
        <v>0.32900000000000001</v>
      </c>
      <c r="Y225" s="1">
        <v>0.371</v>
      </c>
      <c r="Z225" s="1">
        <v>0.42199999999999999</v>
      </c>
      <c r="AA225" s="2">
        <v>142</v>
      </c>
      <c r="AB225" s="2">
        <v>79</v>
      </c>
      <c r="AC225" s="46">
        <v>12739.49</v>
      </c>
      <c r="AD225" s="2" t="s">
        <v>40</v>
      </c>
      <c r="AE225" s="4" t="s">
        <v>867</v>
      </c>
      <c r="AF225" s="4">
        <v>1.19</v>
      </c>
      <c r="AH225" s="21" t="s">
        <v>925</v>
      </c>
      <c r="AI225" s="21" t="s">
        <v>925</v>
      </c>
      <c r="AJ225" s="22" t="s">
        <v>953</v>
      </c>
      <c r="AK225" s="23" t="s">
        <v>40</v>
      </c>
      <c r="AL225" s="20" t="s">
        <v>1098</v>
      </c>
    </row>
    <row r="226" spans="1:38" x14ac:dyDescent="0.25">
      <c r="A226" s="14" t="s">
        <v>585</v>
      </c>
      <c r="B226" s="14" t="s">
        <v>586</v>
      </c>
      <c r="C226" s="14" t="s">
        <v>587</v>
      </c>
      <c r="D226" s="14" t="s">
        <v>1604</v>
      </c>
      <c r="E226" s="14" t="s">
        <v>1604</v>
      </c>
      <c r="F226" s="1">
        <v>2.9649999999999999</v>
      </c>
      <c r="G226" s="1">
        <v>1.92</v>
      </c>
      <c r="H226" s="1">
        <v>2.99</v>
      </c>
      <c r="I226" s="1">
        <v>2.16</v>
      </c>
      <c r="J226" s="1">
        <v>2.7450000000000001</v>
      </c>
      <c r="K226" s="1">
        <v>1.76</v>
      </c>
      <c r="L226" s="1">
        <v>0.48</v>
      </c>
      <c r="M226" s="1">
        <v>0.49</v>
      </c>
      <c r="N226" s="1">
        <v>0.45</v>
      </c>
      <c r="O226" s="1">
        <v>2.4424999999999999</v>
      </c>
      <c r="P226" s="1">
        <v>2.5750000000000002</v>
      </c>
      <c r="Q226" s="1">
        <v>2.2524999999999999</v>
      </c>
      <c r="R226" s="1">
        <v>0.76201887977567506</v>
      </c>
      <c r="S226" s="1">
        <v>0.6914670222640521</v>
      </c>
      <c r="T226" s="1">
        <v>0.76740241948779508</v>
      </c>
      <c r="U226" s="2">
        <v>8.7200000000000006</v>
      </c>
      <c r="V226" s="2">
        <v>8.2999999999999989</v>
      </c>
      <c r="W226" s="2">
        <v>10.489999999999998</v>
      </c>
      <c r="X226" s="1">
        <v>0.24</v>
      </c>
      <c r="Y226" s="1">
        <v>0.245</v>
      </c>
      <c r="Z226" s="1">
        <v>0.22500000000000001</v>
      </c>
      <c r="AA226" s="2">
        <v>89.2</v>
      </c>
      <c r="AB226" s="2">
        <v>58</v>
      </c>
      <c r="AC226" s="46">
        <v>3771.2089999999998</v>
      </c>
      <c r="AD226" s="2" t="s">
        <v>40</v>
      </c>
      <c r="AE226" s="4" t="s">
        <v>867</v>
      </c>
      <c r="AF226" s="4">
        <v>1.19</v>
      </c>
      <c r="AH226" s="21" t="s">
        <v>1106</v>
      </c>
      <c r="AI226" s="21" t="s">
        <v>1106</v>
      </c>
      <c r="AJ226" s="22" t="s">
        <v>953</v>
      </c>
      <c r="AK226" s="23" t="s">
        <v>40</v>
      </c>
      <c r="AL226" s="20" t="s">
        <v>1098</v>
      </c>
    </row>
    <row r="227" spans="1:38" x14ac:dyDescent="0.25">
      <c r="A227" s="14" t="s">
        <v>588</v>
      </c>
      <c r="B227" s="14" t="s">
        <v>589</v>
      </c>
      <c r="C227" s="14" t="s">
        <v>590</v>
      </c>
      <c r="D227" s="14" t="s">
        <v>1604</v>
      </c>
      <c r="E227" s="14" t="s">
        <v>1604</v>
      </c>
      <c r="F227" s="1">
        <v>5.383</v>
      </c>
      <c r="G227" s="1">
        <v>4.1704999999999997</v>
      </c>
      <c r="H227" s="1">
        <v>4.2125000000000004</v>
      </c>
      <c r="I227" s="1">
        <v>2.9304999999999999</v>
      </c>
      <c r="J227" s="1">
        <v>3.6435</v>
      </c>
      <c r="K227" s="1">
        <v>3.3224999999999998</v>
      </c>
      <c r="L227" s="1">
        <v>0.84899999999999998</v>
      </c>
      <c r="M227" s="1">
        <v>0.81200000000000006</v>
      </c>
      <c r="N227" s="1">
        <v>0.71199999999999997</v>
      </c>
      <c r="O227" s="1">
        <v>4.7767499999999998</v>
      </c>
      <c r="P227" s="1">
        <v>3.5715000000000003</v>
      </c>
      <c r="Q227" s="1">
        <v>3.4829999999999997</v>
      </c>
      <c r="R227" s="1">
        <v>0.63226297106848062</v>
      </c>
      <c r="S227" s="1">
        <v>0.71836377462447565</v>
      </c>
      <c r="T227" s="1">
        <v>0.4104171284191635</v>
      </c>
      <c r="U227" s="2">
        <v>14.317</v>
      </c>
      <c r="V227" s="2">
        <v>12.099</v>
      </c>
      <c r="W227" s="2">
        <v>13.343</v>
      </c>
      <c r="X227" s="1">
        <v>0.42449999999999999</v>
      </c>
      <c r="Y227" s="1">
        <v>0.40600000000000003</v>
      </c>
      <c r="Z227" s="1">
        <v>0.35599999999999998</v>
      </c>
      <c r="AA227" s="2">
        <v>109</v>
      </c>
      <c r="AB227" s="2">
        <v>71.099999999999994</v>
      </c>
      <c r="AC227" s="46">
        <v>7422.3370000000004</v>
      </c>
      <c r="AD227" s="2" t="s">
        <v>40</v>
      </c>
      <c r="AE227" s="4" t="s">
        <v>867</v>
      </c>
      <c r="AF227" s="4">
        <v>1.19</v>
      </c>
      <c r="AH227" s="21" t="s">
        <v>925</v>
      </c>
      <c r="AI227" s="21" t="s">
        <v>924</v>
      </c>
      <c r="AJ227" s="22" t="s">
        <v>953</v>
      </c>
      <c r="AK227" s="23" t="s">
        <v>40</v>
      </c>
      <c r="AL227" s="20" t="s">
        <v>1098</v>
      </c>
    </row>
    <row r="228" spans="1:38" x14ac:dyDescent="0.25">
      <c r="A228" s="14" t="s">
        <v>591</v>
      </c>
      <c r="B228" s="14" t="s">
        <v>592</v>
      </c>
      <c r="C228" s="14" t="s">
        <v>593</v>
      </c>
      <c r="D228" s="14" t="s">
        <v>1606</v>
      </c>
      <c r="E228" s="14" t="s">
        <v>1606</v>
      </c>
      <c r="F228" s="1">
        <v>2.3835000000000002</v>
      </c>
      <c r="G228" s="1">
        <v>1.7675000000000001</v>
      </c>
      <c r="H228" s="1">
        <v>2.3685</v>
      </c>
      <c r="I228" s="1">
        <v>1.6485000000000001</v>
      </c>
      <c r="J228" s="1">
        <v>2.3170000000000002</v>
      </c>
      <c r="K228" s="1">
        <v>1.8645</v>
      </c>
      <c r="L228" s="1">
        <v>0.51</v>
      </c>
      <c r="M228" s="1">
        <v>0.57899999999999996</v>
      </c>
      <c r="N228" s="1">
        <v>0.52800000000000002</v>
      </c>
      <c r="O228" s="1">
        <v>2.0754999999999999</v>
      </c>
      <c r="P228" s="1">
        <v>2.0085000000000002</v>
      </c>
      <c r="Q228" s="1">
        <v>2.0907499999999999</v>
      </c>
      <c r="R228" s="1">
        <v>0.67089038309426685</v>
      </c>
      <c r="S228" s="1">
        <v>0.71803195943320897</v>
      </c>
      <c r="T228" s="1">
        <v>0.59367574859477057</v>
      </c>
      <c r="U228" s="2">
        <v>7.4340000000000002</v>
      </c>
      <c r="V228" s="2">
        <v>7.3360000000000003</v>
      </c>
      <c r="W228" s="2">
        <v>8.8179999999999996</v>
      </c>
      <c r="X228" s="1">
        <v>0.255</v>
      </c>
      <c r="Y228" s="1">
        <v>0.28949999999999998</v>
      </c>
      <c r="Z228" s="1">
        <v>0.26400000000000001</v>
      </c>
      <c r="AA228" s="2">
        <v>59.1</v>
      </c>
      <c r="AB228" s="27">
        <v>40.200000000000003</v>
      </c>
      <c r="AC228" s="46">
        <v>1028.951</v>
      </c>
      <c r="AD228" s="2" t="s">
        <v>40</v>
      </c>
      <c r="AE228" s="4" t="s">
        <v>867</v>
      </c>
      <c r="AF228" s="4">
        <v>1.19</v>
      </c>
      <c r="AH228" s="21" t="s">
        <v>925</v>
      </c>
      <c r="AI228" s="21" t="s">
        <v>925</v>
      </c>
      <c r="AJ228" s="22" t="s">
        <v>953</v>
      </c>
      <c r="AK228" s="23" t="s">
        <v>40</v>
      </c>
      <c r="AL228" s="20" t="s">
        <v>1098</v>
      </c>
    </row>
    <row r="229" spans="1:38" x14ac:dyDescent="0.25">
      <c r="A229" s="14" t="s">
        <v>594</v>
      </c>
      <c r="B229" s="14" t="s">
        <v>595</v>
      </c>
      <c r="C229" s="14" t="s">
        <v>596</v>
      </c>
      <c r="D229" s="14" t="s">
        <v>1606</v>
      </c>
      <c r="E229" s="14" t="s">
        <v>1606</v>
      </c>
      <c r="F229" s="1">
        <v>4.74</v>
      </c>
      <c r="G229" s="1">
        <v>2.09</v>
      </c>
      <c r="H229" s="1">
        <v>3.7</v>
      </c>
      <c r="I229" s="1">
        <v>1.5</v>
      </c>
      <c r="J229" s="1">
        <v>4.92</v>
      </c>
      <c r="K229" s="1">
        <v>2.19</v>
      </c>
      <c r="L229" s="1">
        <v>0.69599999999999995</v>
      </c>
      <c r="M229" s="1">
        <v>0.57199999999999995</v>
      </c>
      <c r="N229" s="1">
        <v>1.01</v>
      </c>
      <c r="O229" s="1">
        <v>3.415</v>
      </c>
      <c r="P229" s="1">
        <v>2.6</v>
      </c>
      <c r="Q229" s="1">
        <v>3.5549999999999997</v>
      </c>
      <c r="R229" s="1">
        <v>0.89754234478246098</v>
      </c>
      <c r="S229" s="1">
        <v>0.91413700136690612</v>
      </c>
      <c r="T229" s="1">
        <v>0.89546995959805054</v>
      </c>
      <c r="U229" s="2">
        <v>12.3</v>
      </c>
      <c r="V229" s="2">
        <v>8.9</v>
      </c>
      <c r="W229" s="2">
        <v>9.9</v>
      </c>
      <c r="X229" s="1">
        <v>0.34799999999999998</v>
      </c>
      <c r="Y229" s="1">
        <v>0.28599999999999998</v>
      </c>
      <c r="Z229" s="1">
        <v>0.505</v>
      </c>
      <c r="AA229" s="2">
        <v>133</v>
      </c>
      <c r="AB229" s="27">
        <v>79.2</v>
      </c>
      <c r="AC229" s="46">
        <v>11474.53</v>
      </c>
      <c r="AD229" s="2" t="s">
        <v>40</v>
      </c>
      <c r="AE229" s="4" t="s">
        <v>867</v>
      </c>
      <c r="AF229" s="4">
        <v>1.19</v>
      </c>
      <c r="AH229" s="21" t="s">
        <v>925</v>
      </c>
      <c r="AI229" s="21" t="s">
        <v>924</v>
      </c>
      <c r="AJ229" s="22" t="s">
        <v>953</v>
      </c>
      <c r="AK229" s="23" t="s">
        <v>40</v>
      </c>
      <c r="AL229" s="20" t="s">
        <v>1098</v>
      </c>
    </row>
    <row r="230" spans="1:38" x14ac:dyDescent="0.25">
      <c r="A230" s="14" t="s">
        <v>597</v>
      </c>
      <c r="B230" s="14" t="s">
        <v>598</v>
      </c>
      <c r="C230" s="14" t="s">
        <v>599</v>
      </c>
      <c r="D230" s="14" t="s">
        <v>1606</v>
      </c>
      <c r="E230" s="14" t="s">
        <v>1606</v>
      </c>
      <c r="F230" s="1">
        <v>1.3025</v>
      </c>
      <c r="G230" s="1">
        <v>0.73950000000000005</v>
      </c>
      <c r="H230" s="1">
        <v>1.2585</v>
      </c>
      <c r="I230" s="1">
        <v>0.90849999999999997</v>
      </c>
      <c r="J230" s="1">
        <v>1.1645000000000001</v>
      </c>
      <c r="K230" s="1">
        <v>0.98350000000000004</v>
      </c>
      <c r="L230" s="1">
        <v>0.441</v>
      </c>
      <c r="M230" s="1">
        <v>0.441</v>
      </c>
      <c r="N230" s="1">
        <v>0.42199999999999999</v>
      </c>
      <c r="O230" s="1">
        <v>1.0209999999999999</v>
      </c>
      <c r="P230" s="1">
        <v>1.0834999999999999</v>
      </c>
      <c r="Q230" s="1">
        <v>1.0740000000000001</v>
      </c>
      <c r="R230" s="1">
        <v>0.82319805253083689</v>
      </c>
      <c r="S230" s="1">
        <v>0.69200663409671215</v>
      </c>
      <c r="T230" s="1">
        <v>0.53544754671194539</v>
      </c>
      <c r="U230" s="2">
        <v>4.2969999999999997</v>
      </c>
      <c r="V230" s="2">
        <v>3.9060000000000001</v>
      </c>
      <c r="W230" s="2">
        <v>4.7880000000000003</v>
      </c>
      <c r="X230" s="1">
        <v>0.2205</v>
      </c>
      <c r="Y230" s="1">
        <v>0.2205</v>
      </c>
      <c r="Z230" s="1">
        <v>0.21099999999999999</v>
      </c>
      <c r="AA230" s="2">
        <v>33</v>
      </c>
      <c r="AB230" s="27">
        <v>20.100000000000001</v>
      </c>
      <c r="AC230" s="46">
        <v>113.09</v>
      </c>
      <c r="AD230" s="2" t="s">
        <v>40</v>
      </c>
      <c r="AE230" s="4" t="s">
        <v>867</v>
      </c>
      <c r="AF230" s="4">
        <v>1.19</v>
      </c>
      <c r="AH230" s="21" t="s">
        <v>925</v>
      </c>
      <c r="AI230" s="25" t="s">
        <v>924</v>
      </c>
      <c r="AJ230" s="22" t="s">
        <v>953</v>
      </c>
      <c r="AK230" s="23" t="s">
        <v>40</v>
      </c>
      <c r="AL230" s="20" t="s">
        <v>1098</v>
      </c>
    </row>
    <row r="231" spans="1:38" x14ac:dyDescent="0.25">
      <c r="A231" s="14" t="s">
        <v>600</v>
      </c>
      <c r="B231" s="14" t="s">
        <v>601</v>
      </c>
      <c r="C231" s="14" t="s">
        <v>602</v>
      </c>
      <c r="D231" s="14" t="s">
        <v>1605</v>
      </c>
      <c r="E231" s="14" t="s">
        <v>1605</v>
      </c>
      <c r="F231" s="1">
        <v>2.5277500000000002</v>
      </c>
      <c r="G231" s="1">
        <v>1.80975</v>
      </c>
      <c r="H231" s="1">
        <v>2.0590000000000002</v>
      </c>
      <c r="I231" s="1">
        <v>2.3327499999999999</v>
      </c>
      <c r="J231" s="1">
        <v>1.968</v>
      </c>
      <c r="K231" s="1">
        <v>1.782</v>
      </c>
      <c r="L231" s="1">
        <v>0.437</v>
      </c>
      <c r="M231" s="1">
        <v>0.42449999999999999</v>
      </c>
      <c r="N231" s="1">
        <v>0.51400000000000001</v>
      </c>
      <c r="O231" s="1">
        <v>2.1687500000000002</v>
      </c>
      <c r="P231" s="1">
        <v>2.195875</v>
      </c>
      <c r="Q231" s="1">
        <v>1.875</v>
      </c>
      <c r="R231" s="1">
        <v>0.69815872987092864</v>
      </c>
      <c r="S231" s="1">
        <v>0.58805875565475141</v>
      </c>
      <c r="T231" s="1">
        <v>0.41605635633856819</v>
      </c>
      <c r="U231" s="2">
        <v>8.1170000000000009</v>
      </c>
      <c r="V231" s="2">
        <v>7.7214999999999998</v>
      </c>
      <c r="W231" s="2">
        <v>8.0884999999999998</v>
      </c>
      <c r="X231" s="1">
        <v>0.2185</v>
      </c>
      <c r="Y231" s="1">
        <v>0.21224999999999999</v>
      </c>
      <c r="Z231" s="1">
        <v>0.25700000000000001</v>
      </c>
      <c r="AA231" s="2">
        <v>135.5</v>
      </c>
      <c r="AB231" s="27">
        <v>99.1</v>
      </c>
      <c r="AC231" s="46">
        <v>18844.240000000002</v>
      </c>
      <c r="AD231" s="2" t="s">
        <v>40</v>
      </c>
      <c r="AE231" s="4" t="s">
        <v>867</v>
      </c>
      <c r="AF231" s="4">
        <v>1.19</v>
      </c>
      <c r="AH231" s="21" t="s">
        <v>1150</v>
      </c>
      <c r="AI231" s="25" t="s">
        <v>1379</v>
      </c>
      <c r="AJ231" s="22" t="s">
        <v>953</v>
      </c>
      <c r="AK231" s="23" t="s">
        <v>40</v>
      </c>
      <c r="AL231" s="20" t="s">
        <v>1098</v>
      </c>
    </row>
    <row r="232" spans="1:38" x14ac:dyDescent="0.25">
      <c r="A232" s="15" t="s">
        <v>40</v>
      </c>
      <c r="B232" s="15" t="s">
        <v>40</v>
      </c>
      <c r="C232" s="14" t="s">
        <v>1142</v>
      </c>
      <c r="D232" s="14" t="s">
        <v>1605</v>
      </c>
      <c r="E232" s="14" t="s">
        <v>1605</v>
      </c>
      <c r="F232" s="1">
        <v>2.6320000000000001</v>
      </c>
      <c r="G232" s="1">
        <v>1.885</v>
      </c>
      <c r="H232" s="1">
        <v>1.9059999999999999</v>
      </c>
      <c r="I232" s="1">
        <v>1.6535</v>
      </c>
      <c r="J232" s="1">
        <v>1.9484999999999999</v>
      </c>
      <c r="K232" s="1">
        <v>1.83</v>
      </c>
      <c r="L232" s="1">
        <v>0.39500000000000002</v>
      </c>
      <c r="M232" s="1">
        <v>0.46</v>
      </c>
      <c r="N232" s="1">
        <v>0.5</v>
      </c>
      <c r="O232" s="1">
        <v>2.2585000000000002</v>
      </c>
      <c r="P232" s="1">
        <v>1.7797499999999999</v>
      </c>
      <c r="Q232" s="1">
        <v>1.8892500000000001</v>
      </c>
      <c r="R232" s="1">
        <v>0.69791006442393688</v>
      </c>
      <c r="S232" s="1">
        <v>0.49739600590814081</v>
      </c>
      <c r="T232" s="1">
        <v>0.34341438129491902</v>
      </c>
      <c r="U232" s="2">
        <v>8.2919999999999998</v>
      </c>
      <c r="V232" s="2">
        <v>7.6849999999999996</v>
      </c>
      <c r="W232" s="2">
        <v>7.9489999999999998</v>
      </c>
      <c r="X232" s="1">
        <v>0.19750000000000001</v>
      </c>
      <c r="Y232" s="1">
        <v>0.23</v>
      </c>
      <c r="Z232" s="1">
        <v>0.25</v>
      </c>
      <c r="AA232" s="2">
        <v>142.69999999999999</v>
      </c>
      <c r="AB232" s="27">
        <v>102.74399999999999</v>
      </c>
      <c r="AC232" s="2" t="s">
        <v>40</v>
      </c>
      <c r="AD232" s="2" t="s">
        <v>40</v>
      </c>
      <c r="AE232" s="2" t="s">
        <v>40</v>
      </c>
      <c r="AF232" s="2" t="s">
        <v>40</v>
      </c>
      <c r="AH232" s="21" t="s">
        <v>925</v>
      </c>
      <c r="AI232" s="25" t="s">
        <v>1379</v>
      </c>
      <c r="AJ232" s="2" t="s">
        <v>40</v>
      </c>
      <c r="AK232" s="2" t="s">
        <v>40</v>
      </c>
      <c r="AL232" s="20"/>
    </row>
    <row r="233" spans="1:38" x14ac:dyDescent="0.25">
      <c r="A233" s="15" t="s">
        <v>40</v>
      </c>
      <c r="B233" s="15" t="s">
        <v>40</v>
      </c>
      <c r="C233" s="14" t="s">
        <v>1143</v>
      </c>
      <c r="D233" s="14" t="s">
        <v>1605</v>
      </c>
      <c r="E233" s="14" t="s">
        <v>1605</v>
      </c>
      <c r="F233" s="1">
        <v>2.4235000000000002</v>
      </c>
      <c r="G233" s="1">
        <v>1.7344999999999999</v>
      </c>
      <c r="H233" s="1">
        <v>2.2120000000000002</v>
      </c>
      <c r="I233" s="1">
        <v>3.012</v>
      </c>
      <c r="J233" s="1">
        <v>1.9875</v>
      </c>
      <c r="K233" s="1">
        <v>1.734</v>
      </c>
      <c r="L233" s="1">
        <v>0.47899999999999998</v>
      </c>
      <c r="M233" s="1">
        <v>0.38900000000000001</v>
      </c>
      <c r="N233" s="1">
        <v>0.52800000000000002</v>
      </c>
      <c r="O233" s="1">
        <v>2.0790000000000002</v>
      </c>
      <c r="P233" s="1">
        <v>2.6120000000000001</v>
      </c>
      <c r="Q233" s="1">
        <v>1.8607499999999999</v>
      </c>
      <c r="R233" s="1">
        <v>0.69840739531792029</v>
      </c>
      <c r="S233" s="1">
        <v>0.67872150540136189</v>
      </c>
      <c r="T233" s="1">
        <v>0.48869833138221741</v>
      </c>
      <c r="U233" s="2">
        <v>7.9420000000000002</v>
      </c>
      <c r="V233" s="2">
        <v>7.758</v>
      </c>
      <c r="W233" s="2">
        <v>8.2279999999999998</v>
      </c>
      <c r="X233" s="1">
        <v>0.23949999999999999</v>
      </c>
      <c r="Y233" s="1">
        <v>0.19450000000000001</v>
      </c>
      <c r="Z233" s="1">
        <v>0.26400000000000001</v>
      </c>
      <c r="AA233" s="2">
        <v>128.30000000000001</v>
      </c>
      <c r="AB233" s="27">
        <v>92.376000000000005</v>
      </c>
      <c r="AC233" s="2" t="s">
        <v>40</v>
      </c>
      <c r="AD233" s="2" t="s">
        <v>40</v>
      </c>
      <c r="AE233" s="2" t="s">
        <v>40</v>
      </c>
      <c r="AF233" s="2" t="s">
        <v>40</v>
      </c>
      <c r="AH233" s="21" t="s">
        <v>925</v>
      </c>
      <c r="AI233" s="25" t="s">
        <v>1379</v>
      </c>
      <c r="AJ233" s="2" t="s">
        <v>40</v>
      </c>
      <c r="AK233" s="2" t="s">
        <v>40</v>
      </c>
      <c r="AL233" s="20"/>
    </row>
    <row r="234" spans="1:38" x14ac:dyDescent="0.25">
      <c r="A234" s="14" t="s">
        <v>603</v>
      </c>
      <c r="B234" s="14" t="s">
        <v>604</v>
      </c>
      <c r="C234" s="14" t="s">
        <v>605</v>
      </c>
      <c r="D234" s="14" t="s">
        <v>1605</v>
      </c>
      <c r="E234" s="14" t="s">
        <v>1605</v>
      </c>
      <c r="F234" s="1">
        <v>1.482</v>
      </c>
      <c r="G234" s="1">
        <v>0.99750000000000005</v>
      </c>
      <c r="H234" s="1">
        <v>1.109</v>
      </c>
      <c r="I234" s="1">
        <v>0.91749999999999998</v>
      </c>
      <c r="J234" s="1">
        <v>1.2544999999999999</v>
      </c>
      <c r="K234" s="1">
        <v>1.1185</v>
      </c>
      <c r="L234" s="1">
        <v>0.32500000000000001</v>
      </c>
      <c r="M234" s="1">
        <v>0.316</v>
      </c>
      <c r="N234" s="1">
        <v>0.42</v>
      </c>
      <c r="O234" s="1">
        <v>1.2397499999999999</v>
      </c>
      <c r="P234" s="1">
        <v>1.01325</v>
      </c>
      <c r="Q234" s="1">
        <v>1.1865000000000001</v>
      </c>
      <c r="R234" s="1">
        <v>0.73957248165497735</v>
      </c>
      <c r="S234" s="1">
        <v>0.56172809662095946</v>
      </c>
      <c r="T234" s="1">
        <v>0.45284299873980205</v>
      </c>
      <c r="U234" s="2">
        <v>5.1260000000000003</v>
      </c>
      <c r="V234" s="2">
        <v>4.2210000000000001</v>
      </c>
      <c r="W234" s="2">
        <v>4.9820000000000002</v>
      </c>
      <c r="X234" s="1">
        <v>0.16250000000000001</v>
      </c>
      <c r="Y234" s="1">
        <v>0.158</v>
      </c>
      <c r="Z234" s="1">
        <v>0.21</v>
      </c>
      <c r="AA234" s="2">
        <v>70</v>
      </c>
      <c r="AB234" s="27">
        <v>44.9</v>
      </c>
      <c r="AC234" s="46">
        <v>1559.4159999999999</v>
      </c>
      <c r="AD234" s="2" t="s">
        <v>40</v>
      </c>
      <c r="AE234" s="4" t="s">
        <v>867</v>
      </c>
      <c r="AF234" s="4">
        <v>1.19</v>
      </c>
      <c r="AH234" s="21" t="s">
        <v>870</v>
      </c>
      <c r="AI234" s="25" t="s">
        <v>924</v>
      </c>
      <c r="AJ234" s="22" t="s">
        <v>953</v>
      </c>
      <c r="AK234" s="23" t="s">
        <v>40</v>
      </c>
      <c r="AL234" s="20" t="s">
        <v>1098</v>
      </c>
    </row>
    <row r="235" spans="1:38" x14ac:dyDescent="0.25">
      <c r="A235" s="14" t="s">
        <v>606</v>
      </c>
      <c r="B235" s="14" t="s">
        <v>607</v>
      </c>
      <c r="C235" s="14" t="s">
        <v>608</v>
      </c>
      <c r="D235" s="14" t="s">
        <v>1605</v>
      </c>
      <c r="E235" s="14" t="s">
        <v>1605</v>
      </c>
      <c r="F235" s="1">
        <v>2.3290000000000002</v>
      </c>
      <c r="G235" s="1">
        <v>1.23</v>
      </c>
      <c r="H235" s="1">
        <v>1.6294999999999999</v>
      </c>
      <c r="I235" s="1">
        <v>1.2375</v>
      </c>
      <c r="J235" s="1">
        <v>1.5125</v>
      </c>
      <c r="K235" s="1">
        <v>1.3254999999999999</v>
      </c>
      <c r="L235" s="1">
        <v>0.30299999999999999</v>
      </c>
      <c r="M235" s="1">
        <v>0.32</v>
      </c>
      <c r="N235" s="1">
        <v>0.373</v>
      </c>
      <c r="O235" s="1">
        <v>1.7795000000000001</v>
      </c>
      <c r="P235" s="1">
        <v>1.4335</v>
      </c>
      <c r="Q235" s="1">
        <v>1.419</v>
      </c>
      <c r="R235" s="1">
        <v>0.84916747560524009</v>
      </c>
      <c r="S235" s="1">
        <v>0.65058270695795206</v>
      </c>
      <c r="T235" s="1">
        <v>0.48165005643050035</v>
      </c>
      <c r="U235" s="2">
        <v>6.5949999999999998</v>
      </c>
      <c r="V235" s="2">
        <v>5.2039999999999997</v>
      </c>
      <c r="W235" s="2">
        <v>5.593</v>
      </c>
      <c r="X235" s="1">
        <v>0.1515</v>
      </c>
      <c r="Y235" s="1">
        <v>0.16</v>
      </c>
      <c r="Z235" s="1">
        <v>0.1865</v>
      </c>
      <c r="AA235" s="2">
        <v>69.63</v>
      </c>
      <c r="AB235" s="27">
        <v>35.4</v>
      </c>
      <c r="AC235" s="46">
        <v>926.875</v>
      </c>
      <c r="AD235" s="2" t="s">
        <v>40</v>
      </c>
      <c r="AE235" s="4" t="s">
        <v>867</v>
      </c>
      <c r="AF235" s="4">
        <v>1.19</v>
      </c>
      <c r="AH235" s="21" t="s">
        <v>925</v>
      </c>
      <c r="AI235" s="25" t="s">
        <v>925</v>
      </c>
      <c r="AJ235" s="22" t="s">
        <v>953</v>
      </c>
      <c r="AK235" s="23" t="s">
        <v>40</v>
      </c>
      <c r="AL235" s="20" t="s">
        <v>1098</v>
      </c>
    </row>
    <row r="236" spans="1:38" x14ac:dyDescent="0.25">
      <c r="A236" s="14" t="s">
        <v>609</v>
      </c>
      <c r="B236" s="14" t="s">
        <v>610</v>
      </c>
      <c r="C236" s="14" t="s">
        <v>611</v>
      </c>
      <c r="D236" s="14" t="s">
        <v>1605</v>
      </c>
      <c r="E236" s="14" t="s">
        <v>1605</v>
      </c>
      <c r="F236" s="1">
        <v>1.27</v>
      </c>
      <c r="G236" s="1">
        <v>0.92249999999999999</v>
      </c>
      <c r="H236" s="1">
        <v>1.0900000000000001</v>
      </c>
      <c r="I236" s="1">
        <v>0.72250000000000003</v>
      </c>
      <c r="J236" s="1">
        <v>1.1134999999999999</v>
      </c>
      <c r="K236" s="1">
        <v>0.90800000000000003</v>
      </c>
      <c r="L236" s="1">
        <v>0.28499999999999998</v>
      </c>
      <c r="M236" s="1">
        <v>0.30099999999999999</v>
      </c>
      <c r="N236" s="1">
        <v>0.36099999999999999</v>
      </c>
      <c r="O236" s="1">
        <v>1.0962499999999999</v>
      </c>
      <c r="P236" s="1">
        <v>0.90625</v>
      </c>
      <c r="Q236" s="1">
        <v>1.01075</v>
      </c>
      <c r="R236" s="1">
        <v>0.68729547485062026</v>
      </c>
      <c r="S236" s="1">
        <v>0.74875749279382697</v>
      </c>
      <c r="T236" s="1">
        <v>0.57883204269692223</v>
      </c>
      <c r="U236" s="2">
        <v>4.2149999999999999</v>
      </c>
      <c r="V236" s="2">
        <v>3.2629999999999999</v>
      </c>
      <c r="W236" s="2">
        <v>4.3369999999999997</v>
      </c>
      <c r="X236" s="1">
        <v>0.14249999999999999</v>
      </c>
      <c r="Y236" s="1">
        <v>0.15049999999999999</v>
      </c>
      <c r="Z236" s="1">
        <v>0.18049999999999999</v>
      </c>
      <c r="AA236" s="2">
        <v>38</v>
      </c>
      <c r="AB236" s="27">
        <v>22.8</v>
      </c>
      <c r="AC236" s="46">
        <v>174.70859999999999</v>
      </c>
      <c r="AD236" s="2" t="s">
        <v>40</v>
      </c>
      <c r="AE236" s="4" t="s">
        <v>867</v>
      </c>
      <c r="AF236" s="4">
        <v>1.19</v>
      </c>
      <c r="AH236" s="21" t="s">
        <v>925</v>
      </c>
      <c r="AI236" s="21" t="s">
        <v>924</v>
      </c>
      <c r="AJ236" s="22" t="s">
        <v>953</v>
      </c>
      <c r="AK236" s="23" t="s">
        <v>40</v>
      </c>
      <c r="AL236" s="20" t="s">
        <v>1098</v>
      </c>
    </row>
    <row r="237" spans="1:38" s="11" customFormat="1" x14ac:dyDescent="0.25">
      <c r="A237" s="16" t="s">
        <v>612</v>
      </c>
      <c r="B237" s="16" t="s">
        <v>613</v>
      </c>
      <c r="C237" s="16" t="s">
        <v>614</v>
      </c>
      <c r="D237" s="14" t="s">
        <v>1605</v>
      </c>
      <c r="E237" s="14" t="s">
        <v>1605</v>
      </c>
      <c r="F237" s="9">
        <v>1.2064999999999999</v>
      </c>
      <c r="G237" s="9">
        <v>0.84050000000000002</v>
      </c>
      <c r="H237" s="9">
        <v>0.875</v>
      </c>
      <c r="I237" s="9">
        <v>0.68</v>
      </c>
      <c r="J237" s="9">
        <v>0.87849999999999995</v>
      </c>
      <c r="K237" s="9">
        <v>0.71850000000000003</v>
      </c>
      <c r="L237" s="9">
        <v>0.14000000000000001</v>
      </c>
      <c r="M237" s="9">
        <v>0.16</v>
      </c>
      <c r="N237" s="9">
        <v>0.15</v>
      </c>
      <c r="O237" s="9">
        <v>1.0234999999999999</v>
      </c>
      <c r="P237" s="9">
        <v>0.77750000000000008</v>
      </c>
      <c r="Q237" s="9">
        <v>0.79849999999999999</v>
      </c>
      <c r="R237" s="9">
        <v>0.71741778338284024</v>
      </c>
      <c r="S237" s="9">
        <v>0.62932422453917714</v>
      </c>
      <c r="T237" s="9">
        <v>0.57540109438995102</v>
      </c>
      <c r="U237" s="10">
        <v>3.4940000000000002</v>
      </c>
      <c r="V237" s="10">
        <v>2.85</v>
      </c>
      <c r="W237" s="10">
        <v>3.278</v>
      </c>
      <c r="X237" s="9">
        <v>7.0000000000000007E-2</v>
      </c>
      <c r="Y237" s="9">
        <v>0.08</v>
      </c>
      <c r="Z237" s="9">
        <v>7.4999999999999997E-2</v>
      </c>
      <c r="AA237" s="10">
        <v>29.8</v>
      </c>
      <c r="AB237" s="10">
        <v>18</v>
      </c>
      <c r="AC237" s="46">
        <v>78.392030000000005</v>
      </c>
      <c r="AD237" s="10" t="s">
        <v>40</v>
      </c>
      <c r="AE237" s="12" t="s">
        <v>867</v>
      </c>
      <c r="AF237" s="12">
        <v>1.19</v>
      </c>
      <c r="AH237" s="21" t="s">
        <v>925</v>
      </c>
      <c r="AI237" s="21" t="s">
        <v>1108</v>
      </c>
      <c r="AJ237" s="22" t="s">
        <v>953</v>
      </c>
      <c r="AK237" s="23" t="s">
        <v>40</v>
      </c>
      <c r="AL237" s="20" t="s">
        <v>1098</v>
      </c>
    </row>
    <row r="238" spans="1:38" s="11" customFormat="1" x14ac:dyDescent="0.25">
      <c r="A238" s="14" t="s">
        <v>615</v>
      </c>
      <c r="B238" s="16" t="s">
        <v>1147</v>
      </c>
      <c r="C238" s="16" t="s">
        <v>1148</v>
      </c>
      <c r="D238" s="14" t="s">
        <v>1605</v>
      </c>
      <c r="E238" s="14" t="s">
        <v>1605</v>
      </c>
      <c r="F238" s="9">
        <f>1.896/2</f>
        <v>0.94799999999999995</v>
      </c>
      <c r="G238" s="9">
        <f>1.521/2</f>
        <v>0.76049999999999995</v>
      </c>
      <c r="H238" s="9">
        <f>1.554/2</f>
        <v>0.77700000000000002</v>
      </c>
      <c r="I238" s="9">
        <f>1.148/2</f>
        <v>0.57399999999999995</v>
      </c>
      <c r="J238" s="9">
        <f>1.458/2</f>
        <v>0.72899999999999998</v>
      </c>
      <c r="K238" s="9">
        <f>1.432/2</f>
        <v>0.71599999999999997</v>
      </c>
      <c r="L238" s="9">
        <v>0.2</v>
      </c>
      <c r="M238" s="9">
        <v>0.20200000000000001</v>
      </c>
      <c r="N238" s="9">
        <v>0.26900000000000002</v>
      </c>
      <c r="O238" s="1">
        <f>(F238+G238)/2</f>
        <v>0.85424999999999995</v>
      </c>
      <c r="P238" s="1">
        <f>(H238+I238)/2</f>
        <v>0.67549999999999999</v>
      </c>
      <c r="Q238" s="1">
        <f>(J238+K238)/2</f>
        <v>0.72249999999999992</v>
      </c>
      <c r="R238" s="1">
        <f>(1-((MIN(F238:G238)/MAX(F238:G238))^2))^0.5</f>
        <v>0.59703499825081985</v>
      </c>
      <c r="S238" s="1">
        <f>(1-((MIN(H238:I238)/MAX(H238:I238))^2))^0.5</f>
        <v>0.67399189600966092</v>
      </c>
      <c r="T238" s="1">
        <f>(1-((MIN(J238:K238)/MAX(J238:K238))^2))^0.5</f>
        <v>0.18800875407554901</v>
      </c>
      <c r="U238" s="10">
        <f>0.149+0.22+0.216+0.325+0.334+0.33+0.312+0.223+0.285+0.225+0.247+0.154</f>
        <v>3.02</v>
      </c>
      <c r="V238" s="10">
        <f>0.193+0.262+0.257+0.29+0.302+0.217+0.209+0.176+0.165+0.147+0.159+0.221</f>
        <v>2.5979999999999999</v>
      </c>
      <c r="W238" s="10">
        <f>0.206+0.252+0.258+0.266+0.243+0.252+0.27+0.206+0.179+0.261+0.145</f>
        <v>2.5380000000000003</v>
      </c>
      <c r="X238" s="9">
        <f>L238/2</f>
        <v>0.1</v>
      </c>
      <c r="Y238" s="9">
        <f t="shared" ref="Y238:Z238" si="8">M238/2</f>
        <v>0.10100000000000001</v>
      </c>
      <c r="Z238" s="9">
        <f t="shared" si="8"/>
        <v>0.13450000000000001</v>
      </c>
      <c r="AA238" s="10">
        <f>24.5</f>
        <v>24.5</v>
      </c>
      <c r="AB238" s="28">
        <v>13.504878048780489</v>
      </c>
      <c r="AC238" s="46">
        <v>33.394689999999997</v>
      </c>
      <c r="AD238" s="10" t="s">
        <v>40</v>
      </c>
      <c r="AE238" s="4" t="s">
        <v>867</v>
      </c>
      <c r="AF238" s="4">
        <v>1.19</v>
      </c>
      <c r="AH238" s="21" t="s">
        <v>1159</v>
      </c>
      <c r="AI238" s="21" t="s">
        <v>1160</v>
      </c>
      <c r="AJ238" s="22" t="s">
        <v>953</v>
      </c>
      <c r="AK238" s="23" t="s">
        <v>40</v>
      </c>
      <c r="AL238" s="20"/>
    </row>
    <row r="239" spans="1:38" x14ac:dyDescent="0.25">
      <c r="A239" s="14" t="s">
        <v>615</v>
      </c>
      <c r="B239" s="14" t="s">
        <v>616</v>
      </c>
      <c r="C239" s="14" t="s">
        <v>617</v>
      </c>
      <c r="D239" s="14" t="s">
        <v>1605</v>
      </c>
      <c r="E239" s="14" t="s">
        <v>1605</v>
      </c>
      <c r="F239" s="1">
        <v>0.93799999999999994</v>
      </c>
      <c r="G239" s="1">
        <v>0.77400000000000002</v>
      </c>
      <c r="H239" s="1">
        <v>0.73824999999999996</v>
      </c>
      <c r="I239" s="1">
        <v>0.55574999999999997</v>
      </c>
      <c r="J239" s="1">
        <v>0.75225000000000009</v>
      </c>
      <c r="K239" s="1">
        <v>0.66100000000000003</v>
      </c>
      <c r="L239" s="1">
        <v>0.16499999999999998</v>
      </c>
      <c r="M239" s="1">
        <v>0.17349999999999999</v>
      </c>
      <c r="N239" s="1">
        <v>0.1825</v>
      </c>
      <c r="O239" s="1">
        <v>0.85599999999999998</v>
      </c>
      <c r="P239" s="1">
        <v>0.64700000000000002</v>
      </c>
      <c r="Q239" s="1">
        <v>0.70662500000000006</v>
      </c>
      <c r="R239" s="1">
        <v>0.5648992079585804</v>
      </c>
      <c r="S239" s="1">
        <v>0.65825644036489761</v>
      </c>
      <c r="T239" s="1">
        <v>0.47737946917478541</v>
      </c>
      <c r="U239" s="2">
        <v>3.2435</v>
      </c>
      <c r="V239" s="2">
        <v>2.2599999999999998</v>
      </c>
      <c r="W239" s="2">
        <v>2.7465000000000002</v>
      </c>
      <c r="X239" s="1">
        <v>8.249999999999999E-2</v>
      </c>
      <c r="Y239" s="1">
        <v>8.6749999999999994E-2</v>
      </c>
      <c r="Z239" s="1">
        <v>9.1249999999999998E-2</v>
      </c>
      <c r="AA239" s="2">
        <v>20.5</v>
      </c>
      <c r="AB239" s="27">
        <v>11.3</v>
      </c>
      <c r="AC239" s="46">
        <v>18.416260000000001</v>
      </c>
      <c r="AD239" s="2" t="s">
        <v>40</v>
      </c>
      <c r="AE239" s="4" t="s">
        <v>867</v>
      </c>
      <c r="AF239" s="4">
        <v>1.19</v>
      </c>
      <c r="AH239" s="21" t="s">
        <v>1150</v>
      </c>
      <c r="AI239" s="21" t="s">
        <v>1154</v>
      </c>
      <c r="AJ239" s="22" t="s">
        <v>953</v>
      </c>
      <c r="AK239" s="23" t="s">
        <v>40</v>
      </c>
      <c r="AL239" s="20" t="s">
        <v>1098</v>
      </c>
    </row>
    <row r="240" spans="1:38" x14ac:dyDescent="0.25">
      <c r="A240" s="15" t="s">
        <v>40</v>
      </c>
      <c r="B240" s="15" t="s">
        <v>40</v>
      </c>
      <c r="C240" s="14" t="s">
        <v>1144</v>
      </c>
      <c r="D240" s="14" t="s">
        <v>1605</v>
      </c>
      <c r="E240" s="14" t="s">
        <v>1605</v>
      </c>
      <c r="F240" s="1">
        <v>0.79749999999999999</v>
      </c>
      <c r="G240" s="1">
        <v>0.63900000000000001</v>
      </c>
      <c r="H240" s="1">
        <v>0.52949999999999997</v>
      </c>
      <c r="I240" s="1">
        <v>0.45800000000000002</v>
      </c>
      <c r="J240" s="1">
        <v>0.62350000000000005</v>
      </c>
      <c r="K240" s="1">
        <v>0.48449999999999999</v>
      </c>
      <c r="L240" s="1">
        <v>0.12</v>
      </c>
      <c r="M240" s="1">
        <v>0.123</v>
      </c>
      <c r="N240" s="1">
        <v>0.156</v>
      </c>
      <c r="O240" s="1">
        <v>0.71825000000000006</v>
      </c>
      <c r="P240" s="1">
        <v>0.49375000000000002</v>
      </c>
      <c r="Q240" s="1">
        <v>0.55400000000000005</v>
      </c>
      <c r="R240" s="1">
        <v>0.59832445888157593</v>
      </c>
      <c r="S240" s="1">
        <v>0.50182883086703478</v>
      </c>
      <c r="T240" s="1">
        <v>0.62942041142723459</v>
      </c>
      <c r="U240" s="2">
        <v>2.7069999999999999</v>
      </c>
      <c r="V240" s="2">
        <v>1.7629999999999999</v>
      </c>
      <c r="W240" s="2">
        <v>2.06</v>
      </c>
      <c r="X240" s="1">
        <v>0.06</v>
      </c>
      <c r="Y240" s="1">
        <v>6.1499999999999999E-2</v>
      </c>
      <c r="Z240" s="1">
        <v>7.8E-2</v>
      </c>
      <c r="AA240" s="2">
        <v>17.5</v>
      </c>
      <c r="AB240" s="27">
        <v>9.6463414634146343</v>
      </c>
      <c r="AC240" s="2" t="s">
        <v>40</v>
      </c>
      <c r="AD240" s="2" t="s">
        <v>40</v>
      </c>
      <c r="AE240" s="2" t="s">
        <v>40</v>
      </c>
      <c r="AF240" s="2" t="s">
        <v>40</v>
      </c>
      <c r="AH240" s="21" t="s">
        <v>925</v>
      </c>
      <c r="AI240" s="21" t="s">
        <v>925</v>
      </c>
      <c r="AJ240" s="23" t="s">
        <v>40</v>
      </c>
      <c r="AK240" s="23" t="s">
        <v>40</v>
      </c>
      <c r="AL240" s="20"/>
    </row>
    <row r="241" spans="1:38" x14ac:dyDescent="0.25">
      <c r="A241" s="15" t="s">
        <v>40</v>
      </c>
      <c r="B241" s="15" t="s">
        <v>40</v>
      </c>
      <c r="C241" s="14" t="s">
        <v>1145</v>
      </c>
      <c r="D241" s="14" t="s">
        <v>1605</v>
      </c>
      <c r="E241" s="14" t="s">
        <v>1605</v>
      </c>
      <c r="F241" s="1">
        <v>1.0785</v>
      </c>
      <c r="G241" s="1">
        <v>0.90900000000000003</v>
      </c>
      <c r="H241" s="1">
        <v>0.94699999999999995</v>
      </c>
      <c r="I241" s="1">
        <v>0.65349999999999997</v>
      </c>
      <c r="J241" s="1">
        <v>0.88100000000000001</v>
      </c>
      <c r="K241" s="1">
        <v>0.83750000000000002</v>
      </c>
      <c r="L241" s="1">
        <v>0.21</v>
      </c>
      <c r="M241" s="1">
        <v>0.224</v>
      </c>
      <c r="N241" s="1">
        <v>0.20899999999999999</v>
      </c>
      <c r="O241" s="1">
        <v>0.99375000000000002</v>
      </c>
      <c r="P241" s="1">
        <v>0.80024999999999991</v>
      </c>
      <c r="Q241" s="1">
        <v>0.85925000000000007</v>
      </c>
      <c r="R241" s="1">
        <v>0.53816849552005153</v>
      </c>
      <c r="S241" s="1">
        <v>0.7237388950446052</v>
      </c>
      <c r="T241" s="1">
        <v>0.31034409638558713</v>
      </c>
      <c r="U241" s="2">
        <v>3.78</v>
      </c>
      <c r="V241" s="2">
        <v>2.7570000000000001</v>
      </c>
      <c r="W241" s="2">
        <v>3.4329999999999998</v>
      </c>
      <c r="X241" s="1">
        <v>0.105</v>
      </c>
      <c r="Y241" s="1">
        <v>0.112</v>
      </c>
      <c r="Z241" s="1">
        <v>0.1045</v>
      </c>
      <c r="AA241" s="2">
        <v>23.5</v>
      </c>
      <c r="AB241" s="27" t="s">
        <v>40</v>
      </c>
      <c r="AC241" s="10" t="s">
        <v>40</v>
      </c>
      <c r="AD241" s="10" t="s">
        <v>40</v>
      </c>
      <c r="AE241" s="10" t="s">
        <v>40</v>
      </c>
      <c r="AF241" s="10" t="s">
        <v>40</v>
      </c>
      <c r="AH241" s="21" t="s">
        <v>925</v>
      </c>
      <c r="AI241" s="23" t="s">
        <v>40</v>
      </c>
      <c r="AJ241" s="23" t="s">
        <v>40</v>
      </c>
      <c r="AK241" s="23" t="s">
        <v>40</v>
      </c>
      <c r="AL241" s="20"/>
    </row>
    <row r="242" spans="1:38" x14ac:dyDescent="0.25">
      <c r="A242" s="14" t="s">
        <v>618</v>
      </c>
      <c r="B242" s="14" t="s">
        <v>619</v>
      </c>
      <c r="C242" s="14" t="s">
        <v>1104</v>
      </c>
      <c r="D242" s="14" t="s">
        <v>1605</v>
      </c>
      <c r="E242" s="14" t="s">
        <v>1605</v>
      </c>
      <c r="F242" s="1">
        <v>1.105</v>
      </c>
      <c r="G242" s="1">
        <v>0.90500000000000003</v>
      </c>
      <c r="H242" s="1">
        <v>0.86199999999999999</v>
      </c>
      <c r="I242" s="1">
        <v>0.59199999999999997</v>
      </c>
      <c r="J242" s="1">
        <v>0.78249999999999997</v>
      </c>
      <c r="K242" s="1">
        <v>0.6835</v>
      </c>
      <c r="L242" s="1">
        <v>0.23300000000000001</v>
      </c>
      <c r="M242" s="1">
        <v>0.22900000000000001</v>
      </c>
      <c r="N242" s="1">
        <v>0.245</v>
      </c>
      <c r="O242" s="1">
        <v>1.0049999999999999</v>
      </c>
      <c r="P242" s="1">
        <v>0.72699999999999998</v>
      </c>
      <c r="Q242" s="1">
        <v>0.73299999999999998</v>
      </c>
      <c r="R242" s="1">
        <v>0.57378705824967802</v>
      </c>
      <c r="S242" s="1">
        <v>0.72687012529562001</v>
      </c>
      <c r="T242" s="1">
        <v>0.48685567448094513</v>
      </c>
      <c r="U242" s="2">
        <v>3.6909999999999998</v>
      </c>
      <c r="V242" s="2">
        <v>2.4329999999999998</v>
      </c>
      <c r="W242" s="2">
        <v>2.8889999999999998</v>
      </c>
      <c r="X242" s="1">
        <v>0.11650000000000001</v>
      </c>
      <c r="Y242" s="1">
        <v>0.1145</v>
      </c>
      <c r="Z242" s="1">
        <v>0.1225</v>
      </c>
      <c r="AA242" s="2">
        <v>36.86</v>
      </c>
      <c r="AB242" s="27">
        <v>22.826146788990826</v>
      </c>
      <c r="AC242" s="46">
        <v>167.82390000000001</v>
      </c>
      <c r="AD242" s="2" t="s">
        <v>40</v>
      </c>
      <c r="AE242" s="4" t="s">
        <v>867</v>
      </c>
      <c r="AF242" s="4">
        <v>1.19</v>
      </c>
      <c r="AH242" s="25" t="s">
        <v>874</v>
      </c>
      <c r="AI242" s="21" t="s">
        <v>925</v>
      </c>
      <c r="AJ242" s="22" t="s">
        <v>953</v>
      </c>
      <c r="AK242" s="23" t="s">
        <v>40</v>
      </c>
      <c r="AL242" s="20" t="s">
        <v>1098</v>
      </c>
    </row>
    <row r="243" spans="1:38" x14ac:dyDescent="0.25">
      <c r="A243" s="14" t="s">
        <v>620</v>
      </c>
      <c r="B243" s="14" t="s">
        <v>621</v>
      </c>
      <c r="C243" s="14" t="s">
        <v>622</v>
      </c>
      <c r="D243" s="14" t="s">
        <v>1605</v>
      </c>
      <c r="E243" s="14" t="s">
        <v>1605</v>
      </c>
      <c r="F243" s="1">
        <v>0.72350000000000003</v>
      </c>
      <c r="G243" s="1">
        <v>0.44550000000000001</v>
      </c>
      <c r="H243" s="1">
        <v>0.50700000000000001</v>
      </c>
      <c r="I243" s="1">
        <v>0.47449999999999998</v>
      </c>
      <c r="J243" s="1">
        <v>0.60950000000000004</v>
      </c>
      <c r="K243" s="1">
        <v>0.57050000000000001</v>
      </c>
      <c r="L243" s="1">
        <v>0.20699999999999999</v>
      </c>
      <c r="M243" s="1">
        <v>0.21099999999999999</v>
      </c>
      <c r="N243" s="1">
        <v>0.214</v>
      </c>
      <c r="O243" s="1">
        <v>0.58450000000000002</v>
      </c>
      <c r="P243" s="1">
        <v>0.49075000000000002</v>
      </c>
      <c r="Q243" s="1">
        <v>0.59000000000000008</v>
      </c>
      <c r="R243" s="1">
        <v>0.78793631691309673</v>
      </c>
      <c r="S243" s="1">
        <v>0.35227260677010508</v>
      </c>
      <c r="T243" s="1">
        <v>0.35196509609323168</v>
      </c>
      <c r="U243" s="2">
        <v>2.3879999999999999</v>
      </c>
      <c r="V243" s="2">
        <v>2.0720000000000001</v>
      </c>
      <c r="W243" s="2">
        <v>2.484</v>
      </c>
      <c r="X243" s="1">
        <v>0.10349999999999999</v>
      </c>
      <c r="Y243" s="1">
        <v>0.1055</v>
      </c>
      <c r="Z243" s="1">
        <v>0.107</v>
      </c>
      <c r="AA243" s="2">
        <v>13.2</v>
      </c>
      <c r="AB243" s="27">
        <v>8.5</v>
      </c>
      <c r="AC243" s="46">
        <v>5.7130989999999997</v>
      </c>
      <c r="AD243" s="2" t="s">
        <v>40</v>
      </c>
      <c r="AE243" s="4" t="s">
        <v>867</v>
      </c>
      <c r="AF243" s="4">
        <v>1.19</v>
      </c>
      <c r="AH243" s="21" t="s">
        <v>925</v>
      </c>
      <c r="AI243" s="21" t="s">
        <v>925</v>
      </c>
      <c r="AJ243" s="22" t="s">
        <v>953</v>
      </c>
      <c r="AK243" s="23" t="s">
        <v>40</v>
      </c>
      <c r="AL243" s="20" t="s">
        <v>1098</v>
      </c>
    </row>
    <row r="244" spans="1:38" x14ac:dyDescent="0.25">
      <c r="A244" s="14" t="s">
        <v>623</v>
      </c>
      <c r="B244" s="14" t="s">
        <v>624</v>
      </c>
      <c r="C244" s="14" t="s">
        <v>625</v>
      </c>
      <c r="D244" t="s">
        <v>1572</v>
      </c>
      <c r="E244" t="s">
        <v>1589</v>
      </c>
      <c r="F244" s="1">
        <v>2.64</v>
      </c>
      <c r="G244" s="1">
        <v>2.4</v>
      </c>
      <c r="H244" s="1">
        <v>2.1349999999999998</v>
      </c>
      <c r="I244" s="1">
        <v>2.105</v>
      </c>
      <c r="J244" s="1">
        <v>1.7849999999999999</v>
      </c>
      <c r="K244" s="1">
        <v>1.66</v>
      </c>
      <c r="L244" s="1">
        <v>0.34</v>
      </c>
      <c r="M244" s="1">
        <v>0.34</v>
      </c>
      <c r="N244" s="1">
        <v>0.34</v>
      </c>
      <c r="O244" s="1">
        <v>2.52</v>
      </c>
      <c r="P244" s="1">
        <v>2.12</v>
      </c>
      <c r="Q244" s="1">
        <v>1.7224999999999999</v>
      </c>
      <c r="R244" s="1">
        <v>0.41659779045053102</v>
      </c>
      <c r="S244" s="1">
        <v>0.16704969086769975</v>
      </c>
      <c r="T244" s="1">
        <v>0.36763038510943102</v>
      </c>
      <c r="U244" s="2">
        <v>9.0400000000000009</v>
      </c>
      <c r="V244" s="2">
        <v>8.24</v>
      </c>
      <c r="W244" s="2">
        <v>5.89</v>
      </c>
      <c r="X244" s="1">
        <v>0.17</v>
      </c>
      <c r="Y244" s="1">
        <v>0.17</v>
      </c>
      <c r="Z244" s="1">
        <v>0.17</v>
      </c>
      <c r="AA244" s="2">
        <v>108.5</v>
      </c>
      <c r="AB244" s="2">
        <v>58.4</v>
      </c>
      <c r="AC244" s="2">
        <v>3670</v>
      </c>
      <c r="AD244" s="2">
        <v>31.4</v>
      </c>
      <c r="AE244" s="4" t="s">
        <v>868</v>
      </c>
      <c r="AF244" s="4">
        <v>1.19</v>
      </c>
      <c r="AH244" s="21" t="s">
        <v>925</v>
      </c>
      <c r="AI244" s="21" t="s">
        <v>924</v>
      </c>
      <c r="AJ244" s="22" t="s">
        <v>1117</v>
      </c>
      <c r="AK244" s="24" t="s">
        <v>1053</v>
      </c>
      <c r="AL244" s="20" t="s">
        <v>1098</v>
      </c>
    </row>
    <row r="245" spans="1:38" x14ac:dyDescent="0.25">
      <c r="A245" s="14" t="s">
        <v>1146</v>
      </c>
      <c r="B245" s="14" t="s">
        <v>1161</v>
      </c>
      <c r="C245" s="14" t="s">
        <v>1162</v>
      </c>
      <c r="D245" t="s">
        <v>1572</v>
      </c>
      <c r="E245" t="s">
        <v>1589</v>
      </c>
      <c r="F245" s="1">
        <v>2.4994999999999998</v>
      </c>
      <c r="G245" s="1">
        <v>1.6930000000000001</v>
      </c>
      <c r="H245" s="1">
        <v>1.6579999999999999</v>
      </c>
      <c r="I245" s="1">
        <v>1.6305000000000001</v>
      </c>
      <c r="J245" s="1">
        <v>2.1684999999999999</v>
      </c>
      <c r="K245" s="1">
        <v>1.6294999999999999</v>
      </c>
      <c r="L245" s="1">
        <v>0.66</v>
      </c>
      <c r="M245" s="1">
        <v>0.62</v>
      </c>
      <c r="N245" s="1">
        <v>0.67</v>
      </c>
      <c r="O245" s="1">
        <f>(F245+G245)/2</f>
        <v>2.0962499999999999</v>
      </c>
      <c r="P245" s="1">
        <f>(H245+I245)/2</f>
        <v>1.64425</v>
      </c>
      <c r="Q245" s="1">
        <f>(J245+K245)/2</f>
        <v>1.899</v>
      </c>
      <c r="R245" s="1">
        <f>(1-((MIN(F245:G245)/MAX(F245:G245))^2))^0.5</f>
        <v>0.73567429275280527</v>
      </c>
      <c r="S245" s="1">
        <f>(1-((MIN(H245:I245)/MAX(H245:I245))^2))^0.5</f>
        <v>0.18137638585349153</v>
      </c>
      <c r="T245" s="1">
        <f>(1-((MIN(J245:K245)/MAX(J245:K245))^2))^0.5</f>
        <v>0.65980019005729729</v>
      </c>
      <c r="U245" s="2">
        <v>8.766</v>
      </c>
      <c r="V245" s="2">
        <v>7.5940000000000003</v>
      </c>
      <c r="W245" s="2">
        <v>7.4909999999999997</v>
      </c>
      <c r="X245" s="9">
        <f>L245/2</f>
        <v>0.33</v>
      </c>
      <c r="Y245" s="9">
        <f t="shared" ref="Y245" si="9">M245/2</f>
        <v>0.31</v>
      </c>
      <c r="Z245" s="9">
        <f t="shared" ref="Z245" si="10">N245/2</f>
        <v>0.33500000000000002</v>
      </c>
      <c r="AA245" s="2">
        <v>161</v>
      </c>
      <c r="AB245" s="2">
        <v>60.07</v>
      </c>
      <c r="AC245" s="2">
        <v>10000</v>
      </c>
      <c r="AD245" s="2">
        <v>31</v>
      </c>
      <c r="AE245" s="4" t="s">
        <v>868</v>
      </c>
      <c r="AF245" s="4">
        <v>1.19</v>
      </c>
      <c r="AH245" s="21" t="s">
        <v>923</v>
      </c>
      <c r="AI245" s="21" t="s">
        <v>923</v>
      </c>
      <c r="AJ245" s="24" t="s">
        <v>1163</v>
      </c>
      <c r="AK245" s="24" t="s">
        <v>1163</v>
      </c>
      <c r="AL245" s="20" t="s">
        <v>1098</v>
      </c>
    </row>
    <row r="246" spans="1:38" x14ac:dyDescent="0.25">
      <c r="A246" s="14" t="s">
        <v>626</v>
      </c>
      <c r="B246" s="14" t="s">
        <v>627</v>
      </c>
      <c r="C246" s="14" t="s">
        <v>1202</v>
      </c>
      <c r="D246" t="s">
        <v>1572</v>
      </c>
      <c r="E246" t="s">
        <v>1589</v>
      </c>
      <c r="F246" s="1">
        <v>2.8149999999999999</v>
      </c>
      <c r="G246" s="1">
        <v>1.7825</v>
      </c>
      <c r="H246" s="1">
        <v>2.403</v>
      </c>
      <c r="I246" s="1">
        <v>1.8620000000000001</v>
      </c>
      <c r="J246" s="1">
        <v>1.9295</v>
      </c>
      <c r="K246" s="1">
        <v>1.7470000000000001</v>
      </c>
      <c r="L246" s="1">
        <v>0.36740000000000006</v>
      </c>
      <c r="M246" s="1">
        <v>0.40239999999999998</v>
      </c>
      <c r="N246" s="1">
        <v>0.44779999999999998</v>
      </c>
      <c r="O246" s="1">
        <v>2.2987500000000001</v>
      </c>
      <c r="P246" s="1">
        <v>2.1325000000000003</v>
      </c>
      <c r="Q246" s="1">
        <v>1.8382499999999999</v>
      </c>
      <c r="R246" s="1">
        <v>0.77397601060977095</v>
      </c>
      <c r="S246" s="1">
        <v>0.63212705645240275</v>
      </c>
      <c r="T246" s="1">
        <v>0.42452565101022777</v>
      </c>
      <c r="U246" s="2">
        <v>7.6550000000000002</v>
      </c>
      <c r="V246" s="2">
        <v>8.6189999999999998</v>
      </c>
      <c r="W246" s="2">
        <v>8.9350000000000005</v>
      </c>
      <c r="X246" s="1">
        <v>0.18370000000000003</v>
      </c>
      <c r="Y246" s="1">
        <v>0.20119999999999999</v>
      </c>
      <c r="Z246" s="1">
        <v>0.22389999999999999</v>
      </c>
      <c r="AA246" s="2">
        <v>93.2</v>
      </c>
      <c r="AB246" s="2">
        <v>38.6</v>
      </c>
      <c r="AC246" s="2">
        <v>1752</v>
      </c>
      <c r="AD246" s="2">
        <v>34</v>
      </c>
      <c r="AE246" s="4" t="s">
        <v>868</v>
      </c>
      <c r="AF246" s="4">
        <v>1.19</v>
      </c>
      <c r="AH246" s="21" t="s">
        <v>1157</v>
      </c>
      <c r="AI246" s="21" t="s">
        <v>924</v>
      </c>
      <c r="AJ246" s="22" t="s">
        <v>1118</v>
      </c>
      <c r="AK246" s="24" t="s">
        <v>1054</v>
      </c>
      <c r="AL246" s="20" t="s">
        <v>1098</v>
      </c>
    </row>
    <row r="247" spans="1:38" x14ac:dyDescent="0.25">
      <c r="A247" s="14" t="s">
        <v>628</v>
      </c>
      <c r="B247" s="14" t="s">
        <v>629</v>
      </c>
      <c r="C247" s="14" t="s">
        <v>630</v>
      </c>
      <c r="D247" t="s">
        <v>1572</v>
      </c>
      <c r="E247" t="s">
        <v>1594</v>
      </c>
      <c r="F247" s="1">
        <v>1.2949999999999999</v>
      </c>
      <c r="G247" s="1">
        <v>1.2050000000000001</v>
      </c>
      <c r="H247" s="1">
        <v>0.98950000000000005</v>
      </c>
      <c r="I247" s="1">
        <v>0.82199999999999995</v>
      </c>
      <c r="J247" s="1">
        <v>1.0389999999999999</v>
      </c>
      <c r="K247" s="1">
        <v>0.83250000000000002</v>
      </c>
      <c r="L247" s="1">
        <v>0.17299999999999999</v>
      </c>
      <c r="M247" s="1">
        <v>0.16500000000000001</v>
      </c>
      <c r="N247" s="1">
        <v>0.2</v>
      </c>
      <c r="O247" s="1">
        <v>1.25</v>
      </c>
      <c r="P247" s="1">
        <v>0.90575000000000006</v>
      </c>
      <c r="Q247" s="1">
        <v>0.93574999999999997</v>
      </c>
      <c r="R247" s="1">
        <v>0.36628698766429074</v>
      </c>
      <c r="S247" s="1">
        <v>0.55668661127558905</v>
      </c>
      <c r="T247" s="1">
        <v>0.59832809524794794</v>
      </c>
      <c r="U247" s="2">
        <v>5.0359999999999996</v>
      </c>
      <c r="V247" s="2">
        <v>3.58</v>
      </c>
      <c r="W247" s="2">
        <v>4.1070000000000002</v>
      </c>
      <c r="X247" s="1">
        <v>8.6499999999999994E-2</v>
      </c>
      <c r="Y247" s="1">
        <v>8.2500000000000004E-2</v>
      </c>
      <c r="Z247" s="1">
        <v>0.1</v>
      </c>
      <c r="AA247" s="2">
        <v>40</v>
      </c>
      <c r="AB247" s="2">
        <v>15</v>
      </c>
      <c r="AC247" s="2">
        <v>300</v>
      </c>
      <c r="AD247" s="2" t="s">
        <v>40</v>
      </c>
      <c r="AE247" s="4" t="s">
        <v>867</v>
      </c>
      <c r="AF247" s="4">
        <v>1.19</v>
      </c>
      <c r="AH247" s="21" t="s">
        <v>1107</v>
      </c>
      <c r="AI247" s="25" t="s">
        <v>1380</v>
      </c>
      <c r="AJ247" s="25" t="s">
        <v>1119</v>
      </c>
      <c r="AK247" s="23" t="s">
        <v>40</v>
      </c>
      <c r="AL247" s="20" t="s">
        <v>1098</v>
      </c>
    </row>
    <row r="248" spans="1:38" x14ac:dyDescent="0.25">
      <c r="A248" s="14" t="s">
        <v>631</v>
      </c>
      <c r="B248" s="14" t="s">
        <v>632</v>
      </c>
      <c r="C248" s="14" t="s">
        <v>1203</v>
      </c>
      <c r="D248" t="s">
        <v>1572</v>
      </c>
      <c r="E248" t="s">
        <v>1590</v>
      </c>
      <c r="F248" s="1">
        <v>1.93</v>
      </c>
      <c r="G248" s="1">
        <v>1.81</v>
      </c>
      <c r="H248" s="1">
        <v>1.75</v>
      </c>
      <c r="I248" s="1">
        <v>1.44</v>
      </c>
      <c r="J248" s="1">
        <v>1.35</v>
      </c>
      <c r="K248" s="1">
        <v>1.31</v>
      </c>
      <c r="L248" s="1">
        <v>0.25</v>
      </c>
      <c r="M248" s="1">
        <v>0.26</v>
      </c>
      <c r="N248" s="1">
        <v>0.25</v>
      </c>
      <c r="O248" s="1">
        <v>1.87</v>
      </c>
      <c r="P248" s="1">
        <v>1.595</v>
      </c>
      <c r="Q248" s="1">
        <v>1.33</v>
      </c>
      <c r="R248" s="1">
        <v>0.34711159014392146</v>
      </c>
      <c r="S248" s="1">
        <v>0.56824829295738288</v>
      </c>
      <c r="T248" s="1">
        <v>0.24162231748592733</v>
      </c>
      <c r="U248" s="2">
        <v>7.6</v>
      </c>
      <c r="V248" s="2">
        <v>7.4</v>
      </c>
      <c r="W248" s="2">
        <v>4.9000000000000004</v>
      </c>
      <c r="X248" s="1">
        <v>0.125</v>
      </c>
      <c r="Y248" s="1">
        <v>0.13</v>
      </c>
      <c r="Z248" s="1">
        <v>0.125</v>
      </c>
      <c r="AA248" s="2">
        <v>76.900000000000006</v>
      </c>
      <c r="AB248" s="2">
        <v>52.1</v>
      </c>
      <c r="AC248" s="2">
        <v>982</v>
      </c>
      <c r="AD248" s="2">
        <v>35.9</v>
      </c>
      <c r="AE248" s="4" t="s">
        <v>868</v>
      </c>
      <c r="AF248" s="4">
        <v>1.19</v>
      </c>
      <c r="AH248" s="21" t="s">
        <v>925</v>
      </c>
      <c r="AI248" s="21" t="s">
        <v>924</v>
      </c>
      <c r="AJ248" s="22" t="s">
        <v>955</v>
      </c>
      <c r="AK248" s="24" t="s">
        <v>1054</v>
      </c>
      <c r="AL248" s="20" t="s">
        <v>1098</v>
      </c>
    </row>
    <row r="249" spans="1:38" x14ac:dyDescent="0.25">
      <c r="A249" s="14" t="s">
        <v>633</v>
      </c>
      <c r="B249" s="14" t="s">
        <v>634</v>
      </c>
      <c r="C249" s="14" t="s">
        <v>1262</v>
      </c>
      <c r="D249" t="s">
        <v>1572</v>
      </c>
      <c r="E249" t="s">
        <v>1590</v>
      </c>
      <c r="F249" s="1">
        <v>1.794</v>
      </c>
      <c r="G249" s="1">
        <v>1.758</v>
      </c>
      <c r="H249" s="1">
        <v>1.5305</v>
      </c>
      <c r="I249" s="1">
        <v>1.119</v>
      </c>
      <c r="J249" s="1">
        <v>1.1845000000000001</v>
      </c>
      <c r="K249" s="1">
        <v>1.1539999999999999</v>
      </c>
      <c r="L249" s="1">
        <v>0.19900000000000001</v>
      </c>
      <c r="M249" s="1">
        <v>0.219</v>
      </c>
      <c r="N249" s="1">
        <v>0.22800000000000001</v>
      </c>
      <c r="O249" s="1">
        <v>1.776</v>
      </c>
      <c r="P249" s="1">
        <v>1.3247499999999999</v>
      </c>
      <c r="Q249" s="1">
        <v>1.1692499999999999</v>
      </c>
      <c r="R249" s="1">
        <v>0.19932661439132221</v>
      </c>
      <c r="S249" s="1">
        <v>0.68223429617288145</v>
      </c>
      <c r="T249" s="1">
        <v>0.22546728837306176</v>
      </c>
      <c r="U249" s="2">
        <v>6.3189999999999991</v>
      </c>
      <c r="V249" s="2">
        <v>5.2059999999999995</v>
      </c>
      <c r="W249" s="2">
        <v>4.8470000000000013</v>
      </c>
      <c r="X249" s="1">
        <v>9.9500000000000005E-2</v>
      </c>
      <c r="Y249" s="1">
        <v>0.1095</v>
      </c>
      <c r="Z249" s="1">
        <v>0.114</v>
      </c>
      <c r="AA249" s="2">
        <v>74</v>
      </c>
      <c r="AB249" s="2">
        <v>38.700000000000003</v>
      </c>
      <c r="AC249" s="2">
        <v>1058</v>
      </c>
      <c r="AD249" s="2">
        <v>33.9</v>
      </c>
      <c r="AE249" s="4" t="s">
        <v>868</v>
      </c>
      <c r="AF249" s="4">
        <v>1.19</v>
      </c>
      <c r="AH249" s="21" t="s">
        <v>925</v>
      </c>
      <c r="AI249" s="21" t="s">
        <v>924</v>
      </c>
      <c r="AJ249" s="24" t="s">
        <v>946</v>
      </c>
      <c r="AK249" s="24" t="s">
        <v>1055</v>
      </c>
      <c r="AL249" s="20" t="s">
        <v>1098</v>
      </c>
    </row>
    <row r="250" spans="1:38" x14ac:dyDescent="0.25">
      <c r="A250" s="14" t="s">
        <v>636</v>
      </c>
      <c r="B250" s="14" t="s">
        <v>637</v>
      </c>
      <c r="C250" s="14" t="s">
        <v>1263</v>
      </c>
      <c r="D250" t="s">
        <v>1572</v>
      </c>
      <c r="E250" t="s">
        <v>1590</v>
      </c>
      <c r="F250" s="1">
        <v>2.6</v>
      </c>
      <c r="G250" s="1">
        <v>2.5499999999999998</v>
      </c>
      <c r="H250" s="1">
        <v>2.8</v>
      </c>
      <c r="I250" s="1">
        <v>2.08</v>
      </c>
      <c r="J250" s="1">
        <v>2.33</v>
      </c>
      <c r="K250" s="1">
        <v>1.97</v>
      </c>
      <c r="L250" s="1">
        <v>0.35</v>
      </c>
      <c r="M250" s="1">
        <v>0.37</v>
      </c>
      <c r="N250" s="1">
        <v>0.42</v>
      </c>
      <c r="O250" s="1">
        <v>2.5750000000000002</v>
      </c>
      <c r="P250" s="1">
        <v>2.44</v>
      </c>
      <c r="Q250" s="1">
        <v>2.15</v>
      </c>
      <c r="R250" s="1">
        <v>0.1951709916363896</v>
      </c>
      <c r="S250" s="1">
        <v>0.66944997222057034</v>
      </c>
      <c r="T250" s="1">
        <v>0.53398561424878255</v>
      </c>
      <c r="U250" s="2">
        <v>9.4</v>
      </c>
      <c r="V250" s="2">
        <v>10.3</v>
      </c>
      <c r="W250" s="2">
        <v>8.4</v>
      </c>
      <c r="X250" s="1">
        <v>0.17499999999999999</v>
      </c>
      <c r="Y250" s="1">
        <v>0.185</v>
      </c>
      <c r="Z250" s="1">
        <v>0.21</v>
      </c>
      <c r="AA250" s="2">
        <v>110</v>
      </c>
      <c r="AB250" s="2">
        <v>77.900000000000006</v>
      </c>
      <c r="AC250" s="2">
        <v>6957</v>
      </c>
      <c r="AD250" s="2">
        <v>35.799999999999997</v>
      </c>
      <c r="AE250" s="4" t="s">
        <v>868</v>
      </c>
      <c r="AF250" s="4">
        <v>1.19</v>
      </c>
      <c r="AH250" s="21" t="s">
        <v>925</v>
      </c>
      <c r="AI250" s="21" t="s">
        <v>924</v>
      </c>
      <c r="AJ250" s="17" t="s">
        <v>947</v>
      </c>
      <c r="AK250" s="24" t="s">
        <v>1055</v>
      </c>
      <c r="AL250" s="20" t="s">
        <v>1098</v>
      </c>
    </row>
    <row r="251" spans="1:38" x14ac:dyDescent="0.25">
      <c r="A251" s="14" t="s">
        <v>639</v>
      </c>
      <c r="B251" s="14" t="s">
        <v>640</v>
      </c>
      <c r="C251" s="14" t="s">
        <v>641</v>
      </c>
      <c r="D251" t="s">
        <v>1572</v>
      </c>
      <c r="E251" t="s">
        <v>1590</v>
      </c>
      <c r="F251" s="1">
        <v>1.1399999999999999</v>
      </c>
      <c r="G251" s="1">
        <v>1.1200000000000001</v>
      </c>
      <c r="H251" s="1">
        <v>1.08</v>
      </c>
      <c r="I251" s="1">
        <v>0.86</v>
      </c>
      <c r="J251" s="1">
        <v>0.88</v>
      </c>
      <c r="K251" s="1">
        <v>0.82</v>
      </c>
      <c r="L251" s="1">
        <v>0.16</v>
      </c>
      <c r="M251" s="1">
        <v>0.13</v>
      </c>
      <c r="N251" s="1">
        <v>0.16</v>
      </c>
      <c r="O251" s="1">
        <v>1.1299999999999999</v>
      </c>
      <c r="P251" s="1">
        <v>0.97</v>
      </c>
      <c r="Q251" s="1">
        <v>0.85</v>
      </c>
      <c r="R251" s="1">
        <v>0.18649378618832629</v>
      </c>
      <c r="S251" s="1">
        <v>0.60490677670596571</v>
      </c>
      <c r="T251" s="1">
        <v>0.36292544142434818</v>
      </c>
      <c r="U251" s="2">
        <v>3.9</v>
      </c>
      <c r="V251" s="2">
        <v>3.7</v>
      </c>
      <c r="W251" s="2">
        <v>3.3</v>
      </c>
      <c r="X251" s="1">
        <v>0.08</v>
      </c>
      <c r="Y251" s="1">
        <v>6.5000000000000002E-2</v>
      </c>
      <c r="Z251" s="1">
        <v>0.08</v>
      </c>
      <c r="AA251" s="2">
        <v>42.8</v>
      </c>
      <c r="AB251" s="2">
        <v>28.4</v>
      </c>
      <c r="AC251" s="2">
        <v>93.5</v>
      </c>
      <c r="AD251" s="2">
        <v>34.299999999999997</v>
      </c>
      <c r="AE251" s="4" t="s">
        <v>868</v>
      </c>
      <c r="AF251" s="4">
        <v>1.19</v>
      </c>
      <c r="AH251" s="21" t="s">
        <v>925</v>
      </c>
      <c r="AI251" s="21" t="s">
        <v>924</v>
      </c>
      <c r="AJ251" s="24" t="s">
        <v>947</v>
      </c>
      <c r="AK251" s="24" t="s">
        <v>1055</v>
      </c>
      <c r="AL251" s="20" t="s">
        <v>1098</v>
      </c>
    </row>
    <row r="252" spans="1:38" x14ac:dyDescent="0.25">
      <c r="A252" s="14" t="s">
        <v>642</v>
      </c>
      <c r="B252" s="14" t="s">
        <v>643</v>
      </c>
      <c r="C252" s="14" t="s">
        <v>644</v>
      </c>
      <c r="D252" t="s">
        <v>1572</v>
      </c>
      <c r="E252" t="s">
        <v>1590</v>
      </c>
      <c r="F252" s="1">
        <v>1.77</v>
      </c>
      <c r="G252" s="1">
        <v>1.5</v>
      </c>
      <c r="H252" s="1">
        <v>1.39</v>
      </c>
      <c r="I252" s="1">
        <v>1.18</v>
      </c>
      <c r="J252" s="1">
        <v>1.19</v>
      </c>
      <c r="K252" s="1">
        <v>1.04</v>
      </c>
      <c r="L252" s="1">
        <v>0.23</v>
      </c>
      <c r="M252" s="1">
        <v>0.19</v>
      </c>
      <c r="N252" s="1">
        <v>0.27</v>
      </c>
      <c r="O252" s="1">
        <v>1.635</v>
      </c>
      <c r="P252" s="1">
        <v>1.2849999999999999</v>
      </c>
      <c r="Q252" s="1">
        <v>1.115</v>
      </c>
      <c r="R252" s="1">
        <v>0.5308630428259602</v>
      </c>
      <c r="S252" s="1">
        <v>0.52851997865558842</v>
      </c>
      <c r="T252" s="1">
        <v>0.48601659633348732</v>
      </c>
      <c r="U252" s="2">
        <v>6.4</v>
      </c>
      <c r="V252" s="2">
        <v>5</v>
      </c>
      <c r="W252" s="2">
        <v>4.5</v>
      </c>
      <c r="X252" s="1">
        <v>0.115</v>
      </c>
      <c r="Y252" s="1">
        <v>9.5000000000000001E-2</v>
      </c>
      <c r="Z252" s="1">
        <v>0.13500000000000001</v>
      </c>
      <c r="AA252" s="2">
        <v>107</v>
      </c>
      <c r="AB252" s="2">
        <v>67</v>
      </c>
      <c r="AC252" s="2">
        <v>2800</v>
      </c>
      <c r="AD252" s="2">
        <v>35</v>
      </c>
      <c r="AE252" s="4" t="s">
        <v>868</v>
      </c>
      <c r="AF252" s="4">
        <v>1.19</v>
      </c>
      <c r="AH252" s="21" t="s">
        <v>923</v>
      </c>
      <c r="AI252" s="21" t="s">
        <v>924</v>
      </c>
      <c r="AJ252" s="22" t="s">
        <v>955</v>
      </c>
      <c r="AK252" s="24" t="s">
        <v>1054</v>
      </c>
      <c r="AL252" s="20" t="s">
        <v>1098</v>
      </c>
    </row>
    <row r="253" spans="1:38" x14ac:dyDescent="0.25">
      <c r="A253" s="14" t="s">
        <v>645</v>
      </c>
      <c r="B253" s="14" t="s">
        <v>646</v>
      </c>
      <c r="C253" s="14" t="s">
        <v>647</v>
      </c>
      <c r="D253" t="s">
        <v>1572</v>
      </c>
      <c r="E253" t="s">
        <v>1591</v>
      </c>
      <c r="F253" s="1">
        <v>2.4849999999999999</v>
      </c>
      <c r="G253" s="1">
        <v>1.9864999999999999</v>
      </c>
      <c r="H253" s="1">
        <v>2.2174999999999998</v>
      </c>
      <c r="I253" s="1">
        <v>2.1219999999999999</v>
      </c>
      <c r="J253" s="1">
        <v>1.889</v>
      </c>
      <c r="K253" s="1">
        <v>1.6695</v>
      </c>
      <c r="L253" s="1">
        <v>0.27600000000000002</v>
      </c>
      <c r="M253" s="1">
        <v>0.22800000000000001</v>
      </c>
      <c r="N253" s="1">
        <v>0.28699999999999998</v>
      </c>
      <c r="O253" s="1">
        <v>2.2357499999999999</v>
      </c>
      <c r="P253" s="1">
        <v>2.1697499999999996</v>
      </c>
      <c r="Q253" s="1">
        <v>1.77925</v>
      </c>
      <c r="R253" s="1">
        <v>0.60080398667903179</v>
      </c>
      <c r="S253" s="1">
        <v>0.29030726457356981</v>
      </c>
      <c r="T253" s="1">
        <v>0.46786309501749129</v>
      </c>
      <c r="U253" s="2">
        <v>9.67</v>
      </c>
      <c r="V253" s="2">
        <v>10.531000000000001</v>
      </c>
      <c r="W253" s="2">
        <v>8.5909999999999993</v>
      </c>
      <c r="X253" s="1">
        <v>0.13800000000000001</v>
      </c>
      <c r="Y253" s="1">
        <v>0.114</v>
      </c>
      <c r="Z253" s="1">
        <v>0.14349999999999999</v>
      </c>
      <c r="AA253" s="2">
        <v>86.4</v>
      </c>
      <c r="AB253" s="2">
        <v>45</v>
      </c>
      <c r="AC253" s="2">
        <v>4754</v>
      </c>
      <c r="AD253" s="2">
        <v>34.5</v>
      </c>
      <c r="AE253" s="4" t="s">
        <v>868</v>
      </c>
      <c r="AF253" s="4">
        <v>1.19</v>
      </c>
      <c r="AH253" s="21" t="s">
        <v>923</v>
      </c>
      <c r="AI253" s="21" t="s">
        <v>924</v>
      </c>
      <c r="AJ253" s="22" t="s">
        <v>955</v>
      </c>
      <c r="AK253" s="24" t="s">
        <v>1054</v>
      </c>
      <c r="AL253" s="20" t="s">
        <v>1098</v>
      </c>
    </row>
    <row r="254" spans="1:38" x14ac:dyDescent="0.25">
      <c r="A254" s="14" t="s">
        <v>648</v>
      </c>
      <c r="B254" s="14" t="s">
        <v>649</v>
      </c>
      <c r="C254" s="14" t="s">
        <v>1256</v>
      </c>
      <c r="D254" t="s">
        <v>1572</v>
      </c>
      <c r="E254" t="s">
        <v>1591</v>
      </c>
      <c r="F254" s="1">
        <v>2.5105</v>
      </c>
      <c r="G254" s="1">
        <v>1.786</v>
      </c>
      <c r="H254" s="1">
        <v>2.641</v>
      </c>
      <c r="I254" s="1">
        <v>1.8645</v>
      </c>
      <c r="J254" s="1">
        <v>2.0630000000000002</v>
      </c>
      <c r="K254" s="1">
        <v>1.6194999999999999</v>
      </c>
      <c r="L254" s="1">
        <v>0.32500000000000001</v>
      </c>
      <c r="M254" s="1">
        <v>0.36799999999999999</v>
      </c>
      <c r="N254" s="1">
        <v>0.377</v>
      </c>
      <c r="O254" s="1">
        <v>2.14825</v>
      </c>
      <c r="P254" s="1">
        <v>2.2527499999999998</v>
      </c>
      <c r="Q254" s="1">
        <v>1.8412500000000001</v>
      </c>
      <c r="R254" s="1">
        <v>0.702775118826517</v>
      </c>
      <c r="S254" s="1">
        <v>0.70822919553709995</v>
      </c>
      <c r="T254" s="1">
        <v>0.61946812127894257</v>
      </c>
      <c r="U254" s="2">
        <v>9.6679999999999993</v>
      </c>
      <c r="V254" s="2">
        <v>9.0580000000000016</v>
      </c>
      <c r="W254" s="2">
        <v>8.41</v>
      </c>
      <c r="X254" s="1">
        <v>0.16250000000000001</v>
      </c>
      <c r="Y254" s="1">
        <v>0.184</v>
      </c>
      <c r="Z254" s="1">
        <v>0.1885</v>
      </c>
      <c r="AA254" s="2">
        <v>75.900000000000006</v>
      </c>
      <c r="AB254" s="2">
        <v>56.6</v>
      </c>
      <c r="AC254" s="2">
        <v>3800</v>
      </c>
      <c r="AD254" s="2">
        <v>38</v>
      </c>
      <c r="AE254" s="4" t="s">
        <v>868</v>
      </c>
      <c r="AF254" s="4">
        <v>1.19</v>
      </c>
      <c r="AH254" s="21" t="s">
        <v>923</v>
      </c>
      <c r="AI254" s="21" t="s">
        <v>924</v>
      </c>
      <c r="AJ254" s="22" t="s">
        <v>955</v>
      </c>
      <c r="AK254" s="24" t="s">
        <v>1054</v>
      </c>
      <c r="AL254" s="20" t="s">
        <v>1098</v>
      </c>
    </row>
    <row r="255" spans="1:38" x14ac:dyDescent="0.25">
      <c r="A255" s="14" t="s">
        <v>650</v>
      </c>
      <c r="B255" s="14" t="s">
        <v>651</v>
      </c>
      <c r="C255" s="14" t="s">
        <v>1204</v>
      </c>
      <c r="D255" t="s">
        <v>1572</v>
      </c>
      <c r="E255" t="s">
        <v>1591</v>
      </c>
      <c r="F255" s="1">
        <v>7.1150000000000002</v>
      </c>
      <c r="G255" s="1">
        <v>5.0910000000000002</v>
      </c>
      <c r="H255" s="1">
        <v>5.8375000000000004</v>
      </c>
      <c r="I255" s="1">
        <v>5.0369999999999999</v>
      </c>
      <c r="J255" s="1">
        <v>5.6310000000000002</v>
      </c>
      <c r="K255" s="1">
        <v>4.0890000000000004</v>
      </c>
      <c r="L255" s="1">
        <v>1.61</v>
      </c>
      <c r="M255" s="1">
        <v>1.6619999999999999</v>
      </c>
      <c r="N255" s="1">
        <v>1.458</v>
      </c>
      <c r="O255" s="1">
        <v>6.1029999999999998</v>
      </c>
      <c r="P255" s="1">
        <v>5.4372500000000006</v>
      </c>
      <c r="Q255" s="1">
        <v>4.8600000000000003</v>
      </c>
      <c r="R255" s="1">
        <v>0.6985814229649705</v>
      </c>
      <c r="S255" s="1">
        <v>0.50542698261795127</v>
      </c>
      <c r="T255" s="1">
        <v>0.687527053640551</v>
      </c>
      <c r="U255" s="2">
        <v>22.045000000000002</v>
      </c>
      <c r="V255" s="2">
        <v>22.524000000000001</v>
      </c>
      <c r="W255" s="2">
        <v>19.401999999999997</v>
      </c>
      <c r="X255" s="1">
        <v>0.80500000000000005</v>
      </c>
      <c r="Y255" s="1">
        <v>0.83099999999999996</v>
      </c>
      <c r="Z255" s="1">
        <v>0.72899999999999998</v>
      </c>
      <c r="AA255" s="2">
        <v>660</v>
      </c>
      <c r="AB255" s="2">
        <v>422.6</v>
      </c>
      <c r="AC255" s="2">
        <v>3450000</v>
      </c>
      <c r="AD255" s="2">
        <v>35.9</v>
      </c>
      <c r="AE255" s="4" t="s">
        <v>868</v>
      </c>
      <c r="AF255" s="4">
        <v>1.19</v>
      </c>
      <c r="AH255" s="21" t="s">
        <v>925</v>
      </c>
      <c r="AI255" s="21" t="s">
        <v>924</v>
      </c>
      <c r="AJ255" s="24" t="s">
        <v>946</v>
      </c>
      <c r="AK255" s="24" t="s">
        <v>1056</v>
      </c>
      <c r="AL255" s="20" t="s">
        <v>1098</v>
      </c>
    </row>
    <row r="256" spans="1:38" x14ac:dyDescent="0.25">
      <c r="A256" s="14" t="s">
        <v>652</v>
      </c>
      <c r="B256" s="14" t="s">
        <v>653</v>
      </c>
      <c r="C256" s="14" t="s">
        <v>654</v>
      </c>
      <c r="D256" t="s">
        <v>1572</v>
      </c>
      <c r="E256" t="s">
        <v>1591</v>
      </c>
      <c r="F256" s="1">
        <v>3.335</v>
      </c>
      <c r="G256" s="1">
        <v>3.0649999999999999</v>
      </c>
      <c r="H256" s="1">
        <v>2.9649999999999999</v>
      </c>
      <c r="I256" s="1">
        <v>2.73</v>
      </c>
      <c r="J256" s="1">
        <v>3.1749999999999998</v>
      </c>
      <c r="K256" s="1">
        <v>2.9649999999999999</v>
      </c>
      <c r="L256" s="1">
        <v>0.42</v>
      </c>
      <c r="M256" s="1">
        <v>0.52</v>
      </c>
      <c r="N256" s="1">
        <v>0.5</v>
      </c>
      <c r="O256" s="1">
        <v>3.2</v>
      </c>
      <c r="P256" s="1">
        <v>2.8475000000000001</v>
      </c>
      <c r="Q256" s="1">
        <v>3.07</v>
      </c>
      <c r="R256" s="1">
        <v>0.39416315982380778</v>
      </c>
      <c r="S256" s="1">
        <v>0.39017199805754338</v>
      </c>
      <c r="T256" s="1">
        <v>0.35764330808428602</v>
      </c>
      <c r="U256" s="2">
        <v>9.6399999999999988</v>
      </c>
      <c r="V256" s="2">
        <v>9</v>
      </c>
      <c r="W256" s="2">
        <v>11.370000000000001</v>
      </c>
      <c r="X256" s="1">
        <v>0.21</v>
      </c>
      <c r="Y256" s="1">
        <v>0.26</v>
      </c>
      <c r="Z256" s="1">
        <v>0.25</v>
      </c>
      <c r="AA256" s="2">
        <v>340</v>
      </c>
      <c r="AB256" s="2">
        <v>243.1</v>
      </c>
      <c r="AC256" s="2">
        <v>420000</v>
      </c>
      <c r="AD256" s="2" t="s">
        <v>40</v>
      </c>
      <c r="AE256" s="4" t="s">
        <v>868</v>
      </c>
      <c r="AF256" s="4">
        <v>1.19</v>
      </c>
      <c r="AH256" s="21" t="s">
        <v>925</v>
      </c>
      <c r="AI256" s="21" t="s">
        <v>924</v>
      </c>
      <c r="AJ256" s="26" t="s">
        <v>956</v>
      </c>
      <c r="AK256" s="23" t="s">
        <v>40</v>
      </c>
      <c r="AL256" s="20" t="s">
        <v>1098</v>
      </c>
    </row>
    <row r="257" spans="1:38" x14ac:dyDescent="0.25">
      <c r="A257" s="14" t="s">
        <v>655</v>
      </c>
      <c r="B257" s="14" t="s">
        <v>656</v>
      </c>
      <c r="C257" s="14" t="s">
        <v>657</v>
      </c>
      <c r="D257" t="s">
        <v>1572</v>
      </c>
      <c r="E257" t="s">
        <v>1591</v>
      </c>
      <c r="F257" s="1">
        <v>3.23</v>
      </c>
      <c r="G257" s="1">
        <v>3.19</v>
      </c>
      <c r="H257" s="1">
        <v>4.26</v>
      </c>
      <c r="I257" s="1">
        <v>4.13</v>
      </c>
      <c r="J257" s="1">
        <v>4.7</v>
      </c>
      <c r="K257" s="1">
        <v>3.96</v>
      </c>
      <c r="L257" s="1">
        <v>0.55000000000000004</v>
      </c>
      <c r="M257" s="1">
        <v>0.5</v>
      </c>
      <c r="N257" s="1">
        <v>0.5</v>
      </c>
      <c r="O257" s="1">
        <v>3.21</v>
      </c>
      <c r="P257" s="1">
        <v>4.1950000000000003</v>
      </c>
      <c r="Q257" s="1">
        <v>4.33</v>
      </c>
      <c r="R257" s="1">
        <v>0.15688990042501466</v>
      </c>
      <c r="S257" s="1">
        <v>0.24515629959750015</v>
      </c>
      <c r="T257" s="1">
        <v>0.53861314457696918</v>
      </c>
      <c r="U257" s="2">
        <v>14.6</v>
      </c>
      <c r="V257" s="2">
        <v>13</v>
      </c>
      <c r="W257" s="2">
        <v>14.5</v>
      </c>
      <c r="X257" s="1">
        <v>0.27500000000000002</v>
      </c>
      <c r="Y257" s="1">
        <v>0.25</v>
      </c>
      <c r="Z257" s="1">
        <v>0.25</v>
      </c>
      <c r="AA257" s="2">
        <v>347</v>
      </c>
      <c r="AB257" s="2">
        <v>269</v>
      </c>
      <c r="AC257" s="2">
        <v>500000</v>
      </c>
      <c r="AD257" s="2">
        <v>35.4</v>
      </c>
      <c r="AE257" s="4" t="s">
        <v>868</v>
      </c>
      <c r="AF257" s="4">
        <v>1.19</v>
      </c>
      <c r="AH257" s="21" t="s">
        <v>929</v>
      </c>
      <c r="AI257" s="21" t="s">
        <v>924</v>
      </c>
      <c r="AJ257" s="22" t="s">
        <v>955</v>
      </c>
      <c r="AK257" s="24" t="s">
        <v>1057</v>
      </c>
      <c r="AL257" s="20" t="s">
        <v>1098</v>
      </c>
    </row>
    <row r="258" spans="1:38" x14ac:dyDescent="0.25">
      <c r="A258" s="14" t="s">
        <v>658</v>
      </c>
      <c r="B258" s="14" t="s">
        <v>659</v>
      </c>
      <c r="C258" s="14" t="s">
        <v>660</v>
      </c>
      <c r="D258" t="s">
        <v>1572</v>
      </c>
      <c r="E258" t="s">
        <v>1591</v>
      </c>
      <c r="F258" s="1">
        <v>3.9409999999999998</v>
      </c>
      <c r="G258" s="1">
        <v>3.2435</v>
      </c>
      <c r="H258" s="1">
        <v>4.6360000000000001</v>
      </c>
      <c r="I258" s="1">
        <v>3.5445000000000002</v>
      </c>
      <c r="J258" s="1">
        <v>4.2069999999999999</v>
      </c>
      <c r="K258" s="1">
        <v>3.2025000000000001</v>
      </c>
      <c r="L258" s="1">
        <v>0.44900000000000001</v>
      </c>
      <c r="M258" s="1">
        <v>0.47799999999999998</v>
      </c>
      <c r="N258" s="1">
        <v>0.5</v>
      </c>
      <c r="O258" s="1">
        <v>3.5922499999999999</v>
      </c>
      <c r="P258" s="1">
        <v>4.0902500000000002</v>
      </c>
      <c r="Q258" s="1">
        <v>3.7047499999999998</v>
      </c>
      <c r="R258" s="1">
        <v>0.56802041613198462</v>
      </c>
      <c r="S258" s="1">
        <v>0.64455260388409674</v>
      </c>
      <c r="T258" s="1">
        <v>0.64848048276385795</v>
      </c>
      <c r="U258" s="2">
        <v>14.840999999999999</v>
      </c>
      <c r="V258" s="2">
        <v>20.106999999999999</v>
      </c>
      <c r="W258" s="2">
        <v>19.172000000000001</v>
      </c>
      <c r="X258" s="1">
        <v>0.22450000000000001</v>
      </c>
      <c r="Y258" s="1">
        <v>0.23899999999999999</v>
      </c>
      <c r="Z258" s="1">
        <v>0.25</v>
      </c>
      <c r="AA258" s="2">
        <v>245</v>
      </c>
      <c r="AB258" s="2">
        <v>110.6</v>
      </c>
      <c r="AC258" s="2">
        <v>60000</v>
      </c>
      <c r="AD258" s="2">
        <v>34.5</v>
      </c>
      <c r="AE258" s="4" t="s">
        <v>868</v>
      </c>
      <c r="AF258" s="4">
        <v>1.19</v>
      </c>
      <c r="AH258" s="21" t="s">
        <v>923</v>
      </c>
      <c r="AI258" s="21" t="s">
        <v>924</v>
      </c>
      <c r="AJ258" s="22" t="s">
        <v>955</v>
      </c>
      <c r="AK258" s="24" t="s">
        <v>1058</v>
      </c>
      <c r="AL258" s="20" t="s">
        <v>1098</v>
      </c>
    </row>
    <row r="259" spans="1:38" x14ac:dyDescent="0.25">
      <c r="A259" s="14" t="s">
        <v>661</v>
      </c>
      <c r="B259" s="14" t="s">
        <v>63</v>
      </c>
      <c r="C259" s="14" t="s">
        <v>662</v>
      </c>
      <c r="D259" t="s">
        <v>1572</v>
      </c>
      <c r="E259" t="s">
        <v>1591</v>
      </c>
      <c r="F259" s="1">
        <v>1.27</v>
      </c>
      <c r="G259" s="1">
        <v>0.87</v>
      </c>
      <c r="H259" s="1">
        <v>0.88</v>
      </c>
      <c r="I259" s="1">
        <v>0.59</v>
      </c>
      <c r="J259" s="1">
        <v>0.83</v>
      </c>
      <c r="K259" s="1">
        <v>0.73</v>
      </c>
      <c r="L259" s="1">
        <v>0.14000000000000001</v>
      </c>
      <c r="M259" s="1">
        <v>0.14000000000000001</v>
      </c>
      <c r="N259" s="1">
        <v>0.14000000000000001</v>
      </c>
      <c r="O259" s="1">
        <v>1.07</v>
      </c>
      <c r="P259" s="1">
        <v>0.73499999999999999</v>
      </c>
      <c r="Q259" s="1">
        <v>0.78</v>
      </c>
      <c r="R259" s="1">
        <v>0.7285060476359293</v>
      </c>
      <c r="S259" s="1">
        <v>0.74195060649570121</v>
      </c>
      <c r="T259" s="1">
        <v>0.47586548573810827</v>
      </c>
      <c r="U259" s="2">
        <v>3.8</v>
      </c>
      <c r="V259" s="2">
        <v>2.9300000000000006</v>
      </c>
      <c r="W259" s="2">
        <v>2.8400000000000003</v>
      </c>
      <c r="X259" s="1">
        <v>7.0000000000000007E-2</v>
      </c>
      <c r="Y259" s="1">
        <v>7.0000000000000007E-2</v>
      </c>
      <c r="Z259" s="1">
        <v>7.0000000000000007E-2</v>
      </c>
      <c r="AA259" s="2">
        <v>23.9</v>
      </c>
      <c r="AB259" s="2">
        <v>13.7</v>
      </c>
      <c r="AC259" s="2">
        <v>44.4</v>
      </c>
      <c r="AD259" s="2">
        <v>34</v>
      </c>
      <c r="AE259" s="4" t="s">
        <v>868</v>
      </c>
      <c r="AF259" s="4">
        <v>1.19</v>
      </c>
      <c r="AH259" s="21" t="s">
        <v>923</v>
      </c>
      <c r="AI259" s="21" t="s">
        <v>924</v>
      </c>
      <c r="AJ259" s="22" t="s">
        <v>955</v>
      </c>
      <c r="AK259" s="24" t="s">
        <v>1058</v>
      </c>
      <c r="AL259" s="20" t="s">
        <v>1098</v>
      </c>
    </row>
    <row r="260" spans="1:38" x14ac:dyDescent="0.25">
      <c r="A260" s="14" t="s">
        <v>663</v>
      </c>
      <c r="B260" s="14" t="s">
        <v>664</v>
      </c>
      <c r="C260" s="14" t="s">
        <v>665</v>
      </c>
      <c r="D260" t="s">
        <v>1572</v>
      </c>
      <c r="E260" t="s">
        <v>1591</v>
      </c>
      <c r="F260" s="1">
        <v>1.1100000000000001</v>
      </c>
      <c r="G260" s="1">
        <v>1</v>
      </c>
      <c r="H260" s="1">
        <v>1.07</v>
      </c>
      <c r="I260" s="1">
        <v>0.75</v>
      </c>
      <c r="J260" s="1">
        <v>0.82</v>
      </c>
      <c r="K260" s="1">
        <v>0.68</v>
      </c>
      <c r="L260" s="1">
        <v>0.14000000000000001</v>
      </c>
      <c r="M260" s="1">
        <v>0.14000000000000001</v>
      </c>
      <c r="N260" s="1">
        <v>0.16</v>
      </c>
      <c r="O260" s="1">
        <v>1.0550000000000002</v>
      </c>
      <c r="P260" s="1">
        <v>0.91</v>
      </c>
      <c r="Q260" s="1">
        <v>0.75</v>
      </c>
      <c r="R260" s="1">
        <v>0.43402484578183459</v>
      </c>
      <c r="S260" s="1">
        <v>0.71322557115285656</v>
      </c>
      <c r="T260" s="1">
        <v>0.55885069450680958</v>
      </c>
      <c r="U260" s="2">
        <v>3.6</v>
      </c>
      <c r="V260" s="2">
        <v>3.4</v>
      </c>
      <c r="W260" s="2">
        <v>2.9</v>
      </c>
      <c r="X260" s="1">
        <v>7.0000000000000007E-2</v>
      </c>
      <c r="Y260" s="1">
        <v>7.0000000000000007E-2</v>
      </c>
      <c r="Z260" s="1">
        <v>0.08</v>
      </c>
      <c r="AA260" s="2">
        <v>30.6</v>
      </c>
      <c r="AB260" s="2">
        <v>18.399999999999999</v>
      </c>
      <c r="AC260" s="2">
        <v>110</v>
      </c>
      <c r="AD260" s="2" t="s">
        <v>40</v>
      </c>
      <c r="AE260" s="4" t="s">
        <v>868</v>
      </c>
      <c r="AF260" s="4">
        <v>1.19</v>
      </c>
      <c r="AH260" s="21" t="s">
        <v>923</v>
      </c>
      <c r="AI260" s="21" t="s">
        <v>924</v>
      </c>
      <c r="AJ260" s="22" t="s">
        <v>955</v>
      </c>
      <c r="AK260" s="23" t="s">
        <v>40</v>
      </c>
      <c r="AL260" s="20" t="s">
        <v>1098</v>
      </c>
    </row>
    <row r="261" spans="1:38" x14ac:dyDescent="0.25">
      <c r="A261" s="14" t="s">
        <v>666</v>
      </c>
      <c r="B261" s="14" t="s">
        <v>63</v>
      </c>
      <c r="C261" s="14" t="s">
        <v>667</v>
      </c>
      <c r="D261" t="s">
        <v>1572</v>
      </c>
      <c r="E261" t="s">
        <v>1591</v>
      </c>
      <c r="F261" s="1">
        <v>1.36</v>
      </c>
      <c r="G261" s="1">
        <v>1.28</v>
      </c>
      <c r="H261" s="1">
        <v>1.36</v>
      </c>
      <c r="I261" s="1">
        <v>0.9</v>
      </c>
      <c r="J261" s="1">
        <v>1.29</v>
      </c>
      <c r="K261" s="1">
        <v>0.96</v>
      </c>
      <c r="L261" s="1">
        <v>0.26</v>
      </c>
      <c r="M261" s="1">
        <v>0.24</v>
      </c>
      <c r="N261" s="1">
        <v>0.27</v>
      </c>
      <c r="O261" s="1">
        <v>1.32</v>
      </c>
      <c r="P261" s="1">
        <v>1.1300000000000001</v>
      </c>
      <c r="Q261" s="1">
        <v>1.125</v>
      </c>
      <c r="R261" s="1">
        <v>0.33791544979635457</v>
      </c>
      <c r="S261" s="1">
        <v>0.74971159391358144</v>
      </c>
      <c r="T261" s="1">
        <v>0.6679724007602359</v>
      </c>
      <c r="U261" s="2">
        <v>5.6</v>
      </c>
      <c r="V261" s="2">
        <v>5.3</v>
      </c>
      <c r="W261" s="2">
        <v>4.7</v>
      </c>
      <c r="X261" s="1">
        <v>0.13</v>
      </c>
      <c r="Y261" s="1">
        <v>0.12</v>
      </c>
      <c r="Z261" s="1">
        <v>0.13500000000000001</v>
      </c>
      <c r="AA261" s="2">
        <v>30.4</v>
      </c>
      <c r="AB261" s="2">
        <v>18.899999999999999</v>
      </c>
      <c r="AC261" s="2">
        <v>57</v>
      </c>
      <c r="AD261" s="2">
        <v>37.26</v>
      </c>
      <c r="AE261" s="4" t="s">
        <v>868</v>
      </c>
      <c r="AF261" s="4">
        <v>1.19</v>
      </c>
      <c r="AH261" s="21" t="s">
        <v>923</v>
      </c>
      <c r="AI261" s="21" t="s">
        <v>924</v>
      </c>
      <c r="AJ261" s="22" t="s">
        <v>950</v>
      </c>
      <c r="AK261" s="24" t="s">
        <v>1059</v>
      </c>
      <c r="AL261" s="20" t="s">
        <v>1098</v>
      </c>
    </row>
    <row r="262" spans="1:38" x14ac:dyDescent="0.25">
      <c r="A262" s="14" t="s">
        <v>668</v>
      </c>
      <c r="B262" s="14" t="s">
        <v>669</v>
      </c>
      <c r="C262" s="14" t="s">
        <v>665</v>
      </c>
      <c r="D262" t="s">
        <v>1572</v>
      </c>
      <c r="E262" t="s">
        <v>1591</v>
      </c>
      <c r="F262" s="1">
        <v>1.42</v>
      </c>
      <c r="G262" s="1">
        <v>1.32</v>
      </c>
      <c r="H262" s="1">
        <v>1.29</v>
      </c>
      <c r="I262" s="1">
        <v>0.94</v>
      </c>
      <c r="J262" s="1">
        <v>1.39</v>
      </c>
      <c r="K262" s="1">
        <v>0.95</v>
      </c>
      <c r="L262" s="1">
        <v>0.16</v>
      </c>
      <c r="M262" s="1">
        <v>0.18</v>
      </c>
      <c r="N262" s="1">
        <v>0.18</v>
      </c>
      <c r="O262" s="1">
        <v>1.37</v>
      </c>
      <c r="P262" s="1">
        <v>1.115</v>
      </c>
      <c r="Q262" s="1">
        <v>1.17</v>
      </c>
      <c r="R262" s="1">
        <v>0.36862682614936321</v>
      </c>
      <c r="S262" s="1">
        <v>0.68485202367611742</v>
      </c>
      <c r="T262" s="1">
        <v>0.72999429605558686</v>
      </c>
      <c r="U262" s="2">
        <v>4.5</v>
      </c>
      <c r="V262" s="2">
        <v>4.3</v>
      </c>
      <c r="W262" s="2">
        <v>4.5999999999999996</v>
      </c>
      <c r="X262" s="1">
        <v>0.08</v>
      </c>
      <c r="Y262" s="1">
        <v>0.09</v>
      </c>
      <c r="Z262" s="1">
        <v>0.09</v>
      </c>
      <c r="AA262" s="2">
        <v>32.299999999999997</v>
      </c>
      <c r="AB262" s="2">
        <v>20.8</v>
      </c>
      <c r="AC262" s="2">
        <v>38.4</v>
      </c>
      <c r="AD262" s="2">
        <v>36.200000000000003</v>
      </c>
      <c r="AE262" s="4" t="s">
        <v>868</v>
      </c>
      <c r="AF262" s="4">
        <v>1.19</v>
      </c>
      <c r="AH262" s="21" t="s">
        <v>923</v>
      </c>
      <c r="AI262" s="21" t="s">
        <v>924</v>
      </c>
      <c r="AJ262" s="22" t="s">
        <v>955</v>
      </c>
      <c r="AK262" s="24" t="s">
        <v>1058</v>
      </c>
      <c r="AL262" s="20" t="s">
        <v>1098</v>
      </c>
    </row>
    <row r="263" spans="1:38" x14ac:dyDescent="0.25">
      <c r="A263" s="14" t="s">
        <v>670</v>
      </c>
      <c r="B263" s="14" t="s">
        <v>671</v>
      </c>
      <c r="C263" s="14" t="s">
        <v>672</v>
      </c>
      <c r="D263" t="s">
        <v>1572</v>
      </c>
      <c r="E263" t="s">
        <v>1592</v>
      </c>
      <c r="F263" s="1">
        <v>2.3279999999999998</v>
      </c>
      <c r="G263" s="1">
        <v>1.7789999999999999</v>
      </c>
      <c r="H263" s="1">
        <v>1.86</v>
      </c>
      <c r="I263" s="1">
        <v>1.599</v>
      </c>
      <c r="J263" s="1">
        <v>2.17</v>
      </c>
      <c r="K263" s="1">
        <v>1.5469999999999999</v>
      </c>
      <c r="L263" s="1">
        <v>0.18099999999999999</v>
      </c>
      <c r="M263" s="1">
        <v>0.24099999999999999</v>
      </c>
      <c r="N263" s="1">
        <v>0.24099999999999999</v>
      </c>
      <c r="O263" s="1">
        <v>2.0534999999999997</v>
      </c>
      <c r="P263" s="1">
        <v>1.7295</v>
      </c>
      <c r="Q263" s="1">
        <v>1.8584999999999998</v>
      </c>
      <c r="R263" s="1">
        <v>0.64500866309708915</v>
      </c>
      <c r="S263" s="1">
        <v>0.51083728784359983</v>
      </c>
      <c r="T263" s="1">
        <v>0.7012624263674444</v>
      </c>
      <c r="U263" s="2">
        <v>7.274</v>
      </c>
      <c r="V263" s="2">
        <v>6.6550000000000002</v>
      </c>
      <c r="W263" s="2">
        <v>8.0839999999999996</v>
      </c>
      <c r="X263" s="1">
        <v>9.0499999999999997E-2</v>
      </c>
      <c r="Y263" s="1">
        <v>0.1205</v>
      </c>
      <c r="Z263" s="1">
        <v>0.1205</v>
      </c>
      <c r="AA263" s="2">
        <v>67.8</v>
      </c>
      <c r="AB263" s="2">
        <v>41.1</v>
      </c>
      <c r="AC263" s="2">
        <v>728</v>
      </c>
      <c r="AD263" s="2">
        <v>39</v>
      </c>
      <c r="AE263" s="4" t="s">
        <v>868</v>
      </c>
      <c r="AF263" s="4">
        <v>1.19</v>
      </c>
      <c r="AH263" s="21" t="s">
        <v>923</v>
      </c>
      <c r="AI263" s="21" t="s">
        <v>924</v>
      </c>
      <c r="AJ263" s="22" t="s">
        <v>955</v>
      </c>
      <c r="AK263" s="24" t="s">
        <v>1058</v>
      </c>
      <c r="AL263" s="20" t="s">
        <v>1098</v>
      </c>
    </row>
    <row r="264" spans="1:38" x14ac:dyDescent="0.25">
      <c r="A264" s="14" t="s">
        <v>673</v>
      </c>
      <c r="B264" s="14" t="s">
        <v>32</v>
      </c>
      <c r="C264" s="14" t="s">
        <v>1205</v>
      </c>
      <c r="D264" t="s">
        <v>1572</v>
      </c>
      <c r="E264" t="s">
        <v>1592</v>
      </c>
      <c r="F264" s="1">
        <v>2.4700000000000002</v>
      </c>
      <c r="G264" s="1">
        <v>2.17</v>
      </c>
      <c r="H264" s="1">
        <v>2.0499999999999998</v>
      </c>
      <c r="I264" s="1">
        <v>1.71</v>
      </c>
      <c r="J264" s="1">
        <v>1.84</v>
      </c>
      <c r="K264" s="1">
        <v>1.82</v>
      </c>
      <c r="L264" s="1">
        <v>0.22</v>
      </c>
      <c r="M264" s="1">
        <v>0.23</v>
      </c>
      <c r="N264" s="1">
        <v>0.27</v>
      </c>
      <c r="O264" s="1">
        <v>2.3200000000000003</v>
      </c>
      <c r="P264" s="1">
        <v>1.88</v>
      </c>
      <c r="Q264" s="1">
        <v>1.83</v>
      </c>
      <c r="R264" s="1">
        <v>0.47766416854259541</v>
      </c>
      <c r="S264" s="1">
        <v>0.55154318146741732</v>
      </c>
      <c r="T264" s="1">
        <v>0.14704075280944268</v>
      </c>
      <c r="U264" s="2">
        <v>9.5</v>
      </c>
      <c r="V264" s="2">
        <v>7.7</v>
      </c>
      <c r="W264" s="2">
        <v>8.5</v>
      </c>
      <c r="X264" s="1">
        <v>0.11</v>
      </c>
      <c r="Y264" s="1">
        <v>0.115</v>
      </c>
      <c r="Z264" s="1">
        <v>0.13500000000000001</v>
      </c>
      <c r="AA264" s="2">
        <v>53</v>
      </c>
      <c r="AB264" s="2">
        <v>35.4</v>
      </c>
      <c r="AC264" s="2">
        <v>322</v>
      </c>
      <c r="AD264" s="2">
        <v>39</v>
      </c>
      <c r="AE264" s="4" t="s">
        <v>868</v>
      </c>
      <c r="AF264" s="4">
        <v>1.19</v>
      </c>
      <c r="AH264" s="21" t="s">
        <v>931</v>
      </c>
      <c r="AI264" s="21" t="s">
        <v>924</v>
      </c>
      <c r="AJ264" s="24" t="s">
        <v>946</v>
      </c>
      <c r="AK264" s="24" t="s">
        <v>1060</v>
      </c>
      <c r="AL264" s="20" t="s">
        <v>1098</v>
      </c>
    </row>
    <row r="265" spans="1:38" x14ac:dyDescent="0.25">
      <c r="A265" s="14" t="s">
        <v>674</v>
      </c>
      <c r="B265" s="14" t="s">
        <v>675</v>
      </c>
      <c r="C265" s="14" t="s">
        <v>676</v>
      </c>
      <c r="D265" t="s">
        <v>1572</v>
      </c>
      <c r="E265" t="s">
        <v>1592</v>
      </c>
      <c r="F265" s="1">
        <v>0.97</v>
      </c>
      <c r="G265" s="1">
        <v>0.74</v>
      </c>
      <c r="H265" s="1">
        <v>0.81</v>
      </c>
      <c r="I265" s="1">
        <v>0.59</v>
      </c>
      <c r="J265" s="1">
        <v>0.68</v>
      </c>
      <c r="K265" s="1">
        <v>0.59</v>
      </c>
      <c r="L265" s="1">
        <v>0.1</v>
      </c>
      <c r="M265" s="1">
        <v>0.08</v>
      </c>
      <c r="N265" s="1">
        <v>0.11</v>
      </c>
      <c r="O265" s="1">
        <v>0.85499999999999998</v>
      </c>
      <c r="P265" s="1">
        <v>0.7</v>
      </c>
      <c r="Q265" s="1">
        <v>0.63500000000000001</v>
      </c>
      <c r="R265" s="1">
        <v>0.64653231836186198</v>
      </c>
      <c r="S265" s="1">
        <v>0.68515737903761043</v>
      </c>
      <c r="T265" s="1">
        <v>0.49718063248167571</v>
      </c>
      <c r="U265" s="2">
        <v>3.2</v>
      </c>
      <c r="V265" s="2">
        <v>2.7</v>
      </c>
      <c r="W265" s="2">
        <v>2.7</v>
      </c>
      <c r="X265" s="1">
        <v>0.05</v>
      </c>
      <c r="Y265" s="1">
        <v>0.04</v>
      </c>
      <c r="Z265" s="1">
        <v>5.5E-2</v>
      </c>
      <c r="AA265" s="2">
        <v>20.8</v>
      </c>
      <c r="AB265" s="2">
        <v>14.1</v>
      </c>
      <c r="AC265" s="2">
        <v>15.5</v>
      </c>
      <c r="AD265" s="2">
        <v>36.700000000000003</v>
      </c>
      <c r="AE265" s="4" t="s">
        <v>868</v>
      </c>
      <c r="AF265" s="4">
        <v>1.19</v>
      </c>
      <c r="AH265" s="21" t="s">
        <v>925</v>
      </c>
      <c r="AI265" s="21" t="s">
        <v>924</v>
      </c>
      <c r="AJ265" s="22" t="s">
        <v>955</v>
      </c>
      <c r="AK265" s="24" t="s">
        <v>1058</v>
      </c>
      <c r="AL265" s="20" t="s">
        <v>1098</v>
      </c>
    </row>
    <row r="266" spans="1:38" x14ac:dyDescent="0.25">
      <c r="A266" s="14" t="s">
        <v>677</v>
      </c>
      <c r="B266" s="14" t="s">
        <v>678</v>
      </c>
      <c r="C266" s="14" t="s">
        <v>679</v>
      </c>
      <c r="D266" t="s">
        <v>1572</v>
      </c>
      <c r="E266" t="s">
        <v>1592</v>
      </c>
      <c r="F266" s="1">
        <v>2.44</v>
      </c>
      <c r="G266" s="1">
        <v>2.41</v>
      </c>
      <c r="H266" s="1">
        <v>1.82</v>
      </c>
      <c r="I266" s="1">
        <v>1.59</v>
      </c>
      <c r="J266" s="1">
        <v>1.84</v>
      </c>
      <c r="K266" s="1">
        <v>1.72</v>
      </c>
      <c r="L266" s="1">
        <v>0.21</v>
      </c>
      <c r="M266" s="1">
        <v>0.22</v>
      </c>
      <c r="N266" s="1">
        <v>0.25</v>
      </c>
      <c r="O266" s="1">
        <v>2.4249999999999998</v>
      </c>
      <c r="P266" s="1">
        <v>1.7050000000000001</v>
      </c>
      <c r="Q266" s="1">
        <v>1.78</v>
      </c>
      <c r="R266" s="1">
        <v>0.1563297633013167</v>
      </c>
      <c r="S266" s="1">
        <v>0.4865973276790902</v>
      </c>
      <c r="T266" s="1">
        <v>0.35522031822539568</v>
      </c>
      <c r="U266" s="2">
        <v>9.6</v>
      </c>
      <c r="V266" s="2">
        <v>6.7</v>
      </c>
      <c r="W266" s="2">
        <v>7.1</v>
      </c>
      <c r="X266" s="1">
        <v>0.105</v>
      </c>
      <c r="Y266" s="1">
        <v>0.11</v>
      </c>
      <c r="Z266" s="1">
        <v>0.125</v>
      </c>
      <c r="AA266" s="2">
        <v>94.4</v>
      </c>
      <c r="AB266" s="2">
        <v>56</v>
      </c>
      <c r="AC266" s="2">
        <v>2350</v>
      </c>
      <c r="AD266" s="2">
        <v>39.200000000000003</v>
      </c>
      <c r="AE266" s="4" t="s">
        <v>868</v>
      </c>
      <c r="AF266" s="4">
        <v>1.19</v>
      </c>
      <c r="AH266" s="21" t="s">
        <v>923</v>
      </c>
      <c r="AI266" s="21" t="s">
        <v>924</v>
      </c>
      <c r="AJ266" s="22" t="s">
        <v>955</v>
      </c>
      <c r="AK266" s="24" t="s">
        <v>1054</v>
      </c>
      <c r="AL266" s="20" t="s">
        <v>1098</v>
      </c>
    </row>
    <row r="267" spans="1:38" x14ac:dyDescent="0.25">
      <c r="A267" s="14" t="s">
        <v>680</v>
      </c>
      <c r="B267" s="14" t="s">
        <v>681</v>
      </c>
      <c r="C267" s="14" t="s">
        <v>682</v>
      </c>
      <c r="D267" t="s">
        <v>1572</v>
      </c>
      <c r="E267" t="s">
        <v>1592</v>
      </c>
      <c r="F267" s="1">
        <v>1.9850000000000001</v>
      </c>
      <c r="G267" s="1">
        <v>1.94</v>
      </c>
      <c r="H267" s="1">
        <v>1.5449999999999999</v>
      </c>
      <c r="I267" s="1">
        <v>1.4550000000000001</v>
      </c>
      <c r="J267" s="1">
        <v>1.52</v>
      </c>
      <c r="K267" s="1">
        <v>1.35</v>
      </c>
      <c r="L267" s="1">
        <v>0.19</v>
      </c>
      <c r="M267" s="1">
        <v>0.19</v>
      </c>
      <c r="N267" s="1">
        <v>0.18</v>
      </c>
      <c r="O267" s="1">
        <v>1.9624999999999999</v>
      </c>
      <c r="P267" s="1">
        <v>1.5</v>
      </c>
      <c r="Q267" s="1">
        <v>1.4350000000000001</v>
      </c>
      <c r="R267" s="1">
        <v>0.21172179938723296</v>
      </c>
      <c r="S267" s="1">
        <v>0.33632054515900495</v>
      </c>
      <c r="T267" s="1">
        <v>0.45953841408158741</v>
      </c>
      <c r="U267" s="2">
        <v>7.839999999999999</v>
      </c>
      <c r="V267" s="2">
        <v>6.71</v>
      </c>
      <c r="W267" s="2">
        <v>6.43</v>
      </c>
      <c r="X267" s="1">
        <v>9.5000000000000001E-2</v>
      </c>
      <c r="Y267" s="1">
        <v>9.5000000000000001E-2</v>
      </c>
      <c r="Z267" s="1">
        <v>0.09</v>
      </c>
      <c r="AA267" s="2">
        <v>68.7</v>
      </c>
      <c r="AB267" s="2">
        <v>42</v>
      </c>
      <c r="AC267" s="2">
        <v>1160</v>
      </c>
      <c r="AD267" s="2">
        <v>38.299999999999997</v>
      </c>
      <c r="AE267" s="4" t="s">
        <v>868</v>
      </c>
      <c r="AF267" s="4">
        <v>1.19</v>
      </c>
      <c r="AH267" s="21" t="s">
        <v>923</v>
      </c>
      <c r="AI267" s="21" t="s">
        <v>924</v>
      </c>
      <c r="AJ267" s="22" t="s">
        <v>955</v>
      </c>
      <c r="AK267" s="24" t="s">
        <v>1062</v>
      </c>
      <c r="AL267" s="20" t="s">
        <v>1098</v>
      </c>
    </row>
    <row r="268" spans="1:38" x14ac:dyDescent="0.25">
      <c r="A268" s="14" t="s">
        <v>683</v>
      </c>
      <c r="B268" s="14" t="s">
        <v>684</v>
      </c>
      <c r="C268" s="14" t="s">
        <v>1206</v>
      </c>
      <c r="D268" t="s">
        <v>1572</v>
      </c>
      <c r="E268" t="s">
        <v>1592</v>
      </c>
      <c r="F268" s="1">
        <v>2.5924999999999998</v>
      </c>
      <c r="G268" s="1">
        <v>2.2404999999999999</v>
      </c>
      <c r="H268" s="1">
        <v>2.0009999999999999</v>
      </c>
      <c r="I268" s="1">
        <v>1.6619999999999999</v>
      </c>
      <c r="J268" s="1">
        <v>2.0190000000000001</v>
      </c>
      <c r="K268" s="1">
        <v>1.8095000000000001</v>
      </c>
      <c r="L268" s="1">
        <v>0.28999999999999998</v>
      </c>
      <c r="M268" s="1">
        <v>0.3</v>
      </c>
      <c r="N268" s="1">
        <v>0.31</v>
      </c>
      <c r="O268" s="1">
        <v>2.4165000000000001</v>
      </c>
      <c r="P268" s="1">
        <v>1.8314999999999999</v>
      </c>
      <c r="Q268" s="1">
        <v>1.91425</v>
      </c>
      <c r="R268" s="1">
        <v>0.50310770005612959</v>
      </c>
      <c r="S268" s="1">
        <v>0.55689230864172912</v>
      </c>
      <c r="T268" s="1">
        <v>0.44357802244932448</v>
      </c>
      <c r="U268" s="2">
        <v>9.8000000000000007</v>
      </c>
      <c r="V268" s="2">
        <v>8.5</v>
      </c>
      <c r="W268" s="2">
        <v>9.4</v>
      </c>
      <c r="X268" s="1">
        <v>0.14499999999999999</v>
      </c>
      <c r="Y268" s="1">
        <v>0.15</v>
      </c>
      <c r="Z268" s="1">
        <v>0.155</v>
      </c>
      <c r="AA268" s="2">
        <v>69.8</v>
      </c>
      <c r="AB268" s="2">
        <v>44.2</v>
      </c>
      <c r="AC268" s="2">
        <v>1740</v>
      </c>
      <c r="AD268" s="2">
        <v>39</v>
      </c>
      <c r="AE268" s="4" t="s">
        <v>868</v>
      </c>
      <c r="AF268" s="4">
        <v>1.19</v>
      </c>
      <c r="AH268" s="21" t="s">
        <v>925</v>
      </c>
      <c r="AI268" s="21" t="s">
        <v>924</v>
      </c>
      <c r="AJ268" s="24" t="s">
        <v>946</v>
      </c>
      <c r="AK268" s="24" t="s">
        <v>1061</v>
      </c>
      <c r="AL268" s="20" t="s">
        <v>1098</v>
      </c>
    </row>
    <row r="269" spans="1:38" x14ac:dyDescent="0.25">
      <c r="A269" s="14" t="s">
        <v>685</v>
      </c>
      <c r="B269" s="14" t="s">
        <v>686</v>
      </c>
      <c r="C269" s="14" t="s">
        <v>1207</v>
      </c>
      <c r="D269" t="s">
        <v>1572</v>
      </c>
      <c r="E269" t="s">
        <v>1592</v>
      </c>
      <c r="F269" s="1">
        <v>1.58</v>
      </c>
      <c r="G269" s="1">
        <v>1.43</v>
      </c>
      <c r="H269" s="1">
        <v>1.6</v>
      </c>
      <c r="I269" s="1">
        <v>0.99</v>
      </c>
      <c r="J269" s="1">
        <v>1.44</v>
      </c>
      <c r="K269" s="1">
        <v>1.1299999999999999</v>
      </c>
      <c r="L269" s="1">
        <v>0.23</v>
      </c>
      <c r="M269" s="1">
        <v>0.23</v>
      </c>
      <c r="N269" s="1">
        <v>0.26</v>
      </c>
      <c r="O269" s="1">
        <v>1.5049999999999999</v>
      </c>
      <c r="P269" s="1">
        <v>1.2949999999999999</v>
      </c>
      <c r="Q269" s="1">
        <v>1.2849999999999999</v>
      </c>
      <c r="R269" s="1">
        <v>0.42527689689448978</v>
      </c>
      <c r="S269" s="1">
        <v>0.78558795656501768</v>
      </c>
      <c r="T269" s="1">
        <v>0.61984758929160744</v>
      </c>
      <c r="U269" s="2">
        <v>6.6</v>
      </c>
      <c r="V269" s="2">
        <v>5.9</v>
      </c>
      <c r="W269" s="2">
        <v>6.0670000000000011</v>
      </c>
      <c r="X269" s="1">
        <v>0.115</v>
      </c>
      <c r="Y269" s="1">
        <v>0.115</v>
      </c>
      <c r="Z269" s="1">
        <v>0.13</v>
      </c>
      <c r="AA269" s="2">
        <v>43</v>
      </c>
      <c r="AB269" s="2">
        <v>27.6</v>
      </c>
      <c r="AC269" s="2">
        <v>120</v>
      </c>
      <c r="AD269" s="2">
        <v>36.4</v>
      </c>
      <c r="AE269" s="4" t="s">
        <v>868</v>
      </c>
      <c r="AF269" s="4">
        <v>1.19</v>
      </c>
      <c r="AH269" s="21" t="s">
        <v>925</v>
      </c>
      <c r="AI269" s="21" t="s">
        <v>924</v>
      </c>
      <c r="AJ269" s="22" t="s">
        <v>1123</v>
      </c>
      <c r="AK269" s="24" t="s">
        <v>1120</v>
      </c>
      <c r="AL269" s="20" t="s">
        <v>1098</v>
      </c>
    </row>
    <row r="270" spans="1:38" x14ac:dyDescent="0.25">
      <c r="A270" s="14" t="s">
        <v>685</v>
      </c>
      <c r="B270" s="14" t="s">
        <v>687</v>
      </c>
      <c r="C270" s="14" t="s">
        <v>688</v>
      </c>
      <c r="D270" t="s">
        <v>1572</v>
      </c>
      <c r="E270" t="s">
        <v>1592</v>
      </c>
      <c r="F270" s="1">
        <v>1.9675</v>
      </c>
      <c r="G270" s="1">
        <v>1.7495000000000001</v>
      </c>
      <c r="H270" s="1">
        <v>2.0185</v>
      </c>
      <c r="I270" s="1">
        <v>1.4510000000000001</v>
      </c>
      <c r="J270" s="1">
        <v>1.9804999999999999</v>
      </c>
      <c r="K270" s="1">
        <v>1.4664999999999999</v>
      </c>
      <c r="L270" s="1">
        <v>0.17699999999999999</v>
      </c>
      <c r="M270" s="1">
        <v>0.17299999999999999</v>
      </c>
      <c r="N270" s="1">
        <v>0.17100000000000001</v>
      </c>
      <c r="O270" s="1">
        <v>1.8585</v>
      </c>
      <c r="P270" s="1">
        <v>1.73475</v>
      </c>
      <c r="Q270" s="1">
        <v>1.7235</v>
      </c>
      <c r="R270" s="1">
        <v>0.45751968688562961</v>
      </c>
      <c r="S270" s="1">
        <v>0.69516456279508809</v>
      </c>
      <c r="T270" s="1">
        <v>0.67208987753125604</v>
      </c>
      <c r="U270" s="2">
        <v>7.6219999999999999</v>
      </c>
      <c r="V270" s="2">
        <v>7.077</v>
      </c>
      <c r="W270" s="2">
        <v>8.8059999999999992</v>
      </c>
      <c r="X270" s="1">
        <v>8.8499999999999995E-2</v>
      </c>
      <c r="Y270" s="1">
        <v>8.6499999999999994E-2</v>
      </c>
      <c r="Z270" s="1">
        <v>8.5500000000000007E-2</v>
      </c>
      <c r="AA270" s="2">
        <v>49.6</v>
      </c>
      <c r="AB270" s="2">
        <v>28.7</v>
      </c>
      <c r="AC270" s="2">
        <v>131</v>
      </c>
      <c r="AD270" s="2">
        <v>36.4</v>
      </c>
      <c r="AE270" s="4" t="s">
        <v>868</v>
      </c>
      <c r="AF270" s="4">
        <v>1.19</v>
      </c>
      <c r="AH270" s="21" t="s">
        <v>923</v>
      </c>
      <c r="AI270" s="21" t="s">
        <v>924</v>
      </c>
      <c r="AJ270" s="22" t="s">
        <v>955</v>
      </c>
      <c r="AK270" s="24" t="s">
        <v>1121</v>
      </c>
      <c r="AL270" s="20" t="s">
        <v>1098</v>
      </c>
    </row>
    <row r="271" spans="1:38" x14ac:dyDescent="0.25">
      <c r="A271" s="14" t="s">
        <v>689</v>
      </c>
      <c r="B271" s="14" t="s">
        <v>690</v>
      </c>
      <c r="C271" s="14" t="s">
        <v>691</v>
      </c>
      <c r="D271" t="s">
        <v>1572</v>
      </c>
      <c r="E271" t="s">
        <v>1592</v>
      </c>
      <c r="F271" s="1">
        <v>2.2160000000000002</v>
      </c>
      <c r="G271" s="1">
        <v>2.101</v>
      </c>
      <c r="H271" s="1">
        <v>1.865</v>
      </c>
      <c r="I271" s="1">
        <v>1.7949999999999999</v>
      </c>
      <c r="J271" s="1">
        <v>1.8440000000000001</v>
      </c>
      <c r="K271" s="1">
        <v>1.6379999999999999</v>
      </c>
      <c r="L271" s="1">
        <v>0.27700000000000002</v>
      </c>
      <c r="M271" s="1">
        <v>0.32900000000000001</v>
      </c>
      <c r="N271" s="1">
        <v>0.26200000000000001</v>
      </c>
      <c r="O271" s="1">
        <v>2.1585000000000001</v>
      </c>
      <c r="P271" s="1">
        <v>1.83</v>
      </c>
      <c r="Q271" s="1">
        <v>1.7410000000000001</v>
      </c>
      <c r="R271" s="1">
        <v>0.31795831620575765</v>
      </c>
      <c r="S271" s="1">
        <v>0.27140055195375373</v>
      </c>
      <c r="T271" s="1">
        <v>0.45929009212984717</v>
      </c>
      <c r="U271" s="2">
        <v>9.5109999999999992</v>
      </c>
      <c r="V271" s="2">
        <v>8.2840000000000007</v>
      </c>
      <c r="W271" s="2">
        <v>8.4689999999999994</v>
      </c>
      <c r="X271" s="1">
        <v>0.13850000000000001</v>
      </c>
      <c r="Y271" s="1">
        <v>0.16450000000000001</v>
      </c>
      <c r="Z271" s="1">
        <v>0.13100000000000001</v>
      </c>
      <c r="AA271" s="2">
        <v>66</v>
      </c>
      <c r="AB271" s="2">
        <v>40.1</v>
      </c>
      <c r="AC271" s="2">
        <v>1000</v>
      </c>
      <c r="AD271" s="2" t="s">
        <v>40</v>
      </c>
      <c r="AE271" s="4" t="s">
        <v>868</v>
      </c>
      <c r="AF271" s="4">
        <v>1.19</v>
      </c>
      <c r="AH271" s="22" t="s">
        <v>873</v>
      </c>
      <c r="AI271" s="21" t="s">
        <v>924</v>
      </c>
      <c r="AJ271" s="22" t="s">
        <v>955</v>
      </c>
      <c r="AK271" s="23" t="s">
        <v>40</v>
      </c>
      <c r="AL271" s="20" t="s">
        <v>1098</v>
      </c>
    </row>
    <row r="272" spans="1:38" x14ac:dyDescent="0.25">
      <c r="A272" s="14" t="s">
        <v>692</v>
      </c>
      <c r="B272" s="14" t="s">
        <v>693</v>
      </c>
      <c r="C272" s="14" t="s">
        <v>1208</v>
      </c>
      <c r="D272" t="s">
        <v>1572</v>
      </c>
      <c r="E272" t="s">
        <v>1592</v>
      </c>
      <c r="F272" s="1">
        <v>1.97</v>
      </c>
      <c r="G272" s="1">
        <v>1.96</v>
      </c>
      <c r="H272" s="1">
        <v>1.93</v>
      </c>
      <c r="I272" s="1">
        <v>1.55</v>
      </c>
      <c r="J272" s="1">
        <v>1.98</v>
      </c>
      <c r="K272" s="1">
        <v>1.36</v>
      </c>
      <c r="L272" s="1">
        <v>0.34</v>
      </c>
      <c r="M272" s="1">
        <v>0.33</v>
      </c>
      <c r="N272" s="1">
        <v>0.36</v>
      </c>
      <c r="O272" s="1">
        <v>1.9649999999999999</v>
      </c>
      <c r="P272" s="1">
        <v>1.74</v>
      </c>
      <c r="Q272" s="1">
        <v>1.67</v>
      </c>
      <c r="R272" s="1">
        <v>0.1006305969624315</v>
      </c>
      <c r="S272" s="1">
        <v>0.59583239425761858</v>
      </c>
      <c r="T272" s="1">
        <v>0.7267815400787816</v>
      </c>
      <c r="U272" s="2">
        <v>8</v>
      </c>
      <c r="V272" s="2">
        <v>7.2</v>
      </c>
      <c r="W272" s="2">
        <v>7.7</v>
      </c>
      <c r="X272" s="1">
        <v>0.17</v>
      </c>
      <c r="Y272" s="1">
        <v>0.16500000000000001</v>
      </c>
      <c r="Z272" s="1">
        <v>0.18</v>
      </c>
      <c r="AA272" s="2">
        <v>57.4</v>
      </c>
      <c r="AB272" s="2">
        <v>47.9</v>
      </c>
      <c r="AC272" s="2">
        <v>856</v>
      </c>
      <c r="AD272" s="2">
        <v>35.4</v>
      </c>
      <c r="AE272" s="4" t="s">
        <v>868</v>
      </c>
      <c r="AF272" s="4">
        <v>1.19</v>
      </c>
      <c r="AH272" s="21" t="s">
        <v>925</v>
      </c>
      <c r="AI272" s="21" t="s">
        <v>924</v>
      </c>
      <c r="AJ272" s="24" t="s">
        <v>946</v>
      </c>
      <c r="AK272" s="24" t="s">
        <v>1063</v>
      </c>
      <c r="AL272" s="20" t="s">
        <v>1098</v>
      </c>
    </row>
    <row r="273" spans="1:38" x14ac:dyDescent="0.25">
      <c r="A273" s="14" t="s">
        <v>694</v>
      </c>
      <c r="B273" s="14" t="s">
        <v>695</v>
      </c>
      <c r="C273" s="14" t="s">
        <v>1209</v>
      </c>
      <c r="D273" t="s">
        <v>1572</v>
      </c>
      <c r="E273" t="s">
        <v>1592</v>
      </c>
      <c r="F273" s="1">
        <v>1.95</v>
      </c>
      <c r="G273" s="1">
        <v>1.84</v>
      </c>
      <c r="H273" s="1">
        <v>2.04</v>
      </c>
      <c r="I273" s="1">
        <v>1.66</v>
      </c>
      <c r="J273" s="1">
        <v>2.2400000000000002</v>
      </c>
      <c r="K273" s="1">
        <v>1.5</v>
      </c>
      <c r="L273" s="1">
        <v>0.24</v>
      </c>
      <c r="M273" s="1">
        <v>0.24</v>
      </c>
      <c r="N273" s="1">
        <v>0.24</v>
      </c>
      <c r="O273" s="1">
        <v>1.895</v>
      </c>
      <c r="P273" s="1">
        <v>1.85</v>
      </c>
      <c r="Q273" s="1">
        <v>1.87</v>
      </c>
      <c r="R273" s="1">
        <v>0.3311168914329829</v>
      </c>
      <c r="S273" s="1">
        <v>0.58124936697182894</v>
      </c>
      <c r="T273" s="1">
        <v>0.74268327292160763</v>
      </c>
      <c r="U273" s="2">
        <v>8.1</v>
      </c>
      <c r="V273" s="2">
        <v>8.4</v>
      </c>
      <c r="W273" s="2">
        <v>9.1</v>
      </c>
      <c r="X273" s="1">
        <v>0.12</v>
      </c>
      <c r="Y273" s="1">
        <v>0.12</v>
      </c>
      <c r="Z273" s="1">
        <v>0.12</v>
      </c>
      <c r="AA273" s="2">
        <v>42.5</v>
      </c>
      <c r="AB273" s="2">
        <v>31.3</v>
      </c>
      <c r="AC273" s="2">
        <v>289</v>
      </c>
      <c r="AD273" s="2">
        <v>37.85</v>
      </c>
      <c r="AE273" s="4" t="s">
        <v>868</v>
      </c>
      <c r="AF273" s="4">
        <v>1.19</v>
      </c>
      <c r="AH273" s="21" t="s">
        <v>925</v>
      </c>
      <c r="AI273" s="21" t="s">
        <v>924</v>
      </c>
      <c r="AJ273" s="22" t="s">
        <v>1122</v>
      </c>
      <c r="AK273" s="24" t="s">
        <v>1064</v>
      </c>
      <c r="AL273" s="20" t="s">
        <v>1098</v>
      </c>
    </row>
    <row r="274" spans="1:38" x14ac:dyDescent="0.25">
      <c r="A274" s="14" t="s">
        <v>696</v>
      </c>
      <c r="B274" s="14" t="s">
        <v>63</v>
      </c>
      <c r="C274" s="14" t="s">
        <v>1210</v>
      </c>
      <c r="D274" t="s">
        <v>1572</v>
      </c>
      <c r="E274" t="s">
        <v>1592</v>
      </c>
      <c r="F274" s="1">
        <v>1.47</v>
      </c>
      <c r="G274" s="1">
        <v>1.1599999999999999</v>
      </c>
      <c r="H274" s="1">
        <v>1.3</v>
      </c>
      <c r="I274" s="1">
        <v>1.07</v>
      </c>
      <c r="J274" s="1">
        <v>1.35</v>
      </c>
      <c r="K274" s="1">
        <v>1.0900000000000001</v>
      </c>
      <c r="L274" s="1">
        <v>0.2</v>
      </c>
      <c r="M274" s="1">
        <v>0.23</v>
      </c>
      <c r="N274" s="1">
        <v>0.22</v>
      </c>
      <c r="O274" s="1">
        <v>1.3149999999999999</v>
      </c>
      <c r="P274" s="1">
        <v>1.1850000000000001</v>
      </c>
      <c r="Q274" s="1">
        <v>1.2200000000000002</v>
      </c>
      <c r="R274" s="1">
        <v>0.61424465551604479</v>
      </c>
      <c r="S274" s="1">
        <v>0.56792990650099129</v>
      </c>
      <c r="T274" s="1">
        <v>0.58999430375525563</v>
      </c>
      <c r="U274" s="2">
        <v>5.2</v>
      </c>
      <c r="V274" s="2">
        <v>5.4</v>
      </c>
      <c r="W274" s="2">
        <v>5.7</v>
      </c>
      <c r="X274" s="1">
        <v>0.1</v>
      </c>
      <c r="Y274" s="1">
        <v>0.115</v>
      </c>
      <c r="Z274" s="1">
        <v>0.11</v>
      </c>
      <c r="AA274" s="2">
        <v>31.9</v>
      </c>
      <c r="AB274" s="2">
        <v>25.8</v>
      </c>
      <c r="AC274" s="2">
        <v>43</v>
      </c>
      <c r="AD274" s="2">
        <v>35.9</v>
      </c>
      <c r="AE274" s="4" t="s">
        <v>868</v>
      </c>
      <c r="AF274" s="4">
        <v>1.19</v>
      </c>
      <c r="AH274" s="21" t="s">
        <v>925</v>
      </c>
      <c r="AI274" s="21" t="s">
        <v>924</v>
      </c>
      <c r="AJ274" s="24" t="s">
        <v>946</v>
      </c>
      <c r="AK274" s="24" t="s">
        <v>1065</v>
      </c>
      <c r="AL274" s="20" t="s">
        <v>1098</v>
      </c>
    </row>
    <row r="275" spans="1:38" x14ac:dyDescent="0.25">
      <c r="A275" s="14" t="s">
        <v>697</v>
      </c>
      <c r="B275" s="14" t="s">
        <v>698</v>
      </c>
      <c r="C275" s="14" t="s">
        <v>1211</v>
      </c>
      <c r="D275" t="s">
        <v>1572</v>
      </c>
      <c r="E275" t="s">
        <v>1592</v>
      </c>
      <c r="F275" s="1">
        <v>2.42</v>
      </c>
      <c r="G275" s="1">
        <v>2.2000000000000002</v>
      </c>
      <c r="H275" s="1">
        <v>2.4</v>
      </c>
      <c r="I275" s="1">
        <v>1.84</v>
      </c>
      <c r="J275" s="1">
        <v>2.0699999999999998</v>
      </c>
      <c r="K275" s="1">
        <v>1.89</v>
      </c>
      <c r="L275" s="1">
        <v>0.27</v>
      </c>
      <c r="M275" s="1">
        <v>0.3</v>
      </c>
      <c r="N275" s="1">
        <v>0.32</v>
      </c>
      <c r="O275" s="1">
        <v>2.31</v>
      </c>
      <c r="P275" s="1">
        <v>2.12</v>
      </c>
      <c r="Q275" s="1">
        <v>1.98</v>
      </c>
      <c r="R275" s="1">
        <v>0.41659779045053075</v>
      </c>
      <c r="S275" s="1">
        <v>0.64204534280860737</v>
      </c>
      <c r="T275" s="1">
        <v>0.40786223998464594</v>
      </c>
      <c r="U275" s="2">
        <v>9.1999999999999993</v>
      </c>
      <c r="V275" s="2">
        <v>8.8000000000000007</v>
      </c>
      <c r="W275" s="2">
        <v>9.3000000000000007</v>
      </c>
      <c r="X275" s="1">
        <v>0.13500000000000001</v>
      </c>
      <c r="Y275" s="1">
        <v>0.15</v>
      </c>
      <c r="Z275" s="1">
        <v>0.16</v>
      </c>
      <c r="AA275" s="2">
        <v>76.900000000000006</v>
      </c>
      <c r="AB275" s="2">
        <v>55.5</v>
      </c>
      <c r="AC275" s="2">
        <v>2210</v>
      </c>
      <c r="AD275" s="2">
        <v>38</v>
      </c>
      <c r="AE275" s="4" t="s">
        <v>868</v>
      </c>
      <c r="AF275" s="4">
        <v>1.19</v>
      </c>
      <c r="AH275" s="21" t="s">
        <v>925</v>
      </c>
      <c r="AI275" s="21" t="s">
        <v>924</v>
      </c>
      <c r="AJ275" s="24" t="s">
        <v>946</v>
      </c>
      <c r="AK275" s="24" t="s">
        <v>1066</v>
      </c>
      <c r="AL275" s="20" t="s">
        <v>1098</v>
      </c>
    </row>
    <row r="276" spans="1:38" x14ac:dyDescent="0.25">
      <c r="A276" s="14" t="s">
        <v>699</v>
      </c>
      <c r="B276" s="14" t="s">
        <v>700</v>
      </c>
      <c r="C276" s="14" t="s">
        <v>1212</v>
      </c>
      <c r="D276" t="s">
        <v>1572</v>
      </c>
      <c r="E276" t="s">
        <v>1592</v>
      </c>
      <c r="F276" s="1">
        <v>2.3809999999999998</v>
      </c>
      <c r="G276" s="1">
        <v>2.3359999999999999</v>
      </c>
      <c r="H276" s="1">
        <v>2.2509999999999999</v>
      </c>
      <c r="I276" s="1">
        <v>1.7135</v>
      </c>
      <c r="J276" s="1">
        <v>2.1444999999999999</v>
      </c>
      <c r="K276" s="1">
        <v>1.9755</v>
      </c>
      <c r="L276" s="1">
        <v>0.4</v>
      </c>
      <c r="M276" s="1">
        <v>0.4</v>
      </c>
      <c r="N276" s="1">
        <v>0.42799999999999999</v>
      </c>
      <c r="O276" s="1">
        <v>2.3584999999999998</v>
      </c>
      <c r="P276" s="1">
        <v>1.9822500000000001</v>
      </c>
      <c r="Q276" s="1">
        <v>2.06</v>
      </c>
      <c r="R276" s="1">
        <v>0.19349947881865456</v>
      </c>
      <c r="S276" s="1">
        <v>0.64849696870799789</v>
      </c>
      <c r="T276" s="1">
        <v>0.38910419205680713</v>
      </c>
      <c r="U276" s="2">
        <v>8.7089999999999996</v>
      </c>
      <c r="V276" s="2">
        <v>8.5039999999999996</v>
      </c>
      <c r="W276" s="2">
        <v>9.7740000000000009</v>
      </c>
      <c r="X276" s="1">
        <v>0.2</v>
      </c>
      <c r="Y276" s="1">
        <v>0.2</v>
      </c>
      <c r="Z276" s="1">
        <v>0.214</v>
      </c>
      <c r="AA276" s="2">
        <v>45</v>
      </c>
      <c r="AB276" s="2">
        <v>39.9</v>
      </c>
      <c r="AC276" s="2">
        <v>759</v>
      </c>
      <c r="AD276" s="2">
        <v>38.4</v>
      </c>
      <c r="AE276" s="4" t="s">
        <v>868</v>
      </c>
      <c r="AF276" s="4">
        <v>1.19</v>
      </c>
      <c r="AH276" s="21" t="s">
        <v>925</v>
      </c>
      <c r="AI276" s="21" t="s">
        <v>924</v>
      </c>
      <c r="AJ276" s="24" t="s">
        <v>946</v>
      </c>
      <c r="AK276" s="24" t="s">
        <v>1067</v>
      </c>
      <c r="AL276" s="20" t="s">
        <v>1098</v>
      </c>
    </row>
    <row r="277" spans="1:38" x14ac:dyDescent="0.25">
      <c r="A277" s="14" t="s">
        <v>701</v>
      </c>
      <c r="B277" s="14" t="s">
        <v>702</v>
      </c>
      <c r="C277" s="14" t="s">
        <v>1213</v>
      </c>
      <c r="D277" t="s">
        <v>1572</v>
      </c>
      <c r="E277" t="s">
        <v>1592</v>
      </c>
      <c r="F277" s="1">
        <v>1.9255</v>
      </c>
      <c r="G277" s="1">
        <v>1.5175000000000001</v>
      </c>
      <c r="H277" s="1">
        <v>2.0575000000000001</v>
      </c>
      <c r="I277" s="1">
        <v>1.476</v>
      </c>
      <c r="J277" s="1">
        <v>1.869</v>
      </c>
      <c r="K277" s="1">
        <v>1.5640000000000001</v>
      </c>
      <c r="L277" s="1">
        <v>0.47599999999999998</v>
      </c>
      <c r="M277" s="1">
        <v>0.42199999999999999</v>
      </c>
      <c r="N277" s="1">
        <v>0.48499999999999999</v>
      </c>
      <c r="O277" s="1">
        <v>1.7215</v>
      </c>
      <c r="P277" s="1">
        <v>1.76675</v>
      </c>
      <c r="Q277" s="1">
        <v>1.7164999999999999</v>
      </c>
      <c r="R277" s="1">
        <v>0.61553828465912275</v>
      </c>
      <c r="S277" s="1">
        <v>0.69668677009892177</v>
      </c>
      <c r="T277" s="1">
        <v>0.54749167525377695</v>
      </c>
      <c r="U277" s="2">
        <v>5.9489999999999998</v>
      </c>
      <c r="V277" s="2">
        <v>7.7880000000000003</v>
      </c>
      <c r="W277" s="2">
        <v>7.7349999999999994</v>
      </c>
      <c r="X277" s="1">
        <v>0.23799999999999999</v>
      </c>
      <c r="Y277" s="1">
        <v>0.21099999999999999</v>
      </c>
      <c r="Z277" s="1">
        <v>0.24249999999999999</v>
      </c>
      <c r="AA277" s="2">
        <v>46.3</v>
      </c>
      <c r="AB277" s="2">
        <v>40.5</v>
      </c>
      <c r="AC277" s="2">
        <v>324</v>
      </c>
      <c r="AD277" s="2">
        <v>37.5</v>
      </c>
      <c r="AE277" s="4" t="s">
        <v>868</v>
      </c>
      <c r="AF277" s="4">
        <v>1.19</v>
      </c>
      <c r="AH277" s="21" t="s">
        <v>925</v>
      </c>
      <c r="AI277" s="21" t="s">
        <v>924</v>
      </c>
      <c r="AJ277" s="24" t="s">
        <v>946</v>
      </c>
      <c r="AK277" s="24" t="s">
        <v>1068</v>
      </c>
      <c r="AL277" s="20" t="s">
        <v>1098</v>
      </c>
    </row>
    <row r="278" spans="1:38" x14ac:dyDescent="0.25">
      <c r="A278" s="14" t="s">
        <v>703</v>
      </c>
      <c r="B278" s="14" t="s">
        <v>704</v>
      </c>
      <c r="C278" s="14" t="s">
        <v>1214</v>
      </c>
      <c r="D278" t="s">
        <v>1572</v>
      </c>
      <c r="E278" t="s">
        <v>1592</v>
      </c>
      <c r="F278" s="1">
        <v>3.45</v>
      </c>
      <c r="G278" s="1">
        <v>3.41</v>
      </c>
      <c r="H278" s="1">
        <v>2.93</v>
      </c>
      <c r="I278" s="1">
        <v>2.85</v>
      </c>
      <c r="J278" s="1">
        <v>3.24</v>
      </c>
      <c r="K278" s="1">
        <v>3.2</v>
      </c>
      <c r="L278" s="1">
        <v>0.54</v>
      </c>
      <c r="M278" s="1">
        <v>0.46</v>
      </c>
      <c r="N278" s="1">
        <v>0.53</v>
      </c>
      <c r="O278" s="1">
        <v>3.43</v>
      </c>
      <c r="P278" s="1">
        <v>2.89</v>
      </c>
      <c r="Q278" s="1">
        <v>3.22</v>
      </c>
      <c r="R278" s="1">
        <v>0.15183537221691368</v>
      </c>
      <c r="S278" s="1">
        <v>0.2320819112627989</v>
      </c>
      <c r="T278" s="1">
        <v>0.15664910543764859</v>
      </c>
      <c r="U278" s="2">
        <v>13.3</v>
      </c>
      <c r="V278" s="2">
        <v>13.7</v>
      </c>
      <c r="W278" s="2">
        <v>15.6</v>
      </c>
      <c r="X278" s="1">
        <v>0.27</v>
      </c>
      <c r="Y278" s="1">
        <v>0.23</v>
      </c>
      <c r="Z278" s="1">
        <v>0.26500000000000001</v>
      </c>
      <c r="AA278" s="2">
        <v>177.8</v>
      </c>
      <c r="AB278" s="2">
        <v>93.6</v>
      </c>
      <c r="AC278" s="2">
        <v>16730</v>
      </c>
      <c r="AD278" s="2">
        <v>38.1</v>
      </c>
      <c r="AE278" s="4" t="s">
        <v>868</v>
      </c>
      <c r="AF278" s="4">
        <v>1.19</v>
      </c>
      <c r="AH278" s="21" t="s">
        <v>925</v>
      </c>
      <c r="AI278" s="21" t="s">
        <v>924</v>
      </c>
      <c r="AJ278" s="24" t="s">
        <v>948</v>
      </c>
      <c r="AK278" s="24" t="s">
        <v>1069</v>
      </c>
      <c r="AL278" s="20" t="s">
        <v>1098</v>
      </c>
    </row>
    <row r="279" spans="1:38" x14ac:dyDescent="0.25">
      <c r="A279" s="14" t="s">
        <v>705</v>
      </c>
      <c r="B279" s="14" t="s">
        <v>706</v>
      </c>
      <c r="C279" s="14" t="s">
        <v>1215</v>
      </c>
      <c r="D279" t="s">
        <v>1572</v>
      </c>
      <c r="E279" t="s">
        <v>1592</v>
      </c>
      <c r="F279" s="1">
        <v>2.9184999999999999</v>
      </c>
      <c r="G279" s="1">
        <v>2.605</v>
      </c>
      <c r="H279" s="1">
        <v>3.0605000000000002</v>
      </c>
      <c r="I279" s="1">
        <v>2.6695000000000002</v>
      </c>
      <c r="J279" s="1">
        <v>2.819</v>
      </c>
      <c r="K279" s="1">
        <v>2.6920000000000002</v>
      </c>
      <c r="L279" s="1">
        <v>0.37659999999999999</v>
      </c>
      <c r="M279" s="1">
        <v>0.45199999999999996</v>
      </c>
      <c r="N279" s="1">
        <v>0.39899999999999997</v>
      </c>
      <c r="O279" s="1">
        <f>(F279+G279)/2</f>
        <v>2.7617500000000001</v>
      </c>
      <c r="P279" s="1">
        <f>(H279+I279)/2</f>
        <v>2.8650000000000002</v>
      </c>
      <c r="Q279" s="1">
        <f>(J279+K279)/2</f>
        <v>2.7555000000000001</v>
      </c>
      <c r="R279" s="1">
        <f>(1-((MIN(F279:G279)/MAX(F279:G279))^2))^0.5</f>
        <v>0.45088548445680093</v>
      </c>
      <c r="S279" s="1">
        <f>(1-((MIN(H279:I279)/MAX(H279:I279))^2))^0.5</f>
        <v>0.48907257008126404</v>
      </c>
      <c r="T279" s="1">
        <f>(1-((MIN(J279:K279)/MAX(J279:K279))^2))^0.5</f>
        <v>0.29677136218382755</v>
      </c>
      <c r="U279" s="2">
        <v>11.497999999999999</v>
      </c>
      <c r="V279" s="2">
        <v>12.973000000000001</v>
      </c>
      <c r="W279" s="2">
        <v>13.561</v>
      </c>
      <c r="X279" s="1">
        <f>L279/2</f>
        <v>0.1883</v>
      </c>
      <c r="Y279" s="1">
        <f t="shared" ref="Y279" si="11">M279/2</f>
        <v>0.22599999999999998</v>
      </c>
      <c r="Z279" s="1">
        <f t="shared" ref="Z279" si="12">N279/2</f>
        <v>0.19949999999999998</v>
      </c>
      <c r="AA279" s="2">
        <v>93.4</v>
      </c>
      <c r="AB279" s="2">
        <v>69.3</v>
      </c>
      <c r="AC279" s="2">
        <v>9286</v>
      </c>
      <c r="AD279" s="2">
        <v>37.4</v>
      </c>
      <c r="AE279" s="4" t="s">
        <v>868</v>
      </c>
      <c r="AF279" s="4">
        <v>1.19</v>
      </c>
      <c r="AH279" s="21" t="s">
        <v>932</v>
      </c>
      <c r="AI279" s="21" t="s">
        <v>924</v>
      </c>
      <c r="AJ279" s="24" t="s">
        <v>946</v>
      </c>
      <c r="AK279" s="24" t="s">
        <v>1070</v>
      </c>
      <c r="AL279" s="20" t="s">
        <v>1098</v>
      </c>
    </row>
    <row r="280" spans="1:38" x14ac:dyDescent="0.25">
      <c r="A280" s="14" t="s">
        <v>705</v>
      </c>
      <c r="B280" s="14" t="s">
        <v>707</v>
      </c>
      <c r="C280" s="14" t="s">
        <v>1216</v>
      </c>
      <c r="D280" t="s">
        <v>1572</v>
      </c>
      <c r="E280" t="s">
        <v>1592</v>
      </c>
      <c r="F280" s="1">
        <v>2.97</v>
      </c>
      <c r="G280" s="1">
        <v>2.87</v>
      </c>
      <c r="H280" s="1">
        <v>2.89</v>
      </c>
      <c r="I280" s="1">
        <v>2.46</v>
      </c>
      <c r="J280" s="1">
        <v>2.56</v>
      </c>
      <c r="K280" s="1">
        <v>2.44</v>
      </c>
      <c r="L280" s="1">
        <v>0.44</v>
      </c>
      <c r="M280" s="1">
        <v>0.45</v>
      </c>
      <c r="N280" s="1">
        <v>0.46</v>
      </c>
      <c r="O280" s="1">
        <v>2.92</v>
      </c>
      <c r="P280" s="1">
        <v>2.6749999999999998</v>
      </c>
      <c r="Q280" s="1">
        <v>2.5</v>
      </c>
      <c r="R280" s="1">
        <v>0.25730603602077873</v>
      </c>
      <c r="S280" s="1">
        <v>0.52482350345005513</v>
      </c>
      <c r="T280" s="1">
        <v>0.30257682392245444</v>
      </c>
      <c r="U280" s="2">
        <v>11.8</v>
      </c>
      <c r="V280" s="2">
        <v>12.2</v>
      </c>
      <c r="W280" s="2">
        <v>11.7</v>
      </c>
      <c r="X280" s="1">
        <v>0.22</v>
      </c>
      <c r="Y280" s="1">
        <v>0.22500000000000001</v>
      </c>
      <c r="Z280" s="1">
        <v>0.23</v>
      </c>
      <c r="AA280" s="2">
        <v>117</v>
      </c>
      <c r="AB280" s="2">
        <v>78.7</v>
      </c>
      <c r="AC280" s="2">
        <v>4475</v>
      </c>
      <c r="AD280" s="2">
        <v>37.6</v>
      </c>
      <c r="AE280" s="4" t="s">
        <v>868</v>
      </c>
      <c r="AF280" s="4">
        <v>1.19</v>
      </c>
      <c r="AH280" s="21" t="s">
        <v>925</v>
      </c>
      <c r="AI280" s="21" t="s">
        <v>924</v>
      </c>
      <c r="AJ280" s="24" t="s">
        <v>946</v>
      </c>
      <c r="AK280" s="24" t="s">
        <v>1071</v>
      </c>
      <c r="AL280" s="20" t="s">
        <v>1098</v>
      </c>
    </row>
    <row r="281" spans="1:38" x14ac:dyDescent="0.25">
      <c r="A281" s="14" t="s">
        <v>708</v>
      </c>
      <c r="B281" s="14" t="s">
        <v>709</v>
      </c>
      <c r="C281" s="14" t="s">
        <v>1264</v>
      </c>
      <c r="D281" t="s">
        <v>1572</v>
      </c>
      <c r="E281" t="s">
        <v>1592</v>
      </c>
      <c r="F281" s="1">
        <v>3.4085000000000001</v>
      </c>
      <c r="G281" s="1">
        <v>2.4615</v>
      </c>
      <c r="H281" s="1">
        <v>3.137</v>
      </c>
      <c r="I281" s="1">
        <v>2.597</v>
      </c>
      <c r="J281" s="1">
        <v>2.9895</v>
      </c>
      <c r="K281" s="1">
        <v>2.7530000000000001</v>
      </c>
      <c r="L281" s="1">
        <v>0.45200000000000001</v>
      </c>
      <c r="M281" s="1">
        <v>0.48</v>
      </c>
      <c r="N281" s="1">
        <v>0.51</v>
      </c>
      <c r="O281" s="1">
        <v>2.9350000000000001</v>
      </c>
      <c r="P281" s="1">
        <v>2.867</v>
      </c>
      <c r="Q281" s="1">
        <v>2.8712499999999999</v>
      </c>
      <c r="R281" s="1">
        <v>0.69172065141079808</v>
      </c>
      <c r="S281" s="1">
        <v>0.56093327765734857</v>
      </c>
      <c r="T281" s="1">
        <v>0.38982305144037938</v>
      </c>
      <c r="U281" s="2">
        <v>12.201000000000001</v>
      </c>
      <c r="V281" s="2">
        <v>12.679</v>
      </c>
      <c r="W281" s="2">
        <v>13.276</v>
      </c>
      <c r="X281" s="1">
        <v>0.22600000000000001</v>
      </c>
      <c r="Y281" s="1">
        <v>0.24</v>
      </c>
      <c r="Z281" s="1">
        <v>0.255</v>
      </c>
      <c r="AA281" s="2">
        <v>82.7</v>
      </c>
      <c r="AB281" s="2">
        <v>65.599999999999994</v>
      </c>
      <c r="AC281" s="2">
        <v>5620</v>
      </c>
      <c r="AD281" s="2">
        <v>37.47</v>
      </c>
      <c r="AE281" s="4" t="s">
        <v>868</v>
      </c>
      <c r="AF281" s="4">
        <v>1.19</v>
      </c>
      <c r="AH281" s="21" t="s">
        <v>925</v>
      </c>
      <c r="AI281" s="21" t="s">
        <v>924</v>
      </c>
      <c r="AJ281" s="24" t="s">
        <v>946</v>
      </c>
      <c r="AK281" s="24" t="s">
        <v>1072</v>
      </c>
      <c r="AL281" s="20" t="s">
        <v>1098</v>
      </c>
    </row>
    <row r="282" spans="1:38" x14ac:dyDescent="0.25">
      <c r="A282" s="14" t="s">
        <v>710</v>
      </c>
      <c r="B282" s="14" t="s">
        <v>711</v>
      </c>
      <c r="C282" s="14" t="s">
        <v>1265</v>
      </c>
      <c r="D282" t="s">
        <v>1572</v>
      </c>
      <c r="E282" t="s">
        <v>1592</v>
      </c>
      <c r="F282" s="1">
        <v>4.0599999999999996</v>
      </c>
      <c r="G282" s="1">
        <v>3.51</v>
      </c>
      <c r="H282" s="1">
        <v>3.79</v>
      </c>
      <c r="I282" s="1">
        <v>3.36</v>
      </c>
      <c r="J282" s="1">
        <v>3.43</v>
      </c>
      <c r="K282" s="1">
        <v>3.22</v>
      </c>
      <c r="L282" s="1">
        <v>0.71</v>
      </c>
      <c r="M282" s="1">
        <v>0.82</v>
      </c>
      <c r="N282" s="1">
        <v>0.95</v>
      </c>
      <c r="O282" s="1">
        <v>3.7849999999999997</v>
      </c>
      <c r="P282" s="1">
        <v>3.5750000000000002</v>
      </c>
      <c r="Q282" s="1">
        <v>3.3250000000000002</v>
      </c>
      <c r="R282" s="1">
        <v>0.50257774215117501</v>
      </c>
      <c r="S282" s="1">
        <v>0.46264517662058935</v>
      </c>
      <c r="T282" s="1">
        <v>0.3445294493088597</v>
      </c>
      <c r="U282" s="2">
        <v>17.2</v>
      </c>
      <c r="V282" s="2">
        <v>17.2</v>
      </c>
      <c r="W282" s="2">
        <v>16.2</v>
      </c>
      <c r="X282" s="1">
        <v>0.35499999999999998</v>
      </c>
      <c r="Y282" s="1">
        <v>0.41</v>
      </c>
      <c r="Z282" s="1">
        <v>0.47499999999999998</v>
      </c>
      <c r="AA282" s="2">
        <v>189.4</v>
      </c>
      <c r="AB282" s="2">
        <v>111.7</v>
      </c>
      <c r="AC282" s="2">
        <v>77900</v>
      </c>
      <c r="AD282" s="2">
        <v>36.35</v>
      </c>
      <c r="AE282" s="4" t="s">
        <v>868</v>
      </c>
      <c r="AF282" s="4">
        <v>1.19</v>
      </c>
      <c r="AH282" s="21" t="s">
        <v>925</v>
      </c>
      <c r="AI282" s="21" t="s">
        <v>924</v>
      </c>
      <c r="AJ282" s="22" t="s">
        <v>1101</v>
      </c>
      <c r="AK282" s="24" t="s">
        <v>1073</v>
      </c>
      <c r="AL282" s="20" t="s">
        <v>1098</v>
      </c>
    </row>
    <row r="283" spans="1:38" x14ac:dyDescent="0.25">
      <c r="A283" s="14" t="s">
        <v>712</v>
      </c>
      <c r="B283" s="14" t="s">
        <v>713</v>
      </c>
      <c r="C283" s="14" t="s">
        <v>1217</v>
      </c>
      <c r="D283" t="s">
        <v>1572</v>
      </c>
      <c r="E283" t="s">
        <v>1592</v>
      </c>
      <c r="F283" s="1">
        <v>4.0585000000000004</v>
      </c>
      <c r="G283" s="1">
        <v>3.7719999999999998</v>
      </c>
      <c r="H283" s="1">
        <v>4.2895000000000003</v>
      </c>
      <c r="I283" s="1">
        <v>3.8085</v>
      </c>
      <c r="J283" s="1">
        <v>3.7995000000000001</v>
      </c>
      <c r="K283" s="1">
        <v>3.601</v>
      </c>
      <c r="L283" s="1">
        <v>0.72199999999999998</v>
      </c>
      <c r="M283" s="1">
        <v>0.81200000000000006</v>
      </c>
      <c r="N283" s="1">
        <v>0.745</v>
      </c>
      <c r="O283" s="1">
        <v>3.9152500000000003</v>
      </c>
      <c r="P283" s="1">
        <v>4.0490000000000004</v>
      </c>
      <c r="Q283" s="1">
        <v>3.70025</v>
      </c>
      <c r="R283" s="1">
        <v>0.36905535369789649</v>
      </c>
      <c r="S283" s="1">
        <v>0.46010266865980404</v>
      </c>
      <c r="T283" s="1">
        <v>0.31899533956835696</v>
      </c>
      <c r="U283" s="2">
        <v>15.425000000000001</v>
      </c>
      <c r="V283" s="2">
        <v>18.512</v>
      </c>
      <c r="W283" s="2">
        <v>15.8</v>
      </c>
      <c r="X283" s="1">
        <v>0.36099999999999999</v>
      </c>
      <c r="Y283" s="1">
        <v>0.40600000000000003</v>
      </c>
      <c r="Z283" s="1">
        <v>0.3725</v>
      </c>
      <c r="AA283" s="2">
        <v>110</v>
      </c>
      <c r="AB283" s="2">
        <v>101.2</v>
      </c>
      <c r="AC283" s="2">
        <v>58313</v>
      </c>
      <c r="AD283" s="2">
        <v>37</v>
      </c>
      <c r="AE283" s="4" t="s">
        <v>868</v>
      </c>
      <c r="AF283" s="4">
        <v>1.19</v>
      </c>
      <c r="AH283" s="21" t="s">
        <v>925</v>
      </c>
      <c r="AI283" s="21" t="s">
        <v>924</v>
      </c>
      <c r="AJ283" s="24" t="s">
        <v>946</v>
      </c>
      <c r="AK283" s="24" t="s">
        <v>1074</v>
      </c>
      <c r="AL283" s="20" t="s">
        <v>1098</v>
      </c>
    </row>
    <row r="284" spans="1:38" x14ac:dyDescent="0.25">
      <c r="A284" s="14" t="s">
        <v>714</v>
      </c>
      <c r="B284" s="14" t="s">
        <v>715</v>
      </c>
      <c r="C284" s="14" t="s">
        <v>1266</v>
      </c>
      <c r="D284" t="s">
        <v>1572</v>
      </c>
      <c r="E284" t="s">
        <v>1592</v>
      </c>
      <c r="F284" s="1">
        <v>3.34</v>
      </c>
      <c r="G284" s="1">
        <v>2.6105</v>
      </c>
      <c r="H284" s="1">
        <v>3.1415000000000002</v>
      </c>
      <c r="I284" s="1">
        <v>3.0209999999999999</v>
      </c>
      <c r="J284" s="1">
        <v>3.1945000000000001</v>
      </c>
      <c r="K284" s="1">
        <v>3.07</v>
      </c>
      <c r="L284" s="1">
        <v>0.69099999999999995</v>
      </c>
      <c r="M284" s="1">
        <v>0.67600000000000005</v>
      </c>
      <c r="N284" s="1">
        <v>0.749</v>
      </c>
      <c r="O284" s="1">
        <v>2.97525</v>
      </c>
      <c r="P284" s="1">
        <v>3.0812499999999998</v>
      </c>
      <c r="Q284" s="1">
        <v>3.13225</v>
      </c>
      <c r="R284" s="1">
        <v>0.62379646751191764</v>
      </c>
      <c r="S284" s="1">
        <v>0.27430575894408016</v>
      </c>
      <c r="T284" s="1">
        <v>0.27645534436950758</v>
      </c>
      <c r="U284" s="2">
        <v>11.195000000000002</v>
      </c>
      <c r="V284" s="2">
        <v>12.196</v>
      </c>
      <c r="W284" s="2">
        <v>13.701000000000002</v>
      </c>
      <c r="X284" s="1">
        <v>0.34549999999999997</v>
      </c>
      <c r="Y284" s="1">
        <v>0.33800000000000002</v>
      </c>
      <c r="Z284" s="1">
        <v>0.3745</v>
      </c>
      <c r="AA284" s="2">
        <v>112.1</v>
      </c>
      <c r="AB284" s="2">
        <v>82.2</v>
      </c>
      <c r="AC284" s="2">
        <v>39100</v>
      </c>
      <c r="AD284" s="2">
        <v>37.200000000000003</v>
      </c>
      <c r="AE284" s="4" t="s">
        <v>868</v>
      </c>
      <c r="AF284" s="4">
        <v>1.19</v>
      </c>
      <c r="AH284" s="21" t="s">
        <v>925</v>
      </c>
      <c r="AI284" s="21" t="s">
        <v>924</v>
      </c>
      <c r="AJ284" s="24" t="s">
        <v>946</v>
      </c>
      <c r="AK284" s="24" t="s">
        <v>1075</v>
      </c>
      <c r="AL284" s="20" t="s">
        <v>1098</v>
      </c>
    </row>
    <row r="285" spans="1:38" x14ac:dyDescent="0.25">
      <c r="A285" s="14" t="s">
        <v>716</v>
      </c>
      <c r="B285" s="14" t="s">
        <v>717</v>
      </c>
      <c r="C285" s="14" t="s">
        <v>718</v>
      </c>
      <c r="D285" t="s">
        <v>1572</v>
      </c>
      <c r="E285" t="s">
        <v>1593</v>
      </c>
      <c r="F285" s="1">
        <v>0.91700000000000004</v>
      </c>
      <c r="G285" s="1">
        <v>0.50349999999999995</v>
      </c>
      <c r="H285" s="1">
        <v>0.85199999999999998</v>
      </c>
      <c r="I285" s="1">
        <v>0.51300000000000001</v>
      </c>
      <c r="J285" s="1">
        <v>0.57599999999999996</v>
      </c>
      <c r="K285" s="1">
        <v>0.54</v>
      </c>
      <c r="L285" s="1">
        <v>0.122</v>
      </c>
      <c r="M285" s="1">
        <v>0.12</v>
      </c>
      <c r="N285" s="1">
        <v>0.156</v>
      </c>
      <c r="O285" s="1">
        <v>0.71025000000000005</v>
      </c>
      <c r="P285" s="1">
        <v>0.6825</v>
      </c>
      <c r="Q285" s="1">
        <v>0.55800000000000005</v>
      </c>
      <c r="R285" s="1">
        <v>0.83577435352852203</v>
      </c>
      <c r="S285" s="1">
        <v>0.7984111255063242</v>
      </c>
      <c r="T285" s="1">
        <v>0.34798527267687607</v>
      </c>
      <c r="U285" s="2">
        <v>2.3610000000000002</v>
      </c>
      <c r="V285" s="2">
        <v>2.7570000000000001</v>
      </c>
      <c r="W285" s="2">
        <v>2.2970000000000002</v>
      </c>
      <c r="X285" s="1">
        <v>6.0999999999999999E-2</v>
      </c>
      <c r="Y285" s="1">
        <v>0.06</v>
      </c>
      <c r="Z285" s="1">
        <v>7.8E-2</v>
      </c>
      <c r="AA285" s="2">
        <v>16.899999999999999</v>
      </c>
      <c r="AB285" s="2">
        <v>11.5</v>
      </c>
      <c r="AC285" s="2">
        <v>6.1</v>
      </c>
      <c r="AD285" s="2">
        <v>38.799999999999997</v>
      </c>
      <c r="AE285" s="4" t="s">
        <v>868</v>
      </c>
      <c r="AF285" s="4">
        <v>1.19</v>
      </c>
      <c r="AH285" s="21" t="s">
        <v>923</v>
      </c>
      <c r="AI285" s="21" t="s">
        <v>924</v>
      </c>
      <c r="AJ285" s="22" t="s">
        <v>955</v>
      </c>
      <c r="AK285" s="24" t="s">
        <v>1077</v>
      </c>
      <c r="AL285" s="20" t="s">
        <v>1098</v>
      </c>
    </row>
    <row r="286" spans="1:38" x14ac:dyDescent="0.25">
      <c r="A286" s="14" t="s">
        <v>719</v>
      </c>
      <c r="B286" s="14" t="s">
        <v>720</v>
      </c>
      <c r="C286" s="14" t="s">
        <v>718</v>
      </c>
      <c r="D286" t="s">
        <v>1572</v>
      </c>
      <c r="E286" t="s">
        <v>1593</v>
      </c>
      <c r="F286" s="1">
        <v>1.4964999999999999</v>
      </c>
      <c r="G286" s="1">
        <v>1.276</v>
      </c>
      <c r="H286" s="1">
        <v>1.323</v>
      </c>
      <c r="I286" s="1">
        <v>1.2170000000000001</v>
      </c>
      <c r="J286" s="1">
        <v>1.9750000000000001</v>
      </c>
      <c r="K286" s="1">
        <v>1.1884999999999999</v>
      </c>
      <c r="L286" s="1">
        <v>0.16500000000000001</v>
      </c>
      <c r="M286" s="1">
        <v>0.17699999999999999</v>
      </c>
      <c r="N286" s="1">
        <v>0.161</v>
      </c>
      <c r="O286" s="1">
        <v>1.38625</v>
      </c>
      <c r="P286" s="1">
        <v>1.27</v>
      </c>
      <c r="Q286" s="1">
        <v>1.58175</v>
      </c>
      <c r="R286" s="1">
        <v>0.52247239961745506</v>
      </c>
      <c r="S286" s="1">
        <v>0.3922021289329774</v>
      </c>
      <c r="T286" s="1">
        <v>0.79866781404985066</v>
      </c>
      <c r="U286" s="2">
        <v>4.7919999999999998</v>
      </c>
      <c r="V286" s="2">
        <v>5.3360000000000003</v>
      </c>
      <c r="W286" s="2">
        <v>4.944</v>
      </c>
      <c r="X286" s="1">
        <v>8.2500000000000004E-2</v>
      </c>
      <c r="Y286" s="1">
        <v>8.8499999999999995E-2</v>
      </c>
      <c r="Z286" s="1">
        <v>8.0500000000000002E-2</v>
      </c>
      <c r="AA286" s="2">
        <v>38.1</v>
      </c>
      <c r="AB286" s="2">
        <v>26.6</v>
      </c>
      <c r="AC286" s="2">
        <v>866</v>
      </c>
      <c r="AD286" s="2">
        <v>35.200000000000003</v>
      </c>
      <c r="AE286" s="4" t="s">
        <v>868</v>
      </c>
      <c r="AF286" s="4">
        <v>1.19</v>
      </c>
      <c r="AH286" s="21" t="s">
        <v>923</v>
      </c>
      <c r="AI286" s="21" t="s">
        <v>924</v>
      </c>
      <c r="AJ286" s="22" t="s">
        <v>955</v>
      </c>
      <c r="AK286" s="24" t="s">
        <v>1076</v>
      </c>
      <c r="AL286" s="20" t="s">
        <v>1098</v>
      </c>
    </row>
    <row r="287" spans="1:38" x14ac:dyDescent="0.25">
      <c r="A287" s="14" t="s">
        <v>721</v>
      </c>
      <c r="B287" s="14" t="s">
        <v>722</v>
      </c>
      <c r="C287" s="14" t="s">
        <v>723</v>
      </c>
      <c r="D287" t="s">
        <v>1572</v>
      </c>
      <c r="E287" t="s">
        <v>1593</v>
      </c>
      <c r="F287" s="1">
        <v>1.06</v>
      </c>
      <c r="G287" s="1">
        <v>1.01</v>
      </c>
      <c r="H287" s="1">
        <v>0.92</v>
      </c>
      <c r="I287" s="1">
        <v>0.79</v>
      </c>
      <c r="J287" s="1">
        <v>1.0900000000000001</v>
      </c>
      <c r="K287" s="1">
        <v>0.8</v>
      </c>
      <c r="L287" s="1">
        <v>0.14000000000000001</v>
      </c>
      <c r="M287" s="1">
        <v>0.11</v>
      </c>
      <c r="N287" s="1">
        <v>0.16</v>
      </c>
      <c r="O287" s="1">
        <v>1.0350000000000001</v>
      </c>
      <c r="P287" s="1">
        <v>0.85499999999999998</v>
      </c>
      <c r="Q287" s="1">
        <v>0.94500000000000006</v>
      </c>
      <c r="R287" s="1">
        <v>0.30350392343670585</v>
      </c>
      <c r="S287" s="1">
        <v>0.5124858797446209</v>
      </c>
      <c r="T287" s="1">
        <v>0.67920895482126964</v>
      </c>
      <c r="U287" s="2">
        <v>3.8</v>
      </c>
      <c r="V287" s="2">
        <v>4</v>
      </c>
      <c r="W287" s="2">
        <v>4.3</v>
      </c>
      <c r="X287" s="1">
        <v>7.0000000000000007E-2</v>
      </c>
      <c r="Y287" s="1">
        <v>5.5E-2</v>
      </c>
      <c r="Z287" s="1">
        <v>0.08</v>
      </c>
      <c r="AA287" s="2">
        <v>27.8</v>
      </c>
      <c r="AB287" s="2">
        <v>20.2</v>
      </c>
      <c r="AC287" s="2">
        <v>29.3</v>
      </c>
      <c r="AD287" s="2" t="s">
        <v>40</v>
      </c>
      <c r="AE287" s="4" t="s">
        <v>868</v>
      </c>
      <c r="AF287" s="4">
        <v>1.19</v>
      </c>
      <c r="AH287" s="21" t="s">
        <v>923</v>
      </c>
      <c r="AI287" s="21" t="s">
        <v>924</v>
      </c>
      <c r="AJ287" s="22" t="s">
        <v>955</v>
      </c>
      <c r="AK287" s="23" t="s">
        <v>40</v>
      </c>
      <c r="AL287" s="20" t="s">
        <v>1098</v>
      </c>
    </row>
    <row r="288" spans="1:38" x14ac:dyDescent="0.25">
      <c r="A288" s="14" t="s">
        <v>724</v>
      </c>
      <c r="B288" s="14" t="s">
        <v>725</v>
      </c>
      <c r="C288" s="14" t="s">
        <v>726</v>
      </c>
      <c r="D288" t="s">
        <v>1572</v>
      </c>
      <c r="E288" t="s">
        <v>1593</v>
      </c>
      <c r="F288" s="1">
        <v>0.95</v>
      </c>
      <c r="G288" s="1">
        <v>0.86</v>
      </c>
      <c r="H288" s="1">
        <v>0.86</v>
      </c>
      <c r="I288" s="1">
        <v>0.7</v>
      </c>
      <c r="J288" s="1">
        <v>1.07</v>
      </c>
      <c r="K288" s="1">
        <v>0.73</v>
      </c>
      <c r="L288" s="1">
        <v>0.14000000000000001</v>
      </c>
      <c r="M288" s="1">
        <v>0.14000000000000001</v>
      </c>
      <c r="N288" s="1">
        <v>0.16</v>
      </c>
      <c r="O288" s="1">
        <v>0.90500000000000003</v>
      </c>
      <c r="P288" s="1">
        <v>0.78</v>
      </c>
      <c r="Q288" s="1">
        <v>0.9</v>
      </c>
      <c r="R288" s="1">
        <v>0.42485128569706443</v>
      </c>
      <c r="S288" s="1">
        <v>0.58093004636264167</v>
      </c>
      <c r="T288" s="1">
        <v>0.73112550338721294</v>
      </c>
      <c r="U288" s="2">
        <v>2.9</v>
      </c>
      <c r="V288" s="2">
        <v>2.9</v>
      </c>
      <c r="W288" s="2">
        <v>3.8</v>
      </c>
      <c r="X288" s="1">
        <v>7.0000000000000007E-2</v>
      </c>
      <c r="Y288" s="1">
        <v>7.0000000000000007E-2</v>
      </c>
      <c r="Z288" s="1">
        <v>0.08</v>
      </c>
      <c r="AA288" s="2">
        <v>16</v>
      </c>
      <c r="AB288" s="2">
        <v>12.6</v>
      </c>
      <c r="AC288" s="2">
        <v>12.1</v>
      </c>
      <c r="AD288" s="2">
        <v>36</v>
      </c>
      <c r="AE288" s="4" t="s">
        <v>868</v>
      </c>
      <c r="AF288" s="4">
        <v>1.19</v>
      </c>
      <c r="AH288" s="21" t="s">
        <v>923</v>
      </c>
      <c r="AI288" s="21" t="s">
        <v>924</v>
      </c>
      <c r="AJ288" s="22" t="s">
        <v>955</v>
      </c>
      <c r="AK288" s="24" t="s">
        <v>1058</v>
      </c>
      <c r="AL288" s="20" t="s">
        <v>1098</v>
      </c>
    </row>
    <row r="289" spans="1:38" x14ac:dyDescent="0.25">
      <c r="A289" s="14" t="s">
        <v>727</v>
      </c>
      <c r="B289" s="14" t="s">
        <v>728</v>
      </c>
      <c r="C289" s="14" t="s">
        <v>1218</v>
      </c>
      <c r="D289" t="s">
        <v>1572</v>
      </c>
      <c r="E289" t="s">
        <v>1593</v>
      </c>
      <c r="F289" s="1">
        <v>0.98</v>
      </c>
      <c r="G289" s="1">
        <v>0.95</v>
      </c>
      <c r="H289" s="1">
        <v>0.95</v>
      </c>
      <c r="I289" s="1">
        <v>0.8</v>
      </c>
      <c r="J289" s="1">
        <v>0.95</v>
      </c>
      <c r="K289" s="1">
        <v>0.72</v>
      </c>
      <c r="L289" s="1">
        <v>0.16</v>
      </c>
      <c r="M289" s="1">
        <v>0.151</v>
      </c>
      <c r="N289" s="1">
        <v>0.16200000000000001</v>
      </c>
      <c r="O289" s="1">
        <v>0.96499999999999997</v>
      </c>
      <c r="P289" s="1">
        <v>0.875</v>
      </c>
      <c r="Q289" s="1">
        <v>0.83499999999999996</v>
      </c>
      <c r="R289" s="1">
        <v>0.24553488603093812</v>
      </c>
      <c r="S289" s="1">
        <v>0.53931319820839985</v>
      </c>
      <c r="T289" s="1">
        <v>0.6523768603093123</v>
      </c>
      <c r="U289" s="2">
        <v>3.4</v>
      </c>
      <c r="V289" s="2">
        <v>3.6</v>
      </c>
      <c r="W289" s="2">
        <v>3.5</v>
      </c>
      <c r="X289" s="1">
        <v>0.08</v>
      </c>
      <c r="Y289" s="1">
        <v>7.5499999999999998E-2</v>
      </c>
      <c r="Z289" s="1">
        <v>8.1000000000000003E-2</v>
      </c>
      <c r="AA289" s="2">
        <v>18.899999999999999</v>
      </c>
      <c r="AB289" s="2">
        <v>13.8</v>
      </c>
      <c r="AC289" s="2">
        <v>15</v>
      </c>
      <c r="AD289" s="2">
        <v>36.4</v>
      </c>
      <c r="AE289" s="4" t="s">
        <v>868</v>
      </c>
      <c r="AF289" s="4">
        <v>1.19</v>
      </c>
      <c r="AH289" s="21" t="s">
        <v>925</v>
      </c>
      <c r="AI289" s="21" t="s">
        <v>924</v>
      </c>
      <c r="AJ289" s="22" t="s">
        <v>1102</v>
      </c>
      <c r="AK289" s="24" t="s">
        <v>1078</v>
      </c>
      <c r="AL289" s="20" t="s">
        <v>1098</v>
      </c>
    </row>
    <row r="290" spans="1:38" x14ac:dyDescent="0.25">
      <c r="A290" s="14" t="s">
        <v>729</v>
      </c>
      <c r="B290" s="14" t="s">
        <v>730</v>
      </c>
      <c r="C290" s="14" t="s">
        <v>731</v>
      </c>
      <c r="D290" t="s">
        <v>1572</v>
      </c>
      <c r="E290" t="s">
        <v>1593</v>
      </c>
      <c r="F290" s="1">
        <v>0.89</v>
      </c>
      <c r="G290" s="1">
        <v>0.79</v>
      </c>
      <c r="H290" s="1">
        <v>0.79</v>
      </c>
      <c r="I290" s="1">
        <v>0.78</v>
      </c>
      <c r="J290" s="1">
        <v>1.02</v>
      </c>
      <c r="K290" s="1">
        <v>0.78</v>
      </c>
      <c r="L290" s="1">
        <v>0.1</v>
      </c>
      <c r="M290" s="1">
        <v>0.1</v>
      </c>
      <c r="N290" s="1">
        <v>0.1</v>
      </c>
      <c r="O290" s="1">
        <v>0.84000000000000008</v>
      </c>
      <c r="P290" s="1">
        <v>0.78500000000000003</v>
      </c>
      <c r="Q290" s="1">
        <v>0.9</v>
      </c>
      <c r="R290" s="1">
        <v>0.46053711307683581</v>
      </c>
      <c r="S290" s="1">
        <v>0.15860714033090687</v>
      </c>
      <c r="T290" s="1">
        <v>0.64437947941784246</v>
      </c>
      <c r="U290" s="2">
        <v>3</v>
      </c>
      <c r="V290" s="2">
        <v>3.5</v>
      </c>
      <c r="W290" s="2">
        <v>3.5</v>
      </c>
      <c r="X290" s="1">
        <v>0.05</v>
      </c>
      <c r="Y290" s="1">
        <v>0.05</v>
      </c>
      <c r="Z290" s="1">
        <v>0.05</v>
      </c>
      <c r="AA290" s="2">
        <v>24.3</v>
      </c>
      <c r="AB290" s="2">
        <v>17.100000000000001</v>
      </c>
      <c r="AC290" s="2">
        <v>17.2</v>
      </c>
      <c r="AD290" s="2">
        <v>35.6</v>
      </c>
      <c r="AE290" s="4" t="s">
        <v>868</v>
      </c>
      <c r="AF290" s="4">
        <v>1.19</v>
      </c>
      <c r="AH290" s="21" t="s">
        <v>923</v>
      </c>
      <c r="AI290" s="21" t="s">
        <v>924</v>
      </c>
      <c r="AJ290" s="22" t="s">
        <v>955</v>
      </c>
      <c r="AK290" s="24" t="s">
        <v>1079</v>
      </c>
      <c r="AL290" s="20" t="s">
        <v>1098</v>
      </c>
    </row>
    <row r="291" spans="1:38" x14ac:dyDescent="0.25">
      <c r="A291" s="14" t="s">
        <v>732</v>
      </c>
      <c r="B291" s="14" t="s">
        <v>733</v>
      </c>
      <c r="C291" s="14" t="s">
        <v>734</v>
      </c>
      <c r="D291" t="s">
        <v>1572</v>
      </c>
      <c r="E291" t="s">
        <v>1593</v>
      </c>
      <c r="F291" s="1">
        <v>1.5974999999999999</v>
      </c>
      <c r="G291" s="1">
        <v>1.5105</v>
      </c>
      <c r="H291" s="1">
        <v>1.5940000000000001</v>
      </c>
      <c r="I291" s="1">
        <v>1.2364999999999999</v>
      </c>
      <c r="J291" s="1">
        <v>1.4644999999999999</v>
      </c>
      <c r="K291" s="1">
        <v>1.3285</v>
      </c>
      <c r="L291" s="1">
        <v>0.14099999999999999</v>
      </c>
      <c r="M291" s="1">
        <v>0.13900000000000001</v>
      </c>
      <c r="N291" s="1">
        <v>0.158</v>
      </c>
      <c r="O291" s="1">
        <v>1.5539999999999998</v>
      </c>
      <c r="P291" s="1">
        <v>1.4152499999999999</v>
      </c>
      <c r="Q291" s="1">
        <v>1.3965000000000001</v>
      </c>
      <c r="R291" s="1">
        <v>0.32550619958180255</v>
      </c>
      <c r="S291" s="1">
        <v>0.63107544995996545</v>
      </c>
      <c r="T291" s="1">
        <v>0.42083857950532161</v>
      </c>
      <c r="U291" s="2">
        <v>5.9930000000000003</v>
      </c>
      <c r="V291" s="2">
        <v>6.1760000000000002</v>
      </c>
      <c r="W291" s="2">
        <v>6.4569999999999999</v>
      </c>
      <c r="X291" s="1">
        <v>7.0499999999999993E-2</v>
      </c>
      <c r="Y291" s="1">
        <v>6.9500000000000006E-2</v>
      </c>
      <c r="Z291" s="1">
        <v>7.9000000000000001E-2</v>
      </c>
      <c r="AA291" s="2">
        <v>65.2</v>
      </c>
      <c r="AB291" s="2">
        <v>45.6</v>
      </c>
      <c r="AC291" s="2">
        <v>435</v>
      </c>
      <c r="AD291" s="2" t="s">
        <v>40</v>
      </c>
      <c r="AE291" s="4" t="s">
        <v>868</v>
      </c>
      <c r="AF291" s="4">
        <v>1.19</v>
      </c>
      <c r="AH291" s="21" t="s">
        <v>923</v>
      </c>
      <c r="AI291" s="21" t="s">
        <v>924</v>
      </c>
      <c r="AJ291" s="22" t="s">
        <v>925</v>
      </c>
      <c r="AK291" s="23" t="s">
        <v>40</v>
      </c>
      <c r="AL291" s="20" t="s">
        <v>1098</v>
      </c>
    </row>
    <row r="292" spans="1:38" x14ac:dyDescent="0.25">
      <c r="A292" s="14" t="s">
        <v>732</v>
      </c>
      <c r="B292" s="14" t="s">
        <v>735</v>
      </c>
      <c r="C292" s="14" t="s">
        <v>1219</v>
      </c>
      <c r="D292" t="s">
        <v>1572</v>
      </c>
      <c r="E292" t="s">
        <v>1593</v>
      </c>
      <c r="F292" s="1">
        <v>1.53</v>
      </c>
      <c r="G292" s="1">
        <v>1.39</v>
      </c>
      <c r="H292" s="1">
        <v>1.36</v>
      </c>
      <c r="I292" s="1">
        <v>1.2</v>
      </c>
      <c r="J292" s="1">
        <v>1.32</v>
      </c>
      <c r="K292" s="1">
        <v>1.25</v>
      </c>
      <c r="L292" s="1">
        <v>0.192</v>
      </c>
      <c r="M292" s="1">
        <v>0.219</v>
      </c>
      <c r="N292" s="1">
        <v>0.28100000000000003</v>
      </c>
      <c r="O292" s="1">
        <v>1.46</v>
      </c>
      <c r="P292" s="1">
        <v>1.28</v>
      </c>
      <c r="Q292" s="1">
        <v>1.2850000000000001</v>
      </c>
      <c r="R292" s="1">
        <v>0.41789195720642591</v>
      </c>
      <c r="S292" s="1">
        <v>0.47058823529411797</v>
      </c>
      <c r="T292" s="1">
        <v>0.32132287970376533</v>
      </c>
      <c r="U292" s="2">
        <v>6</v>
      </c>
      <c r="V292" s="2">
        <v>5.8</v>
      </c>
      <c r="W292" s="2">
        <v>6.6</v>
      </c>
      <c r="X292" s="1">
        <v>9.6000000000000002E-2</v>
      </c>
      <c r="Y292" s="1">
        <v>0.1095</v>
      </c>
      <c r="Z292" s="1">
        <v>0.14050000000000001</v>
      </c>
      <c r="AA292" s="2">
        <v>51</v>
      </c>
      <c r="AB292" s="2">
        <v>35.200000000000003</v>
      </c>
      <c r="AC292" s="2">
        <v>254</v>
      </c>
      <c r="AD292" s="2">
        <v>36.5</v>
      </c>
      <c r="AE292" s="4" t="s">
        <v>868</v>
      </c>
      <c r="AF292" s="4">
        <v>1.19</v>
      </c>
      <c r="AH292" s="21" t="s">
        <v>933</v>
      </c>
      <c r="AI292" s="21" t="s">
        <v>924</v>
      </c>
      <c r="AJ292" s="22" t="s">
        <v>1103</v>
      </c>
      <c r="AK292" s="24" t="s">
        <v>1080</v>
      </c>
      <c r="AL292" s="20" t="s">
        <v>1098</v>
      </c>
    </row>
    <row r="293" spans="1:38" x14ac:dyDescent="0.25">
      <c r="A293" s="14" t="s">
        <v>736</v>
      </c>
      <c r="B293" s="14" t="s">
        <v>737</v>
      </c>
      <c r="C293" s="14" t="s">
        <v>738</v>
      </c>
      <c r="D293" t="s">
        <v>1572</v>
      </c>
      <c r="E293" t="s">
        <v>1593</v>
      </c>
      <c r="F293" s="1">
        <v>1.867</v>
      </c>
      <c r="G293" s="1">
        <v>1.6174999999999999</v>
      </c>
      <c r="H293" s="1">
        <v>2.1194999999999999</v>
      </c>
      <c r="I293" s="1">
        <v>1.649</v>
      </c>
      <c r="J293" s="1">
        <v>1.4730000000000001</v>
      </c>
      <c r="K293" s="1">
        <v>1.413</v>
      </c>
      <c r="L293" s="1">
        <v>0.39300000000000002</v>
      </c>
      <c r="M293" s="1">
        <v>0.39300000000000002</v>
      </c>
      <c r="N293" s="1">
        <v>0.48599999999999999</v>
      </c>
      <c r="O293" s="1">
        <v>1.7422499999999999</v>
      </c>
      <c r="P293" s="1">
        <v>1.88425</v>
      </c>
      <c r="Q293" s="1">
        <v>1.4430000000000001</v>
      </c>
      <c r="R293" s="1">
        <v>0.49941455054549833</v>
      </c>
      <c r="S293" s="1">
        <v>0.62824733177779624</v>
      </c>
      <c r="T293" s="1">
        <v>0.28250168447087082</v>
      </c>
      <c r="U293" s="2">
        <v>7.4210000000000003</v>
      </c>
      <c r="V293" s="2">
        <v>8.2910000000000004</v>
      </c>
      <c r="W293" s="2">
        <v>5.9340000000000002</v>
      </c>
      <c r="X293" s="1">
        <v>0.19650000000000001</v>
      </c>
      <c r="Y293" s="1">
        <v>0.19650000000000001</v>
      </c>
      <c r="Z293" s="1">
        <v>0.24299999999999999</v>
      </c>
      <c r="AA293" s="2">
        <v>75.099999999999994</v>
      </c>
      <c r="AB293" s="2">
        <v>44.6</v>
      </c>
      <c r="AC293" s="2">
        <v>4500</v>
      </c>
      <c r="AD293" s="2">
        <v>32.6</v>
      </c>
      <c r="AE293" s="4" t="s">
        <v>868</v>
      </c>
      <c r="AF293" s="4">
        <v>1.19</v>
      </c>
      <c r="AH293" s="21" t="s">
        <v>923</v>
      </c>
      <c r="AI293" s="21" t="s">
        <v>924</v>
      </c>
      <c r="AJ293" s="22" t="s">
        <v>955</v>
      </c>
      <c r="AK293" s="24" t="s">
        <v>1058</v>
      </c>
      <c r="AL293" s="20" t="s">
        <v>1098</v>
      </c>
    </row>
    <row r="294" spans="1:38" x14ac:dyDescent="0.25">
      <c r="A294" s="14" t="s">
        <v>739</v>
      </c>
      <c r="B294" s="14" t="s">
        <v>740</v>
      </c>
      <c r="C294" s="14" t="s">
        <v>1220</v>
      </c>
      <c r="D294" t="s">
        <v>1572</v>
      </c>
      <c r="E294" t="s">
        <v>1593</v>
      </c>
      <c r="F294" s="1">
        <v>2.3184999999999998</v>
      </c>
      <c r="G294" s="1">
        <v>2.0225</v>
      </c>
      <c r="H294" s="1">
        <v>2.379</v>
      </c>
      <c r="I294" s="1">
        <v>1.9305000000000001</v>
      </c>
      <c r="J294" s="1">
        <v>2.1884999999999999</v>
      </c>
      <c r="K294" s="1">
        <v>1.833</v>
      </c>
      <c r="L294" s="1">
        <v>0.312</v>
      </c>
      <c r="M294" s="1">
        <v>0.32600000000000001</v>
      </c>
      <c r="N294" s="1">
        <v>0.32600000000000001</v>
      </c>
      <c r="O294" s="1">
        <v>2.1704999999999997</v>
      </c>
      <c r="P294" s="1">
        <v>2.1547499999999999</v>
      </c>
      <c r="Q294" s="1">
        <v>2.0107499999999998</v>
      </c>
      <c r="R294" s="1">
        <v>0.48891532255083614</v>
      </c>
      <c r="S294" s="1">
        <v>0.58438656660757471</v>
      </c>
      <c r="T294" s="1">
        <v>0.54634539654430458</v>
      </c>
      <c r="U294" s="2">
        <v>7.6239999999999997</v>
      </c>
      <c r="V294" s="2">
        <v>9.4380000000000006</v>
      </c>
      <c r="W294" s="2">
        <v>10.247999999999999</v>
      </c>
      <c r="X294" s="1">
        <v>0.156</v>
      </c>
      <c r="Y294" s="1">
        <v>0.16300000000000001</v>
      </c>
      <c r="Z294" s="1">
        <v>0.16300000000000001</v>
      </c>
      <c r="AA294" s="2">
        <v>47.3</v>
      </c>
      <c r="AB294" s="2">
        <v>35.5</v>
      </c>
      <c r="AC294" s="2">
        <v>860</v>
      </c>
      <c r="AD294" s="2">
        <v>38.299999999999997</v>
      </c>
      <c r="AE294" s="4" t="s">
        <v>868</v>
      </c>
      <c r="AF294" s="4">
        <v>1.19</v>
      </c>
      <c r="AH294" s="21" t="s">
        <v>925</v>
      </c>
      <c r="AI294" s="21" t="s">
        <v>924</v>
      </c>
      <c r="AJ294" s="24" t="s">
        <v>949</v>
      </c>
      <c r="AK294" s="24" t="s">
        <v>1059</v>
      </c>
      <c r="AL294" s="20" t="s">
        <v>1098</v>
      </c>
    </row>
    <row r="295" spans="1:38" x14ac:dyDescent="0.25">
      <c r="A295" s="14" t="s">
        <v>741</v>
      </c>
      <c r="B295" s="14" t="s">
        <v>742</v>
      </c>
      <c r="C295" s="14" t="s">
        <v>1221</v>
      </c>
      <c r="D295" t="s">
        <v>1572</v>
      </c>
      <c r="E295" t="s">
        <v>1593</v>
      </c>
      <c r="F295" s="1">
        <v>2.1124999999999998</v>
      </c>
      <c r="G295" s="1">
        <v>1.7755000000000001</v>
      </c>
      <c r="H295" s="1">
        <v>1.9079999999999999</v>
      </c>
      <c r="I295" s="1">
        <v>1.9005000000000001</v>
      </c>
      <c r="J295" s="1">
        <v>1.7915000000000001</v>
      </c>
      <c r="K295" s="1">
        <v>1.762</v>
      </c>
      <c r="L295" s="1">
        <v>0.28999999999999998</v>
      </c>
      <c r="M295" s="1">
        <v>0.28000000000000003</v>
      </c>
      <c r="N295" s="1">
        <v>0.28999999999999998</v>
      </c>
      <c r="O295" s="1">
        <v>1.944</v>
      </c>
      <c r="P295" s="1">
        <v>1.90425</v>
      </c>
      <c r="Q295" s="1">
        <v>1.7767500000000001</v>
      </c>
      <c r="R295" s="1">
        <v>0.54185284870158312</v>
      </c>
      <c r="S295" s="1">
        <v>8.8578687578006854E-2</v>
      </c>
      <c r="T295" s="1">
        <v>0.1807267152975128</v>
      </c>
      <c r="U295" s="2">
        <v>6.8579999999999997</v>
      </c>
      <c r="V295" s="2">
        <v>8.2230000000000008</v>
      </c>
      <c r="W295" s="2">
        <v>7.1589999999999998</v>
      </c>
      <c r="X295" s="1">
        <v>0.14499999999999999</v>
      </c>
      <c r="Y295" s="1">
        <v>0.14000000000000001</v>
      </c>
      <c r="Z295" s="1">
        <v>0.14499999999999999</v>
      </c>
      <c r="AA295" s="2">
        <v>89</v>
      </c>
      <c r="AB295" s="2">
        <v>71.5</v>
      </c>
      <c r="AC295" s="2">
        <v>3601</v>
      </c>
      <c r="AD295" s="2">
        <v>38.65</v>
      </c>
      <c r="AE295" s="4" t="s">
        <v>868</v>
      </c>
      <c r="AF295" s="4">
        <v>1.19</v>
      </c>
      <c r="AH295" s="21" t="s">
        <v>878</v>
      </c>
      <c r="AI295" s="21" t="s">
        <v>924</v>
      </c>
      <c r="AJ295" s="24" t="s">
        <v>946</v>
      </c>
      <c r="AK295" s="24" t="s">
        <v>1081</v>
      </c>
      <c r="AL295" s="20" t="s">
        <v>1098</v>
      </c>
    </row>
    <row r="296" spans="1:38" x14ac:dyDescent="0.25">
      <c r="A296" s="14" t="s">
        <v>743</v>
      </c>
      <c r="B296" s="14" t="s">
        <v>744</v>
      </c>
      <c r="C296" s="14" t="s">
        <v>1223</v>
      </c>
      <c r="D296" t="s">
        <v>1572</v>
      </c>
      <c r="E296" t="s">
        <v>1593</v>
      </c>
      <c r="F296" s="1">
        <v>3.9620000000000002</v>
      </c>
      <c r="G296" s="1">
        <v>3.3915000000000002</v>
      </c>
      <c r="H296" s="1">
        <v>3.5024999999999999</v>
      </c>
      <c r="I296" s="1">
        <v>3.0605000000000002</v>
      </c>
      <c r="J296" s="1">
        <v>3.7570000000000001</v>
      </c>
      <c r="K296" s="1">
        <v>2.9180000000000001</v>
      </c>
      <c r="L296" s="1">
        <v>0.43999999999999995</v>
      </c>
      <c r="M296" s="1">
        <v>0.38719999999999999</v>
      </c>
      <c r="N296" s="1">
        <v>0.42880000000000001</v>
      </c>
      <c r="O296" s="1">
        <f>(F296+G296)/2</f>
        <v>3.6767500000000002</v>
      </c>
      <c r="P296" s="1">
        <f>(H296+I296)/2</f>
        <v>3.2815000000000003</v>
      </c>
      <c r="Q296" s="1">
        <f>(J296+K296)/2</f>
        <v>3.3375000000000004</v>
      </c>
      <c r="R296" s="1">
        <f>(1-((MIN(F296:G296)/MAX(F296:G296))^2))^0.5</f>
        <v>0.51696411965447497</v>
      </c>
      <c r="S296" s="1">
        <f>(1-((MIN(H296:I296)/MAX(H296:I296))^2))^0.5</f>
        <v>0.48627751966666483</v>
      </c>
      <c r="T296" s="1">
        <f>(1-((MIN(J296:K296)/MAX(J296:K296))^2))^0.5</f>
        <v>0.62989102502708583</v>
      </c>
      <c r="U296" s="2">
        <v>14.955</v>
      </c>
      <c r="V296" s="2">
        <v>14.574999999999999</v>
      </c>
      <c r="W296" s="2">
        <v>15.779</v>
      </c>
      <c r="X296" s="1">
        <f>L296/2</f>
        <v>0.21999999999999997</v>
      </c>
      <c r="Y296" s="1">
        <f t="shared" ref="Y296" si="13">M296/2</f>
        <v>0.19359999999999999</v>
      </c>
      <c r="Z296" s="1">
        <f t="shared" ref="Z296" si="14">N296/2</f>
        <v>0.21440000000000001</v>
      </c>
      <c r="AA296" s="2">
        <v>266</v>
      </c>
      <c r="AB296" s="2">
        <v>100.4</v>
      </c>
      <c r="AC296" s="2">
        <v>62800</v>
      </c>
      <c r="AD296" s="2">
        <v>37.799999999999997</v>
      </c>
      <c r="AE296" s="4" t="s">
        <v>868</v>
      </c>
      <c r="AF296" s="4">
        <v>1.19</v>
      </c>
      <c r="AH296" s="21" t="s">
        <v>925</v>
      </c>
      <c r="AI296" s="21" t="s">
        <v>924</v>
      </c>
      <c r="AJ296" s="22" t="s">
        <v>1257</v>
      </c>
      <c r="AK296" s="24" t="s">
        <v>1054</v>
      </c>
      <c r="AL296" s="20" t="s">
        <v>1098</v>
      </c>
    </row>
    <row r="297" spans="1:38" x14ac:dyDescent="0.25">
      <c r="A297" s="14" t="s">
        <v>745</v>
      </c>
      <c r="B297" s="14" t="s">
        <v>746</v>
      </c>
      <c r="C297" s="14" t="s">
        <v>1224</v>
      </c>
      <c r="D297" t="s">
        <v>1572</v>
      </c>
      <c r="E297" t="s">
        <v>1593</v>
      </c>
      <c r="F297" s="1">
        <v>2.08</v>
      </c>
      <c r="G297" s="1">
        <v>1.88</v>
      </c>
      <c r="H297" s="1">
        <v>1.77</v>
      </c>
      <c r="I297" s="1">
        <v>1.67</v>
      </c>
      <c r="J297" s="1">
        <v>1.71</v>
      </c>
      <c r="K297" s="1">
        <v>1.67</v>
      </c>
      <c r="L297" s="1">
        <v>0.33</v>
      </c>
      <c r="M297" s="1">
        <v>0.3</v>
      </c>
      <c r="N297" s="1">
        <v>0.32</v>
      </c>
      <c r="O297" s="1">
        <v>1.98</v>
      </c>
      <c r="P297" s="1">
        <v>1.72</v>
      </c>
      <c r="Q297" s="1">
        <v>1.69</v>
      </c>
      <c r="R297" s="1">
        <v>0.42785760502474995</v>
      </c>
      <c r="S297" s="1">
        <v>0.33136448132463692</v>
      </c>
      <c r="T297" s="1">
        <v>0.21502662351871624</v>
      </c>
      <c r="U297" s="2">
        <v>7.6</v>
      </c>
      <c r="V297" s="2">
        <v>7.2</v>
      </c>
      <c r="W297" s="2">
        <v>8.1</v>
      </c>
      <c r="X297" s="1">
        <v>0.16500000000000001</v>
      </c>
      <c r="Y297" s="1">
        <v>0.15</v>
      </c>
      <c r="Z297" s="1">
        <v>0.16</v>
      </c>
      <c r="AA297" s="2">
        <v>115</v>
      </c>
      <c r="AB297" s="2">
        <v>68</v>
      </c>
      <c r="AC297" s="2">
        <v>3698</v>
      </c>
      <c r="AD297" s="2">
        <v>36.4</v>
      </c>
      <c r="AE297" s="4" t="s">
        <v>868</v>
      </c>
      <c r="AF297" s="4">
        <v>1.19</v>
      </c>
      <c r="AH297" s="21" t="s">
        <v>925</v>
      </c>
      <c r="AI297" s="21" t="s">
        <v>924</v>
      </c>
      <c r="AJ297" s="22" t="s">
        <v>1124</v>
      </c>
      <c r="AK297" s="24" t="s">
        <v>1082</v>
      </c>
      <c r="AL297" s="20" t="s">
        <v>1098</v>
      </c>
    </row>
    <row r="298" spans="1:38" x14ac:dyDescent="0.25">
      <c r="A298" s="14" t="s">
        <v>747</v>
      </c>
      <c r="B298" s="14" t="s">
        <v>748</v>
      </c>
      <c r="C298" s="14" t="s">
        <v>749</v>
      </c>
      <c r="D298" t="s">
        <v>1572</v>
      </c>
      <c r="E298" t="s">
        <v>1593</v>
      </c>
      <c r="F298" s="1">
        <v>3.5</v>
      </c>
      <c r="G298" s="1">
        <v>2.76</v>
      </c>
      <c r="H298" s="1">
        <v>3.14</v>
      </c>
      <c r="I298" s="1">
        <v>2.61</v>
      </c>
      <c r="J298" s="1">
        <v>3.31</v>
      </c>
      <c r="K298" s="1">
        <v>2.93</v>
      </c>
      <c r="L298" s="1">
        <v>0.38</v>
      </c>
      <c r="M298" s="1">
        <v>0.41</v>
      </c>
      <c r="N298" s="1">
        <v>0.48</v>
      </c>
      <c r="O298" s="1">
        <v>3.13</v>
      </c>
      <c r="P298" s="1">
        <v>2.875</v>
      </c>
      <c r="Q298" s="1">
        <v>3.12</v>
      </c>
      <c r="R298" s="1">
        <v>0.61494316976515517</v>
      </c>
      <c r="S298" s="1">
        <v>0.55595828821962079</v>
      </c>
      <c r="T298" s="1">
        <v>0.46521756023976196</v>
      </c>
      <c r="U298" s="2">
        <v>10.7</v>
      </c>
      <c r="V298" s="2">
        <v>11.8</v>
      </c>
      <c r="W298" s="2">
        <v>16.2</v>
      </c>
      <c r="X298" s="1">
        <v>0.19</v>
      </c>
      <c r="Y298" s="1">
        <v>0.20499999999999999</v>
      </c>
      <c r="Z298" s="1">
        <v>0.24</v>
      </c>
      <c r="AA298" s="2">
        <v>332</v>
      </c>
      <c r="AB298" s="2">
        <v>241.3</v>
      </c>
      <c r="AC298" s="2">
        <v>735000</v>
      </c>
      <c r="AD298" s="2">
        <v>36.4</v>
      </c>
      <c r="AE298" s="4" t="s">
        <v>868</v>
      </c>
      <c r="AF298" s="4">
        <v>1.19</v>
      </c>
      <c r="AH298" s="21" t="s">
        <v>875</v>
      </c>
      <c r="AI298" s="21" t="s">
        <v>924</v>
      </c>
      <c r="AJ298" s="22" t="s">
        <v>955</v>
      </c>
      <c r="AK298" s="24" t="s">
        <v>1083</v>
      </c>
      <c r="AL298" s="20" t="s">
        <v>1098</v>
      </c>
    </row>
    <row r="299" spans="1:38" x14ac:dyDescent="0.25">
      <c r="A299" s="14" t="s">
        <v>750</v>
      </c>
      <c r="B299" s="14" t="s">
        <v>63</v>
      </c>
      <c r="C299" s="14" t="s">
        <v>751</v>
      </c>
      <c r="D299" t="s">
        <v>1572</v>
      </c>
      <c r="E299" t="s">
        <v>1593</v>
      </c>
      <c r="F299" s="1">
        <v>5.7</v>
      </c>
      <c r="G299" s="1">
        <v>4.0999999999999996</v>
      </c>
      <c r="H299" s="1">
        <v>4.76</v>
      </c>
      <c r="I299" s="1">
        <v>3.16</v>
      </c>
      <c r="J299" s="1">
        <v>4.3499999999999996</v>
      </c>
      <c r="K299" s="1">
        <v>3.31</v>
      </c>
      <c r="L299" s="1">
        <v>0.91</v>
      </c>
      <c r="M299" s="1">
        <v>0.92</v>
      </c>
      <c r="N299" s="1">
        <v>0.89</v>
      </c>
      <c r="O299" s="1">
        <v>4.9000000000000004</v>
      </c>
      <c r="P299" s="1">
        <v>3.96</v>
      </c>
      <c r="Q299" s="1">
        <v>3.83</v>
      </c>
      <c r="R299" s="1">
        <v>0.69470139906046791</v>
      </c>
      <c r="S299" s="1">
        <v>0.74785194827855417</v>
      </c>
      <c r="T299" s="1">
        <v>0.64884624780940225</v>
      </c>
      <c r="U299" s="2">
        <v>17.7</v>
      </c>
      <c r="V299" s="2">
        <v>15.1</v>
      </c>
      <c r="W299" s="2">
        <v>16.8</v>
      </c>
      <c r="X299" s="1">
        <v>0.45500000000000002</v>
      </c>
      <c r="Y299" s="1">
        <v>0.46</v>
      </c>
      <c r="Z299" s="1">
        <v>0.44500000000000001</v>
      </c>
      <c r="AA299" s="2">
        <v>215</v>
      </c>
      <c r="AB299" s="2">
        <v>164.2</v>
      </c>
      <c r="AC299" s="2">
        <v>104000</v>
      </c>
      <c r="AD299" s="2">
        <v>37.799999999999997</v>
      </c>
      <c r="AE299" s="4" t="s">
        <v>868</v>
      </c>
      <c r="AF299" s="4">
        <v>1.19</v>
      </c>
      <c r="AH299" s="21" t="s">
        <v>925</v>
      </c>
      <c r="AI299" s="21" t="s">
        <v>924</v>
      </c>
      <c r="AJ299" s="26" t="s">
        <v>956</v>
      </c>
      <c r="AK299" s="24" t="s">
        <v>1084</v>
      </c>
      <c r="AL299" s="20" t="s">
        <v>1098</v>
      </c>
    </row>
    <row r="300" spans="1:38" x14ac:dyDescent="0.25">
      <c r="A300" s="14" t="s">
        <v>752</v>
      </c>
      <c r="B300" s="14" t="s">
        <v>753</v>
      </c>
      <c r="C300" s="14" t="s">
        <v>1226</v>
      </c>
      <c r="D300" t="s">
        <v>1572</v>
      </c>
      <c r="E300" t="s">
        <v>1593</v>
      </c>
      <c r="F300" s="1">
        <v>5.1665000000000001</v>
      </c>
      <c r="G300" s="1">
        <v>4.1379999999999999</v>
      </c>
      <c r="H300" s="1">
        <v>4.5709999999999997</v>
      </c>
      <c r="I300" s="1">
        <v>4.0294999999999996</v>
      </c>
      <c r="J300" s="1">
        <v>4.9390000000000001</v>
      </c>
      <c r="K300" s="1">
        <v>3.4529999999999998</v>
      </c>
      <c r="L300" s="1">
        <v>0.45500000000000002</v>
      </c>
      <c r="M300" s="1">
        <v>0.44</v>
      </c>
      <c r="N300" s="1">
        <v>0.45400000000000001</v>
      </c>
      <c r="O300" s="1">
        <v>4.6522500000000004</v>
      </c>
      <c r="P300" s="1">
        <v>4.3002500000000001</v>
      </c>
      <c r="Q300" s="1">
        <v>4.1959999999999997</v>
      </c>
      <c r="R300" s="1">
        <v>0.59875924817815951</v>
      </c>
      <c r="S300" s="1">
        <v>0.47211723968921504</v>
      </c>
      <c r="T300" s="1">
        <v>0.71499518336468648</v>
      </c>
      <c r="U300" s="2">
        <v>17.678999999999998</v>
      </c>
      <c r="V300" s="2">
        <v>19.106999999999999</v>
      </c>
      <c r="W300" s="2">
        <v>19.452000000000002</v>
      </c>
      <c r="X300" s="1">
        <v>0.22750000000000001</v>
      </c>
      <c r="Y300" s="1">
        <v>0.22</v>
      </c>
      <c r="Z300" s="1">
        <v>0.22700000000000001</v>
      </c>
      <c r="AA300" s="2">
        <v>525</v>
      </c>
      <c r="AB300" s="2">
        <v>235.2</v>
      </c>
      <c r="AC300" s="2">
        <v>250000</v>
      </c>
      <c r="AD300" s="2">
        <v>38.299999999999997</v>
      </c>
      <c r="AE300" s="4" t="s">
        <v>868</v>
      </c>
      <c r="AF300" s="4">
        <v>1.19</v>
      </c>
      <c r="AH300" s="21" t="s">
        <v>879</v>
      </c>
      <c r="AI300" s="21" t="s">
        <v>924</v>
      </c>
      <c r="AJ300" s="22" t="s">
        <v>955</v>
      </c>
      <c r="AK300" s="24" t="s">
        <v>1085</v>
      </c>
      <c r="AL300" s="20" t="s">
        <v>1098</v>
      </c>
    </row>
    <row r="301" spans="1:38" x14ac:dyDescent="0.25">
      <c r="A301" s="14" t="s">
        <v>754</v>
      </c>
      <c r="B301" s="14" t="s">
        <v>755</v>
      </c>
      <c r="C301" s="14" t="s">
        <v>756</v>
      </c>
      <c r="D301" t="s">
        <v>1572</v>
      </c>
      <c r="E301" t="s">
        <v>1593</v>
      </c>
      <c r="F301" s="1">
        <v>4.4400000000000004</v>
      </c>
      <c r="G301" s="1">
        <v>4.3</v>
      </c>
      <c r="H301" s="1">
        <v>4.1399999999999997</v>
      </c>
      <c r="I301" s="1">
        <v>3.73</v>
      </c>
      <c r="J301" s="1">
        <v>3.37</v>
      </c>
      <c r="K301" s="1">
        <v>2.9</v>
      </c>
      <c r="L301" s="1">
        <v>0.53</v>
      </c>
      <c r="M301" s="1">
        <v>0.61</v>
      </c>
      <c r="N301" s="1">
        <v>0.68</v>
      </c>
      <c r="O301" s="1">
        <v>4.37</v>
      </c>
      <c r="P301" s="1">
        <v>3.9349999999999996</v>
      </c>
      <c r="Q301" s="1">
        <v>3.1349999999999998</v>
      </c>
      <c r="R301" s="1">
        <v>0.24913615872116854</v>
      </c>
      <c r="S301" s="1">
        <v>0.43388931313702211</v>
      </c>
      <c r="T301" s="1">
        <v>0.50939279573710394</v>
      </c>
      <c r="U301" s="2">
        <v>14.6</v>
      </c>
      <c r="V301" s="2">
        <v>17.2</v>
      </c>
      <c r="W301" s="2">
        <v>11.8</v>
      </c>
      <c r="X301" s="1">
        <v>0.26500000000000001</v>
      </c>
      <c r="Y301" s="1">
        <v>0.30499999999999999</v>
      </c>
      <c r="Z301" s="1">
        <v>0.34</v>
      </c>
      <c r="AA301" s="2">
        <v>640</v>
      </c>
      <c r="AB301" s="2">
        <v>317.3</v>
      </c>
      <c r="AC301" s="2">
        <v>1750000</v>
      </c>
      <c r="AD301" s="2" t="s">
        <v>40</v>
      </c>
      <c r="AE301" s="4" t="s">
        <v>868</v>
      </c>
      <c r="AF301" s="4">
        <v>1.19</v>
      </c>
      <c r="AH301" s="21" t="s">
        <v>925</v>
      </c>
      <c r="AI301" s="21" t="s">
        <v>924</v>
      </c>
      <c r="AJ301" s="24" t="s">
        <v>947</v>
      </c>
      <c r="AK301" s="23" t="s">
        <v>40</v>
      </c>
      <c r="AL301" s="20" t="s">
        <v>1098</v>
      </c>
    </row>
    <row r="302" spans="1:38" x14ac:dyDescent="0.25">
      <c r="A302" s="14" t="s">
        <v>757</v>
      </c>
      <c r="B302" s="14" t="s">
        <v>758</v>
      </c>
      <c r="C302" s="14" t="s">
        <v>759</v>
      </c>
      <c r="D302" t="s">
        <v>1572</v>
      </c>
      <c r="E302" t="s">
        <v>1593</v>
      </c>
      <c r="F302" s="1">
        <v>3.45</v>
      </c>
      <c r="G302" s="1">
        <v>3.38</v>
      </c>
      <c r="H302" s="1">
        <v>3.78</v>
      </c>
      <c r="I302" s="1">
        <v>3.12</v>
      </c>
      <c r="J302" s="1">
        <v>3.44</v>
      </c>
      <c r="K302" s="1">
        <v>3.28</v>
      </c>
      <c r="L302" s="1">
        <v>0.4</v>
      </c>
      <c r="M302" s="1">
        <v>0.4</v>
      </c>
      <c r="N302" s="1">
        <v>0.54</v>
      </c>
      <c r="O302" s="1">
        <v>3.415</v>
      </c>
      <c r="P302" s="1">
        <v>3.45</v>
      </c>
      <c r="Q302" s="1">
        <v>3.36</v>
      </c>
      <c r="R302" s="1">
        <v>0.20041963957173983</v>
      </c>
      <c r="S302" s="1">
        <v>0.56455299186599173</v>
      </c>
      <c r="T302" s="1">
        <v>0.30142979992594732</v>
      </c>
      <c r="U302" s="2">
        <v>12</v>
      </c>
      <c r="V302" s="2">
        <v>14.1</v>
      </c>
      <c r="W302" s="2">
        <v>14.1</v>
      </c>
      <c r="X302" s="1">
        <v>0.2</v>
      </c>
      <c r="Y302" s="1">
        <v>0.2</v>
      </c>
      <c r="Z302" s="1">
        <v>0.27</v>
      </c>
      <c r="AA302" s="2">
        <v>360</v>
      </c>
      <c r="AB302" s="2">
        <v>212.4</v>
      </c>
      <c r="AC302" s="2">
        <v>169496</v>
      </c>
      <c r="AD302" s="2">
        <v>37</v>
      </c>
      <c r="AE302" s="4" t="s">
        <v>868</v>
      </c>
      <c r="AF302" s="4">
        <v>1.19</v>
      </c>
      <c r="AH302" s="21" t="s">
        <v>925</v>
      </c>
      <c r="AI302" s="21" t="s">
        <v>924</v>
      </c>
      <c r="AJ302" s="24" t="s">
        <v>947</v>
      </c>
      <c r="AK302" s="24" t="s">
        <v>1086</v>
      </c>
      <c r="AL302" s="20" t="s">
        <v>1098</v>
      </c>
    </row>
    <row r="303" spans="1:38" x14ac:dyDescent="0.25">
      <c r="A303" s="14" t="s">
        <v>760</v>
      </c>
      <c r="B303" s="14" t="s">
        <v>761</v>
      </c>
      <c r="C303" s="14" t="s">
        <v>762</v>
      </c>
      <c r="D303" t="s">
        <v>1572</v>
      </c>
      <c r="E303" t="s">
        <v>1593</v>
      </c>
      <c r="F303" s="1">
        <v>4.29</v>
      </c>
      <c r="G303" s="1">
        <v>3.54</v>
      </c>
      <c r="H303" s="1">
        <v>3.99</v>
      </c>
      <c r="I303" s="1">
        <v>3.11</v>
      </c>
      <c r="J303" s="1">
        <v>3.53</v>
      </c>
      <c r="K303" s="1">
        <v>3.23</v>
      </c>
      <c r="L303" s="1">
        <v>0.45</v>
      </c>
      <c r="M303" s="1">
        <v>0.42</v>
      </c>
      <c r="N303" s="1">
        <v>0.41</v>
      </c>
      <c r="O303" s="1">
        <v>3.915</v>
      </c>
      <c r="P303" s="1">
        <v>3.55</v>
      </c>
      <c r="Q303" s="1">
        <v>3.38</v>
      </c>
      <c r="R303" s="1">
        <v>0.56487742732180113</v>
      </c>
      <c r="S303" s="1">
        <v>0.62646615739220035</v>
      </c>
      <c r="T303" s="1">
        <v>0.40342171374318175</v>
      </c>
      <c r="U303" s="2">
        <v>14</v>
      </c>
      <c r="V303" s="2">
        <v>14</v>
      </c>
      <c r="W303" s="2">
        <v>14.4</v>
      </c>
      <c r="X303" s="1">
        <v>0.22500000000000001</v>
      </c>
      <c r="Y303" s="1">
        <v>0.21</v>
      </c>
      <c r="Z303" s="1">
        <v>0.20499999999999999</v>
      </c>
      <c r="AA303" s="2">
        <v>265</v>
      </c>
      <c r="AB303" s="2">
        <v>132.19999999999999</v>
      </c>
      <c r="AC303" s="2">
        <v>120000</v>
      </c>
      <c r="AD303" s="2">
        <v>38</v>
      </c>
      <c r="AE303" s="4" t="s">
        <v>868</v>
      </c>
      <c r="AF303" s="4">
        <v>1.19</v>
      </c>
      <c r="AH303" s="21" t="s">
        <v>925</v>
      </c>
      <c r="AI303" s="21" t="s">
        <v>924</v>
      </c>
      <c r="AJ303" s="26" t="s">
        <v>956</v>
      </c>
      <c r="AK303" s="24" t="s">
        <v>1087</v>
      </c>
      <c r="AL303" s="20" t="s">
        <v>1098</v>
      </c>
    </row>
    <row r="304" spans="1:38" x14ac:dyDescent="0.25">
      <c r="A304" s="14" t="s">
        <v>763</v>
      </c>
      <c r="B304" s="14" t="s">
        <v>764</v>
      </c>
      <c r="C304" s="14" t="s">
        <v>1227</v>
      </c>
      <c r="D304" t="s">
        <v>1572</v>
      </c>
      <c r="E304" t="s">
        <v>1593</v>
      </c>
      <c r="F304" s="1">
        <v>3.4205000000000001</v>
      </c>
      <c r="G304" s="1">
        <v>2.9685000000000001</v>
      </c>
      <c r="H304" s="1">
        <v>3.7694999999999999</v>
      </c>
      <c r="I304" s="1">
        <v>2.5185</v>
      </c>
      <c r="J304" s="1">
        <v>3.3010000000000002</v>
      </c>
      <c r="K304" s="1">
        <v>2.5030000000000001</v>
      </c>
      <c r="L304" s="1">
        <v>0.41</v>
      </c>
      <c r="M304" s="1">
        <v>0.4</v>
      </c>
      <c r="N304" s="1">
        <v>0.4</v>
      </c>
      <c r="O304" s="1">
        <v>3.1945000000000001</v>
      </c>
      <c r="P304" s="1">
        <v>3.1440000000000001</v>
      </c>
      <c r="Q304" s="1">
        <v>2.9020000000000001</v>
      </c>
      <c r="R304" s="1">
        <v>0.49681656377645789</v>
      </c>
      <c r="S304" s="1">
        <v>0.7440483770369769</v>
      </c>
      <c r="T304" s="1">
        <v>0.65195800663825232</v>
      </c>
      <c r="U304" s="2">
        <v>12.66</v>
      </c>
      <c r="V304" s="2">
        <v>14.153</v>
      </c>
      <c r="W304" s="2">
        <v>13.670999999999999</v>
      </c>
      <c r="X304" s="1">
        <v>0.20499999999999999</v>
      </c>
      <c r="Y304" s="1">
        <v>0.2</v>
      </c>
      <c r="Z304" s="1">
        <v>0.2</v>
      </c>
      <c r="AA304" s="2">
        <v>238</v>
      </c>
      <c r="AB304" s="2">
        <v>120.3</v>
      </c>
      <c r="AC304" s="2">
        <v>54325</v>
      </c>
      <c r="AD304" s="2">
        <v>37.700000000000003</v>
      </c>
      <c r="AE304" s="4" t="s">
        <v>868</v>
      </c>
      <c r="AF304" s="4">
        <v>1.19</v>
      </c>
      <c r="AH304" s="21" t="s">
        <v>934</v>
      </c>
      <c r="AI304" s="21" t="s">
        <v>924</v>
      </c>
      <c r="AJ304" s="24" t="s">
        <v>951</v>
      </c>
      <c r="AK304" s="24" t="s">
        <v>1088</v>
      </c>
      <c r="AL304" s="20" t="s">
        <v>1098</v>
      </c>
    </row>
    <row r="305" spans="1:38" x14ac:dyDescent="0.25">
      <c r="A305" s="14" t="s">
        <v>765</v>
      </c>
      <c r="B305" s="14" t="s">
        <v>766</v>
      </c>
      <c r="C305" s="14" t="s">
        <v>767</v>
      </c>
      <c r="D305" t="s">
        <v>1572</v>
      </c>
      <c r="E305" t="s">
        <v>1593</v>
      </c>
      <c r="F305" s="1">
        <v>3.22</v>
      </c>
      <c r="G305" s="1">
        <v>3.01</v>
      </c>
      <c r="H305" s="1">
        <v>2.9</v>
      </c>
      <c r="I305" s="1">
        <v>2.29</v>
      </c>
      <c r="J305" s="1">
        <v>2.5499999999999998</v>
      </c>
      <c r="K305" s="1">
        <v>2.0699999999999998</v>
      </c>
      <c r="L305" s="1">
        <v>0.52</v>
      </c>
      <c r="M305" s="1">
        <v>0.54</v>
      </c>
      <c r="N305" s="1">
        <v>0.44</v>
      </c>
      <c r="O305" s="1">
        <v>3.1150000000000002</v>
      </c>
      <c r="P305" s="1">
        <v>2.5949999999999998</v>
      </c>
      <c r="Q305" s="1">
        <v>2.3099999999999996</v>
      </c>
      <c r="R305" s="1">
        <v>0.35522031822539568</v>
      </c>
      <c r="S305" s="1">
        <v>0.61355090145817781</v>
      </c>
      <c r="T305" s="1">
        <v>0.58398464216427559</v>
      </c>
      <c r="U305" s="2">
        <v>12</v>
      </c>
      <c r="V305" s="2">
        <v>9.8000000000000007</v>
      </c>
      <c r="W305" s="2">
        <v>9.3000000000000007</v>
      </c>
      <c r="X305" s="1">
        <v>0.26</v>
      </c>
      <c r="Y305" s="1">
        <v>0.27</v>
      </c>
      <c r="Z305" s="1">
        <v>0.22</v>
      </c>
      <c r="AA305" s="2">
        <v>140</v>
      </c>
      <c r="AB305" s="2">
        <v>64.599999999999994</v>
      </c>
      <c r="AC305" s="46">
        <v>10067.280000000001</v>
      </c>
      <c r="AD305" s="2" t="s">
        <v>40</v>
      </c>
      <c r="AE305" s="4" t="s">
        <v>867</v>
      </c>
      <c r="AF305" s="4">
        <v>1.19</v>
      </c>
      <c r="AH305" s="21" t="s">
        <v>925</v>
      </c>
      <c r="AI305" s="21" t="s">
        <v>1108</v>
      </c>
      <c r="AJ305" s="22" t="s">
        <v>953</v>
      </c>
      <c r="AK305" s="23" t="s">
        <v>40</v>
      </c>
      <c r="AL305" s="20" t="s">
        <v>1098</v>
      </c>
    </row>
    <row r="306" spans="1:38" x14ac:dyDescent="0.25">
      <c r="A306" s="14" t="s">
        <v>768</v>
      </c>
      <c r="B306" s="14" t="s">
        <v>769</v>
      </c>
      <c r="C306" s="14" t="s">
        <v>770</v>
      </c>
      <c r="D306" t="s">
        <v>1572</v>
      </c>
      <c r="E306" t="s">
        <v>1593</v>
      </c>
      <c r="F306" s="1">
        <v>2.54</v>
      </c>
      <c r="G306" s="1">
        <v>2.11</v>
      </c>
      <c r="H306" s="1">
        <v>2.7</v>
      </c>
      <c r="I306" s="1">
        <v>2.15</v>
      </c>
      <c r="J306" s="1">
        <v>2.0499999999999998</v>
      </c>
      <c r="K306" s="1">
        <v>1.99</v>
      </c>
      <c r="L306" s="1">
        <v>0.34</v>
      </c>
      <c r="M306" s="1">
        <v>0.33</v>
      </c>
      <c r="N306" s="1">
        <v>0.39</v>
      </c>
      <c r="O306" s="1">
        <v>2.3250000000000002</v>
      </c>
      <c r="P306" s="1">
        <v>2.4249999999999998</v>
      </c>
      <c r="Q306" s="1">
        <v>2.02</v>
      </c>
      <c r="R306" s="1">
        <v>0.55670739158577709</v>
      </c>
      <c r="S306" s="1">
        <v>0.60490677670596593</v>
      </c>
      <c r="T306" s="1">
        <v>0.24016650975787618</v>
      </c>
      <c r="U306" s="2">
        <v>8.9</v>
      </c>
      <c r="V306" s="2">
        <v>9.6999999999999993</v>
      </c>
      <c r="W306" s="2">
        <v>8.9</v>
      </c>
      <c r="X306" s="1">
        <v>0.17</v>
      </c>
      <c r="Y306" s="1">
        <v>0.16500000000000001</v>
      </c>
      <c r="Z306" s="1">
        <v>0.19500000000000001</v>
      </c>
      <c r="AA306" s="2">
        <v>190</v>
      </c>
      <c r="AB306" s="2">
        <v>81</v>
      </c>
      <c r="AC306" s="2">
        <v>31798</v>
      </c>
      <c r="AD306" s="2">
        <v>38.5</v>
      </c>
      <c r="AE306" s="4" t="s">
        <v>868</v>
      </c>
      <c r="AF306" s="4">
        <v>1.19</v>
      </c>
      <c r="AH306" s="21" t="s">
        <v>925</v>
      </c>
      <c r="AI306" s="21" t="s">
        <v>924</v>
      </c>
      <c r="AJ306" s="24" t="s">
        <v>947</v>
      </c>
      <c r="AK306" s="24" t="s">
        <v>1089</v>
      </c>
      <c r="AL306" s="20" t="s">
        <v>1098</v>
      </c>
    </row>
    <row r="307" spans="1:38" x14ac:dyDescent="0.25">
      <c r="A307" s="14" t="s">
        <v>771</v>
      </c>
      <c r="B307" s="14" t="s">
        <v>772</v>
      </c>
      <c r="C307" s="14" t="s">
        <v>773</v>
      </c>
      <c r="D307" t="s">
        <v>1572</v>
      </c>
      <c r="E307" t="s">
        <v>1593</v>
      </c>
      <c r="F307" s="1">
        <v>3.16</v>
      </c>
      <c r="G307" s="1">
        <v>2.97</v>
      </c>
      <c r="H307" s="1">
        <v>2.99</v>
      </c>
      <c r="I307" s="1">
        <v>2.4</v>
      </c>
      <c r="J307" s="1">
        <v>2.5099999999999998</v>
      </c>
      <c r="K307" s="1">
        <v>2.14</v>
      </c>
      <c r="L307" s="1">
        <v>0.42</v>
      </c>
      <c r="M307" s="1">
        <v>0.39</v>
      </c>
      <c r="N307" s="1">
        <v>0.45</v>
      </c>
      <c r="O307" s="1">
        <v>3.0650000000000004</v>
      </c>
      <c r="P307" s="1">
        <v>2.6950000000000003</v>
      </c>
      <c r="Q307" s="1">
        <v>2.3250000000000002</v>
      </c>
      <c r="R307" s="1">
        <v>0.34152299872844744</v>
      </c>
      <c r="S307" s="1">
        <v>0.59641588240802001</v>
      </c>
      <c r="T307" s="1">
        <v>0.52258100168203081</v>
      </c>
      <c r="U307" s="2">
        <v>9.9</v>
      </c>
      <c r="V307" s="2">
        <v>10</v>
      </c>
      <c r="W307" s="2">
        <v>8.3000000000000007</v>
      </c>
      <c r="X307" s="1">
        <v>0.21</v>
      </c>
      <c r="Y307" s="1">
        <v>0.19500000000000001</v>
      </c>
      <c r="Z307" s="1">
        <v>0.22500000000000001</v>
      </c>
      <c r="AA307" s="2">
        <v>265</v>
      </c>
      <c r="AB307" s="2">
        <v>113</v>
      </c>
      <c r="AC307" s="2">
        <v>100000</v>
      </c>
      <c r="AD307" s="2">
        <v>37.65</v>
      </c>
      <c r="AE307" s="4" t="s">
        <v>868</v>
      </c>
      <c r="AF307" s="4">
        <v>1.19</v>
      </c>
      <c r="AH307" s="21" t="s">
        <v>925</v>
      </c>
      <c r="AI307" s="21" t="s">
        <v>924</v>
      </c>
      <c r="AJ307" s="26" t="s">
        <v>956</v>
      </c>
      <c r="AK307" s="19" t="s">
        <v>1090</v>
      </c>
      <c r="AL307" s="20" t="s">
        <v>1098</v>
      </c>
    </row>
    <row r="308" spans="1:38" x14ac:dyDescent="0.25">
      <c r="A308" s="14" t="s">
        <v>774</v>
      </c>
      <c r="B308" s="14" t="s">
        <v>775</v>
      </c>
      <c r="C308" s="14" t="s">
        <v>1229</v>
      </c>
      <c r="D308" t="s">
        <v>1572</v>
      </c>
      <c r="E308" t="s">
        <v>1593</v>
      </c>
      <c r="F308" s="1">
        <v>3.1915</v>
      </c>
      <c r="G308" s="1">
        <v>2.7745000000000002</v>
      </c>
      <c r="H308" s="1">
        <v>3.2094999999999998</v>
      </c>
      <c r="I308" s="1">
        <v>2.3330000000000002</v>
      </c>
      <c r="J308" s="1">
        <v>2.8214999999999999</v>
      </c>
      <c r="K308" s="1">
        <v>2.6004999999999998</v>
      </c>
      <c r="L308" s="1">
        <v>0.44939999999999997</v>
      </c>
      <c r="M308" s="1">
        <v>0.41</v>
      </c>
      <c r="N308" s="1">
        <v>0.4178</v>
      </c>
      <c r="O308" s="1">
        <v>3.6767500000000002</v>
      </c>
      <c r="P308" s="1">
        <v>3.2815000000000003</v>
      </c>
      <c r="Q308" s="1">
        <v>3.3375000000000004</v>
      </c>
      <c r="R308" s="1">
        <v>0.51696411965447497</v>
      </c>
      <c r="S308" s="1">
        <v>0.48627751966666483</v>
      </c>
      <c r="T308" s="1">
        <v>0.62989102502708583</v>
      </c>
      <c r="U308" s="2">
        <v>11.738</v>
      </c>
      <c r="V308" s="2">
        <v>11.821</v>
      </c>
      <c r="W308" s="2">
        <v>11.641999999999999</v>
      </c>
      <c r="X308" s="1">
        <f>L308/2</f>
        <v>0.22469999999999998</v>
      </c>
      <c r="Y308" s="1">
        <f t="shared" ref="Y308" si="15">M308/2</f>
        <v>0.20499999999999999</v>
      </c>
      <c r="Z308" s="1">
        <f t="shared" ref="Z308" si="16">N308/2</f>
        <v>0.2089</v>
      </c>
      <c r="AA308" s="2">
        <v>310</v>
      </c>
      <c r="AB308" s="2">
        <v>110.4</v>
      </c>
      <c r="AC308" s="2">
        <v>55000</v>
      </c>
      <c r="AD308" s="2">
        <v>38.4</v>
      </c>
      <c r="AE308" s="4" t="s">
        <v>868</v>
      </c>
      <c r="AF308" s="4">
        <v>1.19</v>
      </c>
      <c r="AH308" s="21" t="s">
        <v>1258</v>
      </c>
      <c r="AI308" s="21" t="s">
        <v>924</v>
      </c>
      <c r="AJ308" s="24" t="s">
        <v>946</v>
      </c>
      <c r="AK308" s="24" t="s">
        <v>1054</v>
      </c>
      <c r="AL308" s="20" t="s">
        <v>1098</v>
      </c>
    </row>
    <row r="309" spans="1:38" x14ac:dyDescent="0.25">
      <c r="A309" s="14" t="s">
        <v>776</v>
      </c>
      <c r="B309" s="14" t="s">
        <v>777</v>
      </c>
      <c r="C309" s="14" t="s">
        <v>778</v>
      </c>
      <c r="D309" t="s">
        <v>1572</v>
      </c>
      <c r="E309" t="s">
        <v>1593</v>
      </c>
      <c r="F309" s="1">
        <v>3.49</v>
      </c>
      <c r="G309" s="1">
        <v>3.11</v>
      </c>
      <c r="H309" s="1">
        <v>3.33</v>
      </c>
      <c r="I309" s="1">
        <v>2.75</v>
      </c>
      <c r="J309" s="1">
        <v>2.96</v>
      </c>
      <c r="K309" s="1">
        <v>2.82</v>
      </c>
      <c r="L309" s="1">
        <v>0.4</v>
      </c>
      <c r="M309" s="1">
        <v>0.41</v>
      </c>
      <c r="N309" s="1">
        <v>0.43</v>
      </c>
      <c r="O309" s="1">
        <v>3.3</v>
      </c>
      <c r="P309" s="1">
        <v>3.04</v>
      </c>
      <c r="Q309" s="1">
        <v>2.8899999999999997</v>
      </c>
      <c r="R309" s="1">
        <v>0.45377267380697223</v>
      </c>
      <c r="S309" s="1">
        <v>0.56392526579245672</v>
      </c>
      <c r="T309" s="1">
        <v>0.30390386681147352</v>
      </c>
      <c r="U309" s="2">
        <v>11.1</v>
      </c>
      <c r="V309" s="2">
        <v>12</v>
      </c>
      <c r="W309" s="2">
        <v>11.1</v>
      </c>
      <c r="X309" s="1">
        <v>0.2</v>
      </c>
      <c r="Y309" s="1">
        <v>0.20499999999999999</v>
      </c>
      <c r="Z309" s="1">
        <v>0.215</v>
      </c>
      <c r="AA309" s="2">
        <v>371.5</v>
      </c>
      <c r="AB309" s="2">
        <v>99.1</v>
      </c>
      <c r="AC309" s="2">
        <v>198130</v>
      </c>
      <c r="AD309" s="2" t="s">
        <v>40</v>
      </c>
      <c r="AE309" s="4" t="s">
        <v>868</v>
      </c>
      <c r="AF309" s="4">
        <v>1.19</v>
      </c>
      <c r="AH309" s="21" t="s">
        <v>925</v>
      </c>
      <c r="AI309" s="21" t="s">
        <v>924</v>
      </c>
      <c r="AJ309" s="24" t="s">
        <v>947</v>
      </c>
      <c r="AK309" s="23" t="s">
        <v>40</v>
      </c>
      <c r="AL309" s="20" t="s">
        <v>1098</v>
      </c>
    </row>
    <row r="310" spans="1:38" x14ac:dyDescent="0.25">
      <c r="A310" s="14" t="s">
        <v>779</v>
      </c>
      <c r="B310" s="14" t="s">
        <v>780</v>
      </c>
      <c r="C310" s="14" t="s">
        <v>781</v>
      </c>
      <c r="D310" t="s">
        <v>1572</v>
      </c>
      <c r="E310" t="s">
        <v>1593</v>
      </c>
      <c r="F310" s="1">
        <v>2.89</v>
      </c>
      <c r="G310" s="1">
        <v>2.4049999999999998</v>
      </c>
      <c r="H310" s="1">
        <v>2.9449999999999998</v>
      </c>
      <c r="I310" s="1">
        <v>2.165</v>
      </c>
      <c r="J310" s="1">
        <v>2.48</v>
      </c>
      <c r="K310" s="1">
        <v>2.1150000000000002</v>
      </c>
      <c r="L310" s="1">
        <v>0.37</v>
      </c>
      <c r="M310" s="1">
        <v>0.37</v>
      </c>
      <c r="N310" s="1">
        <v>0.37</v>
      </c>
      <c r="O310" s="1">
        <v>2.6475</v>
      </c>
      <c r="P310" s="1">
        <v>2.5549999999999997</v>
      </c>
      <c r="Q310" s="1">
        <v>2.2975000000000003</v>
      </c>
      <c r="R310" s="1">
        <v>0.55450569228874313</v>
      </c>
      <c r="S310" s="1">
        <v>0.67791064304590887</v>
      </c>
      <c r="T310" s="1">
        <v>0.5222007716786019</v>
      </c>
      <c r="U310" s="2">
        <v>9.3299999999999983</v>
      </c>
      <c r="V310" s="2">
        <v>10.120000000000001</v>
      </c>
      <c r="W310" s="2">
        <v>10.110000000000001</v>
      </c>
      <c r="X310" s="1">
        <v>0.185</v>
      </c>
      <c r="Y310" s="1">
        <v>0.185</v>
      </c>
      <c r="Z310" s="1">
        <v>0.185</v>
      </c>
      <c r="AA310" s="2">
        <v>387</v>
      </c>
      <c r="AB310" s="2">
        <v>122.1</v>
      </c>
      <c r="AC310" s="2">
        <v>69063</v>
      </c>
      <c r="AD310" s="2">
        <v>38.299999999999997</v>
      </c>
      <c r="AE310" s="4" t="s">
        <v>868</v>
      </c>
      <c r="AF310" s="4">
        <v>1.19</v>
      </c>
      <c r="AH310" s="21" t="s">
        <v>925</v>
      </c>
      <c r="AI310" s="21" t="s">
        <v>924</v>
      </c>
      <c r="AJ310" s="26" t="s">
        <v>956</v>
      </c>
      <c r="AK310" s="24" t="s">
        <v>1092</v>
      </c>
      <c r="AL310" s="20" t="s">
        <v>1098</v>
      </c>
    </row>
    <row r="311" spans="1:38" x14ac:dyDescent="0.25">
      <c r="A311" s="14" t="s">
        <v>782</v>
      </c>
      <c r="B311" s="14" t="s">
        <v>783</v>
      </c>
      <c r="C311" s="14" t="s">
        <v>784</v>
      </c>
      <c r="D311" t="s">
        <v>1572</v>
      </c>
      <c r="E311" t="s">
        <v>1593</v>
      </c>
      <c r="F311" s="1">
        <v>2.93</v>
      </c>
      <c r="G311" s="1">
        <v>2.4</v>
      </c>
      <c r="H311" s="1">
        <v>2.9950000000000001</v>
      </c>
      <c r="I311" s="1">
        <v>2.04</v>
      </c>
      <c r="J311" s="1">
        <v>2.395</v>
      </c>
      <c r="K311" s="1">
        <v>2.3849999999999998</v>
      </c>
      <c r="L311" s="1">
        <v>0.35</v>
      </c>
      <c r="M311" s="1">
        <v>0.28999999999999998</v>
      </c>
      <c r="N311" s="1">
        <v>0.31</v>
      </c>
      <c r="O311" s="1">
        <v>2.665</v>
      </c>
      <c r="P311" s="1">
        <v>2.5175000000000001</v>
      </c>
      <c r="Q311" s="1">
        <v>2.3899999999999997</v>
      </c>
      <c r="R311" s="1">
        <v>0.57363272454881664</v>
      </c>
      <c r="S311" s="1">
        <v>0.73215763654591159</v>
      </c>
      <c r="T311" s="1">
        <v>9.1286893983614337E-2</v>
      </c>
      <c r="U311" s="2">
        <v>9.02</v>
      </c>
      <c r="V311" s="2">
        <v>10.42</v>
      </c>
      <c r="W311" s="2">
        <v>9.7900000000000009</v>
      </c>
      <c r="X311" s="1">
        <v>0.17499999999999999</v>
      </c>
      <c r="Y311" s="1">
        <v>0.14499999999999999</v>
      </c>
      <c r="Z311" s="1">
        <v>0.155</v>
      </c>
      <c r="AA311" s="2">
        <v>360</v>
      </c>
      <c r="AB311" s="2">
        <v>79.5</v>
      </c>
      <c r="AC311" s="2">
        <v>71000</v>
      </c>
      <c r="AD311" s="2">
        <v>38.299999999999997</v>
      </c>
      <c r="AE311" s="4" t="s">
        <v>868</v>
      </c>
      <c r="AF311" s="4">
        <v>1.19</v>
      </c>
      <c r="AH311" s="21" t="s">
        <v>925</v>
      </c>
      <c r="AI311" s="21" t="s">
        <v>924</v>
      </c>
      <c r="AJ311" s="26" t="s">
        <v>956</v>
      </c>
      <c r="AK311" s="24" t="s">
        <v>1091</v>
      </c>
      <c r="AL311" s="20" t="s">
        <v>1098</v>
      </c>
    </row>
    <row r="312" spans="1:38" x14ac:dyDescent="0.25">
      <c r="A312" s="14" t="s">
        <v>785</v>
      </c>
      <c r="B312" s="14" t="s">
        <v>786</v>
      </c>
      <c r="C312" s="14" t="s">
        <v>787</v>
      </c>
      <c r="D312" t="s">
        <v>1572</v>
      </c>
      <c r="E312" t="s">
        <v>1593</v>
      </c>
      <c r="F312" s="1">
        <v>1.371</v>
      </c>
      <c r="G312" s="1">
        <v>1.208</v>
      </c>
      <c r="H312" s="1">
        <v>1.1619999999999999</v>
      </c>
      <c r="I312" s="1">
        <v>0.98150000000000004</v>
      </c>
      <c r="J312" s="1">
        <v>1.6695</v>
      </c>
      <c r="K312" s="1">
        <v>1.544</v>
      </c>
      <c r="L312" s="1">
        <v>0.27400000000000002</v>
      </c>
      <c r="M312" s="1">
        <v>0.27300000000000002</v>
      </c>
      <c r="N312" s="1">
        <v>0.23799999999999999</v>
      </c>
      <c r="O312" s="1">
        <v>1.2894999999999999</v>
      </c>
      <c r="P312" s="1">
        <v>1.07175</v>
      </c>
      <c r="Q312" s="1">
        <v>1.6067499999999999</v>
      </c>
      <c r="R312" s="1">
        <v>0.47291383399997533</v>
      </c>
      <c r="S312" s="1">
        <v>0.535296272224692</v>
      </c>
      <c r="T312" s="1">
        <v>0.38038605883085391</v>
      </c>
      <c r="U312" s="2">
        <v>3.64</v>
      </c>
      <c r="V312" s="2">
        <v>3.6019999999999999</v>
      </c>
      <c r="W312" s="2">
        <v>6.6669999999999998</v>
      </c>
      <c r="X312" s="1">
        <v>0.13700000000000001</v>
      </c>
      <c r="Y312" s="1">
        <v>0.13650000000000001</v>
      </c>
      <c r="Z312" s="1">
        <v>0.11899999999999999</v>
      </c>
      <c r="AA312" s="2">
        <v>543</v>
      </c>
      <c r="AB312" s="2">
        <v>292.89999999999998</v>
      </c>
      <c r="AC312" s="2">
        <v>179500</v>
      </c>
      <c r="AD312" s="2">
        <v>36.299999999999997</v>
      </c>
      <c r="AE312" s="4" t="s">
        <v>868</v>
      </c>
      <c r="AF312" s="4">
        <v>1.19</v>
      </c>
      <c r="AH312" s="21" t="s">
        <v>923</v>
      </c>
      <c r="AI312" s="21" t="s">
        <v>924</v>
      </c>
      <c r="AJ312" s="22" t="s">
        <v>955</v>
      </c>
      <c r="AK312" s="24" t="s">
        <v>1093</v>
      </c>
      <c r="AL312" s="20" t="s">
        <v>1098</v>
      </c>
    </row>
    <row r="313" spans="1:38" x14ac:dyDescent="0.25">
      <c r="A313" s="14" t="s">
        <v>788</v>
      </c>
      <c r="B313" s="14" t="s">
        <v>789</v>
      </c>
      <c r="C313" s="14" t="s">
        <v>790</v>
      </c>
      <c r="D313" t="s">
        <v>1572</v>
      </c>
      <c r="E313" t="s">
        <v>1593</v>
      </c>
      <c r="F313" s="1">
        <v>6.12</v>
      </c>
      <c r="G313" s="1">
        <v>5.26</v>
      </c>
      <c r="H313" s="1">
        <v>5.88</v>
      </c>
      <c r="I313" s="1">
        <v>4.8600000000000003</v>
      </c>
      <c r="J313" s="1">
        <v>5.44</v>
      </c>
      <c r="K313" s="1">
        <v>4.62</v>
      </c>
      <c r="L313" s="1">
        <v>0.56000000000000005</v>
      </c>
      <c r="M313" s="1">
        <v>0.62</v>
      </c>
      <c r="N313" s="1">
        <v>0.62</v>
      </c>
      <c r="O313" s="1">
        <v>5.6899999999999995</v>
      </c>
      <c r="P313" s="1">
        <v>5.37</v>
      </c>
      <c r="Q313" s="1">
        <v>5.03</v>
      </c>
      <c r="R313" s="1">
        <v>0.51117421003617625</v>
      </c>
      <c r="S313" s="1">
        <v>0.56289177203266527</v>
      </c>
      <c r="T313" s="1">
        <v>0.52796729003088871</v>
      </c>
      <c r="U313" s="2">
        <v>18.400000000000002</v>
      </c>
      <c r="V313" s="2">
        <v>18.419999999999998</v>
      </c>
      <c r="W313" s="2">
        <v>20.52</v>
      </c>
      <c r="X313" s="1">
        <v>0.28000000000000003</v>
      </c>
      <c r="Y313" s="1">
        <v>0.31</v>
      </c>
      <c r="Z313" s="1">
        <v>0.31</v>
      </c>
      <c r="AA313" s="2">
        <v>625</v>
      </c>
      <c r="AB313" s="2">
        <v>268.2</v>
      </c>
      <c r="AC313" s="2">
        <v>1140500</v>
      </c>
      <c r="AD313" s="2">
        <v>35.4</v>
      </c>
      <c r="AE313" s="4" t="s">
        <v>868</v>
      </c>
      <c r="AF313" s="4">
        <v>1.19</v>
      </c>
      <c r="AH313" s="21" t="s">
        <v>925</v>
      </c>
      <c r="AI313" s="21" t="s">
        <v>924</v>
      </c>
      <c r="AJ313" s="24" t="s">
        <v>952</v>
      </c>
      <c r="AK313" s="24" t="s">
        <v>1094</v>
      </c>
      <c r="AL313" s="20" t="s">
        <v>1098</v>
      </c>
    </row>
    <row r="314" spans="1:38" x14ac:dyDescent="0.25">
      <c r="A314" s="14" t="s">
        <v>791</v>
      </c>
      <c r="B314" s="14" t="s">
        <v>792</v>
      </c>
      <c r="C314" s="14" t="s">
        <v>793</v>
      </c>
      <c r="D314" t="s">
        <v>1572</v>
      </c>
      <c r="E314" t="s">
        <v>1593</v>
      </c>
      <c r="F314" s="1">
        <v>4.1399999999999997</v>
      </c>
      <c r="G314" s="1">
        <v>3.7</v>
      </c>
      <c r="H314" s="1">
        <v>3.84</v>
      </c>
      <c r="I314" s="1">
        <v>3.03</v>
      </c>
      <c r="J314" s="1">
        <v>3.52</v>
      </c>
      <c r="K314" s="1">
        <v>2.78</v>
      </c>
      <c r="L314" s="1">
        <v>0.62</v>
      </c>
      <c r="M314" s="1">
        <v>0.5</v>
      </c>
      <c r="N314" s="1">
        <v>0.66</v>
      </c>
      <c r="O314" s="1">
        <v>3.92</v>
      </c>
      <c r="P314" s="1">
        <v>3.4349999999999996</v>
      </c>
      <c r="Q314" s="1">
        <v>3.15</v>
      </c>
      <c r="R314" s="1">
        <v>0.44862557550701049</v>
      </c>
      <c r="S314" s="1">
        <v>0.61431292603505427</v>
      </c>
      <c r="T314" s="1">
        <v>0.61339957552658819</v>
      </c>
      <c r="U314" s="2">
        <v>12.6</v>
      </c>
      <c r="V314" s="2">
        <v>11.5</v>
      </c>
      <c r="W314" s="2">
        <v>12</v>
      </c>
      <c r="X314" s="1">
        <v>0.31</v>
      </c>
      <c r="Y314" s="1">
        <v>0.25</v>
      </c>
      <c r="Z314" s="1">
        <v>0.33</v>
      </c>
      <c r="AA314" s="2">
        <v>298</v>
      </c>
      <c r="AB314" s="2">
        <v>162.6</v>
      </c>
      <c r="AC314" s="2">
        <v>235000</v>
      </c>
      <c r="AD314" s="2">
        <v>37.35</v>
      </c>
      <c r="AE314" s="4" t="s">
        <v>868</v>
      </c>
      <c r="AF314" s="4">
        <v>1.19</v>
      </c>
      <c r="AH314" s="21" t="s">
        <v>925</v>
      </c>
      <c r="AI314" s="21" t="s">
        <v>924</v>
      </c>
      <c r="AJ314" s="24" t="s">
        <v>947</v>
      </c>
      <c r="AK314" s="24" t="s">
        <v>1095</v>
      </c>
      <c r="AL314" s="20" t="s">
        <v>1098</v>
      </c>
    </row>
    <row r="315" spans="1:38" x14ac:dyDescent="0.25">
      <c r="A315" s="14" t="s">
        <v>794</v>
      </c>
      <c r="B315" s="14" t="s">
        <v>795</v>
      </c>
      <c r="C315" s="14" t="s">
        <v>796</v>
      </c>
      <c r="D315" t="s">
        <v>1572</v>
      </c>
      <c r="E315" t="s">
        <v>1593</v>
      </c>
      <c r="F315" s="1">
        <v>2.6949999999999998</v>
      </c>
      <c r="G315" s="1">
        <v>2.3450000000000002</v>
      </c>
      <c r="H315" s="1">
        <v>2.87</v>
      </c>
      <c r="I315" s="1">
        <v>2.2549999999999999</v>
      </c>
      <c r="J315" s="1">
        <v>2.2200000000000002</v>
      </c>
      <c r="K315" s="1">
        <v>1.91</v>
      </c>
      <c r="L315" s="1">
        <v>0.28999999999999998</v>
      </c>
      <c r="M315" s="1">
        <v>0.25</v>
      </c>
      <c r="N315" s="1">
        <v>0.31</v>
      </c>
      <c r="O315" s="1">
        <v>2.52</v>
      </c>
      <c r="P315" s="1">
        <v>2.5625</v>
      </c>
      <c r="Q315" s="1">
        <v>2.0649999999999999</v>
      </c>
      <c r="R315" s="1">
        <v>0.49282249249377308</v>
      </c>
      <c r="S315" s="1">
        <v>0.61858957413174187</v>
      </c>
      <c r="T315" s="1">
        <v>0.50968622732087931</v>
      </c>
      <c r="U315" s="2">
        <v>8.870000000000001</v>
      </c>
      <c r="V315" s="2">
        <v>10.19</v>
      </c>
      <c r="W315" s="2">
        <v>9.11</v>
      </c>
      <c r="X315" s="1">
        <v>0.14499999999999999</v>
      </c>
      <c r="Y315" s="1">
        <v>0.125</v>
      </c>
      <c r="Z315" s="1">
        <v>0.155</v>
      </c>
      <c r="AA315" s="2">
        <v>160</v>
      </c>
      <c r="AB315" s="2">
        <v>86.4</v>
      </c>
      <c r="AC315" s="46">
        <v>15031.5</v>
      </c>
      <c r="AD315" s="2" t="s">
        <v>40</v>
      </c>
      <c r="AE315" s="4" t="s">
        <v>867</v>
      </c>
      <c r="AF315" s="4">
        <v>1.19</v>
      </c>
      <c r="AH315" s="21" t="s">
        <v>876</v>
      </c>
      <c r="AI315" s="21" t="s">
        <v>876</v>
      </c>
      <c r="AJ315" s="22" t="s">
        <v>953</v>
      </c>
      <c r="AK315" s="23" t="s">
        <v>40</v>
      </c>
      <c r="AL315" s="20" t="s">
        <v>1098</v>
      </c>
    </row>
    <row r="316" spans="1:38" x14ac:dyDescent="0.25">
      <c r="A316" s="14" t="s">
        <v>797</v>
      </c>
      <c r="B316" s="14" t="s">
        <v>63</v>
      </c>
      <c r="C316" s="14" t="s">
        <v>798</v>
      </c>
      <c r="D316" t="s">
        <v>1572</v>
      </c>
      <c r="E316" t="s">
        <v>1593</v>
      </c>
      <c r="F316" s="1">
        <v>2.39</v>
      </c>
      <c r="G316" s="1">
        <v>2.36</v>
      </c>
      <c r="H316" s="1">
        <v>2.3199999999999998</v>
      </c>
      <c r="I316" s="1">
        <v>2.0499999999999998</v>
      </c>
      <c r="J316" s="1">
        <v>2.14</v>
      </c>
      <c r="K316" s="1">
        <v>1.91</v>
      </c>
      <c r="L316" s="1">
        <v>0.35</v>
      </c>
      <c r="M316" s="1">
        <v>0.31</v>
      </c>
      <c r="N316" s="1">
        <v>0.34</v>
      </c>
      <c r="O316" s="1">
        <v>2.375</v>
      </c>
      <c r="P316" s="1">
        <v>2.1849999999999996</v>
      </c>
      <c r="Q316" s="1">
        <v>2.0249999999999999</v>
      </c>
      <c r="R316" s="1">
        <v>0.15794632709771506</v>
      </c>
      <c r="S316" s="1">
        <v>0.4682034566439226</v>
      </c>
      <c r="T316" s="1">
        <v>0.4510011572564136</v>
      </c>
      <c r="U316" s="2">
        <v>9.4</v>
      </c>
      <c r="V316" s="2">
        <v>8.9</v>
      </c>
      <c r="W316" s="2">
        <v>8.1</v>
      </c>
      <c r="X316" s="1">
        <v>0.17499999999999999</v>
      </c>
      <c r="Y316" s="1">
        <v>0.155</v>
      </c>
      <c r="Z316" s="1">
        <v>0.17</v>
      </c>
      <c r="AA316" s="2">
        <v>175</v>
      </c>
      <c r="AB316" s="2">
        <v>92.4</v>
      </c>
      <c r="AC316" s="46">
        <v>21390.98</v>
      </c>
      <c r="AD316" s="2" t="s">
        <v>40</v>
      </c>
      <c r="AE316" s="4" t="s">
        <v>867</v>
      </c>
      <c r="AF316" s="4">
        <v>1.19</v>
      </c>
      <c r="AH316" s="21" t="s">
        <v>925</v>
      </c>
      <c r="AI316" s="21" t="s">
        <v>924</v>
      </c>
      <c r="AJ316" s="22" t="s">
        <v>953</v>
      </c>
      <c r="AK316" s="23" t="s">
        <v>40</v>
      </c>
      <c r="AL316" s="20" t="s">
        <v>1098</v>
      </c>
    </row>
    <row r="317" spans="1:38" x14ac:dyDescent="0.25">
      <c r="A317" s="14" t="s">
        <v>799</v>
      </c>
      <c r="B317" s="14" t="s">
        <v>800</v>
      </c>
      <c r="C317" s="14" t="s">
        <v>801</v>
      </c>
      <c r="D317" t="s">
        <v>1572</v>
      </c>
      <c r="E317" t="s">
        <v>1593</v>
      </c>
      <c r="F317" s="1">
        <v>2.15</v>
      </c>
      <c r="G317" s="1">
        <v>1.96</v>
      </c>
      <c r="H317" s="1">
        <v>2.2799999999999998</v>
      </c>
      <c r="I317" s="1">
        <v>1.93</v>
      </c>
      <c r="J317" s="1">
        <v>1.88</v>
      </c>
      <c r="K317" s="1">
        <v>1.83</v>
      </c>
      <c r="L317" s="1">
        <v>0.23</v>
      </c>
      <c r="M317" s="1">
        <v>0.23</v>
      </c>
      <c r="N317" s="1">
        <v>0.28000000000000003</v>
      </c>
      <c r="O317" s="1">
        <v>2.0549999999999997</v>
      </c>
      <c r="P317" s="1">
        <v>2.105</v>
      </c>
      <c r="Q317" s="1">
        <v>1.855</v>
      </c>
      <c r="R317" s="1">
        <v>0.41101649507191385</v>
      </c>
      <c r="S317" s="1">
        <v>0.53240266791240454</v>
      </c>
      <c r="T317" s="1">
        <v>0.22909420709955339</v>
      </c>
      <c r="U317" s="2">
        <v>8.8000000000000007</v>
      </c>
      <c r="V317" s="2">
        <v>9</v>
      </c>
      <c r="W317" s="2">
        <v>8.3000000000000007</v>
      </c>
      <c r="X317" s="1">
        <v>0.115</v>
      </c>
      <c r="Y317" s="1">
        <v>0.115</v>
      </c>
      <c r="Z317" s="1">
        <v>0.14000000000000001</v>
      </c>
      <c r="AA317" s="2">
        <v>77</v>
      </c>
      <c r="AB317" s="2">
        <v>45.3</v>
      </c>
      <c r="AC317" s="2">
        <v>3131</v>
      </c>
      <c r="AD317" s="2" t="s">
        <v>40</v>
      </c>
      <c r="AE317" s="4" t="s">
        <v>868</v>
      </c>
      <c r="AF317" s="4">
        <v>1.19</v>
      </c>
      <c r="AH317" s="21" t="s">
        <v>925</v>
      </c>
      <c r="AI317" s="21" t="s">
        <v>924</v>
      </c>
      <c r="AJ317" s="24" t="s">
        <v>947</v>
      </c>
      <c r="AK317" s="23" t="s">
        <v>40</v>
      </c>
      <c r="AL317" s="20" t="s">
        <v>1098</v>
      </c>
    </row>
    <row r="318" spans="1:38" x14ac:dyDescent="0.25">
      <c r="A318" s="14" t="s">
        <v>802</v>
      </c>
      <c r="B318" s="14" t="s">
        <v>803</v>
      </c>
      <c r="C318" s="14" t="s">
        <v>804</v>
      </c>
      <c r="D318" t="s">
        <v>1572</v>
      </c>
      <c r="E318" t="s">
        <v>1593</v>
      </c>
      <c r="F318" s="1">
        <v>3.46</v>
      </c>
      <c r="G318" s="1">
        <v>3.29</v>
      </c>
      <c r="H318" s="1">
        <v>3.28</v>
      </c>
      <c r="I318" s="1">
        <v>3.12</v>
      </c>
      <c r="J318" s="1">
        <v>3.04</v>
      </c>
      <c r="K318" s="1">
        <v>2.9</v>
      </c>
      <c r="L318" s="1">
        <v>0.37</v>
      </c>
      <c r="M318" s="1">
        <v>0.42</v>
      </c>
      <c r="N318" s="1">
        <v>0.45</v>
      </c>
      <c r="O318" s="1">
        <v>3.375</v>
      </c>
      <c r="P318" s="1">
        <v>3.2</v>
      </c>
      <c r="Q318" s="1">
        <v>2.9699999999999998</v>
      </c>
      <c r="R318" s="1">
        <v>0.30959949834723333</v>
      </c>
      <c r="S318" s="1">
        <v>0.30851489367496371</v>
      </c>
      <c r="T318" s="1">
        <v>0.29997402934678974</v>
      </c>
      <c r="U318" s="2">
        <v>12.7</v>
      </c>
      <c r="V318" s="2">
        <v>13.6</v>
      </c>
      <c r="W318" s="2">
        <v>11.7</v>
      </c>
      <c r="X318" s="1">
        <v>0.185</v>
      </c>
      <c r="Y318" s="1">
        <v>0.21</v>
      </c>
      <c r="Z318" s="1">
        <v>0.22500000000000001</v>
      </c>
      <c r="AA318" s="2">
        <v>345</v>
      </c>
      <c r="AB318" s="2">
        <v>142.6</v>
      </c>
      <c r="AC318" s="2">
        <v>86000</v>
      </c>
      <c r="AD318" s="2">
        <v>39.200000000000003</v>
      </c>
      <c r="AE318" s="4" t="s">
        <v>868</v>
      </c>
      <c r="AF318" s="4">
        <v>1.19</v>
      </c>
      <c r="AH318" s="21" t="s">
        <v>925</v>
      </c>
      <c r="AI318" s="21" t="s">
        <v>924</v>
      </c>
      <c r="AJ318" s="24" t="s">
        <v>952</v>
      </c>
      <c r="AK318" s="24" t="s">
        <v>1058</v>
      </c>
      <c r="AL318" s="20" t="s">
        <v>1098</v>
      </c>
    </row>
    <row r="319" spans="1:38" x14ac:dyDescent="0.25">
      <c r="A319" s="14" t="s">
        <v>805</v>
      </c>
      <c r="B319" s="14" t="s">
        <v>806</v>
      </c>
      <c r="C319" s="14" t="s">
        <v>807</v>
      </c>
      <c r="D319" t="s">
        <v>1572</v>
      </c>
      <c r="E319" t="s">
        <v>1593</v>
      </c>
      <c r="F319" s="1">
        <v>4.7699999999999996</v>
      </c>
      <c r="G319" s="1">
        <v>3.9</v>
      </c>
      <c r="H319" s="1">
        <v>3.77</v>
      </c>
      <c r="I319" s="1">
        <v>3.54</v>
      </c>
      <c r="J319" s="1">
        <v>3.57</v>
      </c>
      <c r="K319" s="1">
        <v>2.91</v>
      </c>
      <c r="L319" s="1">
        <v>0.44</v>
      </c>
      <c r="M319" s="1">
        <v>0.46</v>
      </c>
      <c r="N319" s="1">
        <v>0.42</v>
      </c>
      <c r="O319" s="1">
        <v>4.335</v>
      </c>
      <c r="P319" s="1">
        <v>3.6550000000000002</v>
      </c>
      <c r="Q319" s="1">
        <v>3.24</v>
      </c>
      <c r="R319" s="1">
        <v>0.57577233786972681</v>
      </c>
      <c r="S319" s="1">
        <v>0.34393886700074983</v>
      </c>
      <c r="T319" s="1">
        <v>0.57928362822232204</v>
      </c>
      <c r="U319" s="2">
        <v>16.619999999999997</v>
      </c>
      <c r="V319" s="2">
        <v>15.54</v>
      </c>
      <c r="W319" s="2">
        <v>14.26</v>
      </c>
      <c r="X319" s="1">
        <v>0.22</v>
      </c>
      <c r="Y319" s="1">
        <v>0.23</v>
      </c>
      <c r="Z319" s="1">
        <v>0.21</v>
      </c>
      <c r="AA319" s="2">
        <v>663</v>
      </c>
      <c r="AB319" s="2">
        <v>292.7</v>
      </c>
      <c r="AC319" s="2">
        <v>895929</v>
      </c>
      <c r="AD319" s="2">
        <v>38.424999999999997</v>
      </c>
      <c r="AE319" s="4" t="s">
        <v>868</v>
      </c>
      <c r="AF319" s="4">
        <v>1.19</v>
      </c>
      <c r="AH319" s="21" t="s">
        <v>925</v>
      </c>
      <c r="AI319" s="21" t="s">
        <v>924</v>
      </c>
      <c r="AJ319" s="26" t="s">
        <v>956</v>
      </c>
      <c r="AK319" s="24" t="s">
        <v>1096</v>
      </c>
      <c r="AL319" s="20" t="s">
        <v>1098</v>
      </c>
    </row>
    <row r="320" spans="1:38" x14ac:dyDescent="0.25">
      <c r="A320" s="14" t="s">
        <v>808</v>
      </c>
      <c r="B320" s="14" t="s">
        <v>809</v>
      </c>
      <c r="C320" s="14" t="s">
        <v>1231</v>
      </c>
      <c r="D320" t="s">
        <v>1572</v>
      </c>
      <c r="E320" t="s">
        <v>1593</v>
      </c>
      <c r="F320" s="1">
        <v>4.6485000000000003</v>
      </c>
      <c r="G320" s="1">
        <v>3.5295000000000001</v>
      </c>
      <c r="H320" s="1">
        <v>4.5030000000000001</v>
      </c>
      <c r="I320" s="1">
        <v>3.2450000000000001</v>
      </c>
      <c r="J320" s="1">
        <v>3.9780000000000002</v>
      </c>
      <c r="K320" s="1">
        <v>3.0905</v>
      </c>
      <c r="L320" s="1">
        <v>0.46</v>
      </c>
      <c r="M320" s="1">
        <v>0.51</v>
      </c>
      <c r="N320" s="1">
        <v>0.5</v>
      </c>
      <c r="O320" s="1">
        <v>4.0890000000000004</v>
      </c>
      <c r="P320" s="1">
        <v>3.8740000000000001</v>
      </c>
      <c r="Q320" s="1">
        <v>3.5342500000000001</v>
      </c>
      <c r="R320" s="1">
        <v>0.65076735822625054</v>
      </c>
      <c r="S320" s="1">
        <v>0.69331912399149054</v>
      </c>
      <c r="T320" s="1">
        <v>0.62962655034689707</v>
      </c>
      <c r="U320" s="2">
        <v>15.516999999999999</v>
      </c>
      <c r="V320" s="2">
        <v>17.361999999999998</v>
      </c>
      <c r="W320" s="2">
        <v>15.547000000000001</v>
      </c>
      <c r="X320" s="1">
        <v>0.23</v>
      </c>
      <c r="Y320" s="1">
        <v>0.255</v>
      </c>
      <c r="Z320" s="1">
        <v>0.25</v>
      </c>
      <c r="AA320" s="2">
        <v>436.5</v>
      </c>
      <c r="AB320" s="2">
        <v>232.3</v>
      </c>
      <c r="AC320" s="2">
        <v>290000</v>
      </c>
      <c r="AD320" s="2">
        <v>38.5</v>
      </c>
      <c r="AE320" s="4" t="s">
        <v>868</v>
      </c>
      <c r="AF320" s="4">
        <v>1.19</v>
      </c>
      <c r="AH320" s="21" t="s">
        <v>925</v>
      </c>
      <c r="AI320" s="21" t="s">
        <v>924</v>
      </c>
      <c r="AJ320" s="24" t="s">
        <v>946</v>
      </c>
      <c r="AK320" s="24" t="s">
        <v>1097</v>
      </c>
      <c r="AL320" s="20" t="s">
        <v>1098</v>
      </c>
    </row>
    <row r="323" spans="1:2" x14ac:dyDescent="0.25">
      <c r="A323" s="5" t="s">
        <v>810</v>
      </c>
      <c r="B323" s="6" t="s">
        <v>811</v>
      </c>
    </row>
    <row r="324" spans="1:2" x14ac:dyDescent="0.25">
      <c r="A324" s="5" t="s">
        <v>812</v>
      </c>
      <c r="B324" s="6" t="s">
        <v>813</v>
      </c>
    </row>
    <row r="325" spans="1:2" x14ac:dyDescent="0.25">
      <c r="A325" s="5" t="s">
        <v>817</v>
      </c>
      <c r="B325" s="6" t="s">
        <v>818</v>
      </c>
    </row>
    <row r="326" spans="1:2" x14ac:dyDescent="0.25">
      <c r="A326" s="5" t="s">
        <v>819</v>
      </c>
      <c r="B326" s="6" t="s">
        <v>820</v>
      </c>
    </row>
    <row r="327" spans="1:2" x14ac:dyDescent="0.25">
      <c r="A327" s="5" t="s">
        <v>824</v>
      </c>
      <c r="B327" s="6" t="s">
        <v>825</v>
      </c>
    </row>
    <row r="328" spans="1:2" x14ac:dyDescent="0.25">
      <c r="A328" s="5" t="s">
        <v>826</v>
      </c>
      <c r="B328" s="6" t="s">
        <v>827</v>
      </c>
    </row>
    <row r="329" spans="1:2" x14ac:dyDescent="0.25">
      <c r="A329" s="5" t="s">
        <v>837</v>
      </c>
      <c r="B329" s="6" t="s">
        <v>838</v>
      </c>
    </row>
    <row r="330" spans="1:2" x14ac:dyDescent="0.25">
      <c r="A330" s="5" t="s">
        <v>839</v>
      </c>
      <c r="B330" s="6" t="s">
        <v>840</v>
      </c>
    </row>
    <row r="331" spans="1:2" x14ac:dyDescent="0.25">
      <c r="A331" s="5" t="s">
        <v>841</v>
      </c>
      <c r="B331" s="6" t="s">
        <v>842</v>
      </c>
    </row>
    <row r="332" spans="1:2" x14ac:dyDescent="0.25">
      <c r="A332" s="5" t="s">
        <v>814</v>
      </c>
      <c r="B332" s="6" t="s">
        <v>815</v>
      </c>
    </row>
    <row r="333" spans="1:2" x14ac:dyDescent="0.25">
      <c r="A333" s="5" t="s">
        <v>821</v>
      </c>
      <c r="B333" s="6" t="s">
        <v>822</v>
      </c>
    </row>
    <row r="334" spans="1:2" x14ac:dyDescent="0.25">
      <c r="A334" s="5" t="s">
        <v>828</v>
      </c>
      <c r="B334" s="6" t="s">
        <v>829</v>
      </c>
    </row>
    <row r="335" spans="1:2" x14ac:dyDescent="0.25">
      <c r="A335" s="5" t="s">
        <v>6</v>
      </c>
      <c r="B335" s="6" t="s">
        <v>816</v>
      </c>
    </row>
    <row r="336" spans="1:2" x14ac:dyDescent="0.25">
      <c r="A336" s="5" t="s">
        <v>10</v>
      </c>
      <c r="B336" s="6" t="s">
        <v>823</v>
      </c>
    </row>
    <row r="337" spans="1:2" x14ac:dyDescent="0.25">
      <c r="A337" s="5" t="s">
        <v>14</v>
      </c>
      <c r="B337" s="6" t="s">
        <v>830</v>
      </c>
    </row>
    <row r="338" spans="1:2" x14ac:dyDescent="0.25">
      <c r="A338" s="7" t="s">
        <v>831</v>
      </c>
      <c r="B338" s="6" t="s">
        <v>832</v>
      </c>
    </row>
    <row r="339" spans="1:2" x14ac:dyDescent="0.25">
      <c r="A339" s="7" t="s">
        <v>833</v>
      </c>
      <c r="B339" s="6" t="s">
        <v>834</v>
      </c>
    </row>
    <row r="340" spans="1:2" x14ac:dyDescent="0.25">
      <c r="A340" s="7" t="s">
        <v>835</v>
      </c>
      <c r="B340" s="6" t="s">
        <v>836</v>
      </c>
    </row>
    <row r="341" spans="1:2" x14ac:dyDescent="0.25">
      <c r="A341" s="5" t="s">
        <v>851</v>
      </c>
      <c r="B341" s="6" t="s">
        <v>854</v>
      </c>
    </row>
    <row r="342" spans="1:2" x14ac:dyDescent="0.25">
      <c r="A342" s="5" t="s">
        <v>852</v>
      </c>
      <c r="B342" s="6" t="s">
        <v>855</v>
      </c>
    </row>
    <row r="343" spans="1:2" x14ac:dyDescent="0.25">
      <c r="A343" s="5" t="s">
        <v>853</v>
      </c>
      <c r="B343" s="6" t="s">
        <v>856</v>
      </c>
    </row>
    <row r="344" spans="1:2" x14ac:dyDescent="0.25">
      <c r="A344" s="7" t="s">
        <v>843</v>
      </c>
      <c r="B344" s="6" t="s">
        <v>857</v>
      </c>
    </row>
    <row r="345" spans="1:2" x14ac:dyDescent="0.25">
      <c r="A345" s="7" t="s">
        <v>858</v>
      </c>
      <c r="B345" s="6" t="s">
        <v>859</v>
      </c>
    </row>
    <row r="346" spans="1:2" x14ac:dyDescent="0.25">
      <c r="A346" s="7" t="s">
        <v>860</v>
      </c>
      <c r="B346" s="6" t="s">
        <v>861</v>
      </c>
    </row>
    <row r="347" spans="1:2" x14ac:dyDescent="0.25">
      <c r="A347" s="7" t="s">
        <v>862</v>
      </c>
      <c r="B347" s="6" t="s">
        <v>863</v>
      </c>
    </row>
    <row r="348" spans="1:2" x14ac:dyDescent="0.25">
      <c r="A348" s="7" t="s">
        <v>846</v>
      </c>
      <c r="B348" s="6" t="s">
        <v>864</v>
      </c>
    </row>
    <row r="349" spans="1:2" x14ac:dyDescent="0.25">
      <c r="A349" s="7" t="s">
        <v>847</v>
      </c>
      <c r="B349" s="6" t="s">
        <v>865</v>
      </c>
    </row>
    <row r="350" spans="1:2" x14ac:dyDescent="0.25">
      <c r="A350" s="7" t="s">
        <v>1599</v>
      </c>
      <c r="B350" s="6" t="s">
        <v>1607</v>
      </c>
    </row>
    <row r="351" spans="1:2" x14ac:dyDescent="0.25">
      <c r="A351" s="7" t="s">
        <v>1600</v>
      </c>
      <c r="B351" s="6" t="s">
        <v>1608</v>
      </c>
    </row>
    <row r="352" spans="1:2" x14ac:dyDescent="0.25">
      <c r="A352" s="7" t="s">
        <v>1604</v>
      </c>
      <c r="B352" s="6" t="s">
        <v>1611</v>
      </c>
    </row>
    <row r="353" spans="1:2" x14ac:dyDescent="0.25">
      <c r="A353" s="7" t="s">
        <v>1606</v>
      </c>
      <c r="B353" s="6" t="s">
        <v>1609</v>
      </c>
    </row>
    <row r="354" spans="1:2" x14ac:dyDescent="0.25">
      <c r="A354" s="7" t="s">
        <v>1605</v>
      </c>
      <c r="B354" s="6" t="s">
        <v>1610</v>
      </c>
    </row>
    <row r="355" spans="1:2" x14ac:dyDescent="0.25">
      <c r="A355" s="1"/>
      <c r="B355" s="1"/>
    </row>
    <row r="356" spans="1:2" x14ac:dyDescent="0.25">
      <c r="A356" s="77" t="s">
        <v>844</v>
      </c>
      <c r="B356" s="1"/>
    </row>
    <row r="357" spans="1:2" x14ac:dyDescent="0.25">
      <c r="A357" s="8" t="s">
        <v>845</v>
      </c>
      <c r="B357"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19"/>
  <sheetViews>
    <sheetView zoomScale="70" zoomScaleNormal="70" workbookViewId="0">
      <pane xSplit="3" ySplit="1" topLeftCell="AJ83" activePane="bottomRight" state="frozen"/>
      <selection pane="topRight" activeCell="D1" sqref="D1"/>
      <selection pane="bottomLeft" activeCell="A2" sqref="A2"/>
      <selection pane="bottomRight" activeCell="A112" sqref="A112:B114"/>
    </sheetView>
  </sheetViews>
  <sheetFormatPr defaultColWidth="11.42578125" defaultRowHeight="15" x14ac:dyDescent="0.25"/>
  <cols>
    <col min="1" max="1" width="17.140625" bestFit="1" customWidth="1"/>
    <col min="2" max="2" width="19.28515625" bestFit="1" customWidth="1"/>
    <col min="3" max="3" width="23" style="13" bestFit="1" customWidth="1"/>
    <col min="4" max="4" width="23" style="13" customWidth="1"/>
    <col min="5" max="5" width="14.5703125" bestFit="1" customWidth="1"/>
    <col min="6" max="8" width="15" bestFit="1" customWidth="1"/>
    <col min="9" max="9" width="14.28515625" bestFit="1" customWidth="1"/>
    <col min="10" max="10" width="13.85546875" bestFit="1" customWidth="1"/>
    <col min="11" max="12" width="14" bestFit="1" customWidth="1"/>
    <col min="13" max="13" width="13.140625" bestFit="1" customWidth="1"/>
    <col min="14" max="15" width="12.85546875" bestFit="1" customWidth="1"/>
    <col min="16" max="16" width="12" bestFit="1" customWidth="1"/>
    <col min="17" max="18" width="7.7109375" bestFit="1" customWidth="1"/>
    <col min="19" max="19" width="6.85546875" bestFit="1" customWidth="1"/>
    <col min="20" max="21" width="14" bestFit="1" customWidth="1"/>
    <col min="22" max="22" width="13.140625" bestFit="1" customWidth="1"/>
    <col min="23" max="24" width="13.42578125" bestFit="1" customWidth="1"/>
    <col min="25" max="25" width="12.5703125" bestFit="1" customWidth="1"/>
    <col min="26" max="26" width="14.28515625" bestFit="1" customWidth="1"/>
    <col min="27" max="27" width="14.28515625" style="1" bestFit="1" customWidth="1"/>
    <col min="28" max="28" width="13.42578125" bestFit="1" customWidth="1"/>
    <col min="31" max="31" width="10.5703125" bestFit="1" customWidth="1"/>
    <col min="32" max="33" width="16" bestFit="1" customWidth="1"/>
    <col min="34" max="34" width="15.28515625" bestFit="1" customWidth="1"/>
    <col min="35" max="35" width="12.140625" bestFit="1" customWidth="1"/>
    <col min="36" max="36" width="12.5703125" bestFit="1" customWidth="1"/>
    <col min="37" max="37" width="11.7109375" bestFit="1" customWidth="1"/>
    <col min="38" max="39" width="6.7109375" style="11" bestFit="1" customWidth="1"/>
    <col min="40" max="40" width="6.85546875" style="11" bestFit="1" customWidth="1"/>
    <col min="41" max="42" width="9.5703125" style="70" bestFit="1" customWidth="1"/>
    <col min="43" max="43" width="8.7109375" style="70" bestFit="1" customWidth="1"/>
    <col min="44" max="45" width="9.5703125" style="74" bestFit="1" customWidth="1"/>
    <col min="46" max="46" width="8.7109375" style="74" customWidth="1"/>
    <col min="47" max="48" width="15.42578125" style="70" bestFit="1" customWidth="1"/>
    <col min="49" max="49" width="14.5703125" style="70" bestFit="1" customWidth="1"/>
    <col min="50" max="51" width="16.28515625" bestFit="1" customWidth="1"/>
    <col min="52" max="52" width="15.42578125" bestFit="1" customWidth="1"/>
    <col min="53" max="54" width="7.7109375" style="1" bestFit="1" customWidth="1"/>
    <col min="55" max="55" width="6.85546875" style="1" bestFit="1" customWidth="1"/>
    <col min="56" max="57" width="10.28515625" style="1" bestFit="1" customWidth="1"/>
    <col min="58" max="58" width="9.5703125" style="1" bestFit="1" customWidth="1"/>
    <col min="59" max="59" width="10.28515625" bestFit="1" customWidth="1"/>
    <col min="60" max="60" width="12" bestFit="1" customWidth="1"/>
    <col min="61" max="61" width="11.7109375" bestFit="1" customWidth="1"/>
    <col min="62" max="62" width="7.42578125" style="4" bestFit="1" customWidth="1"/>
    <col min="63" max="63" width="11" bestFit="1" customWidth="1"/>
    <col min="64" max="64" width="6.28515625" bestFit="1" customWidth="1"/>
    <col min="65" max="65" width="3" customWidth="1"/>
    <col min="66" max="66" width="15" bestFit="1" customWidth="1"/>
    <col min="67" max="67" width="16.7109375" bestFit="1" customWidth="1"/>
    <col min="68" max="68" width="14" bestFit="1" customWidth="1"/>
    <col min="69" max="69" width="13.5703125" customWidth="1"/>
    <col min="71" max="73" width="11.42578125" style="4"/>
  </cols>
  <sheetData>
    <row r="1" spans="1:70" ht="17.25" x14ac:dyDescent="0.25">
      <c r="A1" t="s">
        <v>0</v>
      </c>
      <c r="B1" t="s">
        <v>1</v>
      </c>
      <c r="C1" s="13" t="s">
        <v>2</v>
      </c>
      <c r="D1" s="13" t="s">
        <v>1614</v>
      </c>
      <c r="E1" s="1" t="s">
        <v>3</v>
      </c>
      <c r="F1" s="1" t="s">
        <v>4</v>
      </c>
      <c r="G1" s="1" t="s">
        <v>7</v>
      </c>
      <c r="H1" s="1" t="s">
        <v>8</v>
      </c>
      <c r="I1" s="1" t="s">
        <v>11</v>
      </c>
      <c r="J1" s="1" t="s">
        <v>12</v>
      </c>
      <c r="K1" s="1" t="s">
        <v>18</v>
      </c>
      <c r="L1" s="1" t="s">
        <v>19</v>
      </c>
      <c r="M1" s="1" t="s">
        <v>20</v>
      </c>
      <c r="N1" s="1" t="s">
        <v>5</v>
      </c>
      <c r="O1" s="1" t="s">
        <v>9</v>
      </c>
      <c r="P1" s="1" t="s">
        <v>13</v>
      </c>
      <c r="Q1" s="1" t="s">
        <v>6</v>
      </c>
      <c r="R1" s="1" t="s">
        <v>10</v>
      </c>
      <c r="S1" s="1" t="s">
        <v>14</v>
      </c>
      <c r="T1" s="2" t="s">
        <v>15</v>
      </c>
      <c r="U1" s="2" t="s">
        <v>16</v>
      </c>
      <c r="V1" s="2" t="s">
        <v>17</v>
      </c>
      <c r="W1" s="1" t="s">
        <v>848</v>
      </c>
      <c r="X1" s="1" t="s">
        <v>849</v>
      </c>
      <c r="Y1" s="1" t="s">
        <v>850</v>
      </c>
      <c r="Z1" s="1" t="s">
        <v>1183</v>
      </c>
      <c r="AA1" s="1" t="s">
        <v>1184</v>
      </c>
      <c r="AB1" s="1" t="s">
        <v>1185</v>
      </c>
      <c r="AC1" s="2" t="s">
        <v>1174</v>
      </c>
      <c r="AD1" s="2" t="s">
        <v>1175</v>
      </c>
      <c r="AE1" s="2" t="s">
        <v>1176</v>
      </c>
      <c r="AF1" s="1" t="s">
        <v>1417</v>
      </c>
      <c r="AG1" s="1" t="s">
        <v>1418</v>
      </c>
      <c r="AH1" s="1" t="s">
        <v>1419</v>
      </c>
      <c r="AI1" s="29" t="s">
        <v>1180</v>
      </c>
      <c r="AJ1" s="29" t="s">
        <v>1181</v>
      </c>
      <c r="AK1" s="29" t="s">
        <v>1182</v>
      </c>
      <c r="AL1" s="10" t="s">
        <v>1177</v>
      </c>
      <c r="AM1" s="10" t="s">
        <v>1178</v>
      </c>
      <c r="AN1" s="10" t="s">
        <v>1179</v>
      </c>
      <c r="AO1" s="68" t="s">
        <v>1508</v>
      </c>
      <c r="AP1" s="68" t="s">
        <v>1509</v>
      </c>
      <c r="AQ1" s="68" t="s">
        <v>1510</v>
      </c>
      <c r="AR1" s="72" t="s">
        <v>1523</v>
      </c>
      <c r="AS1" s="72" t="s">
        <v>1524</v>
      </c>
      <c r="AT1" s="72" t="s">
        <v>1525</v>
      </c>
      <c r="AU1" s="71" t="s">
        <v>1514</v>
      </c>
      <c r="AV1" s="71" t="s">
        <v>1515</v>
      </c>
      <c r="AW1" s="71" t="s">
        <v>1516</v>
      </c>
      <c r="AX1" s="30" t="s">
        <v>1186</v>
      </c>
      <c r="AY1" s="30" t="s">
        <v>1187</v>
      </c>
      <c r="AZ1" s="30" t="s">
        <v>1188</v>
      </c>
      <c r="BA1" s="1" t="s">
        <v>1267</v>
      </c>
      <c r="BB1" s="1" t="s">
        <v>1268</v>
      </c>
      <c r="BC1" s="1" t="s">
        <v>1269</v>
      </c>
      <c r="BD1" s="1" t="s">
        <v>1270</v>
      </c>
      <c r="BE1" s="1" t="s">
        <v>1271</v>
      </c>
      <c r="BF1" s="1" t="s">
        <v>1272</v>
      </c>
      <c r="BG1" s="2" t="s">
        <v>21</v>
      </c>
      <c r="BH1" s="2" t="s">
        <v>22</v>
      </c>
      <c r="BI1" s="2" t="s">
        <v>23</v>
      </c>
      <c r="BJ1" s="2" t="s">
        <v>24</v>
      </c>
      <c r="BK1" s="2" t="s">
        <v>846</v>
      </c>
      <c r="BL1" s="2" t="s">
        <v>847</v>
      </c>
      <c r="BN1" s="7" t="s">
        <v>871</v>
      </c>
      <c r="BO1" s="7" t="s">
        <v>880</v>
      </c>
      <c r="BP1" t="s">
        <v>881</v>
      </c>
      <c r="BQ1" t="s">
        <v>957</v>
      </c>
    </row>
    <row r="2" spans="1:70" x14ac:dyDescent="0.25">
      <c r="A2" t="s">
        <v>74</v>
      </c>
      <c r="B2" t="s">
        <v>75</v>
      </c>
      <c r="C2" s="13" t="s">
        <v>1189</v>
      </c>
      <c r="D2" s="13" t="s">
        <v>1569</v>
      </c>
      <c r="E2" s="1">
        <v>7.5510000000000002</v>
      </c>
      <c r="F2" s="1">
        <v>3.7105000000000001</v>
      </c>
      <c r="G2" s="1">
        <v>6.8129999999999997</v>
      </c>
      <c r="H2" s="1">
        <v>3.1435</v>
      </c>
      <c r="I2" s="1">
        <v>6.8555000000000001</v>
      </c>
      <c r="J2" s="1">
        <v>4.9889999999999999</v>
      </c>
      <c r="K2" s="1">
        <v>1.6579999999999999</v>
      </c>
      <c r="L2" s="1">
        <v>1.6614</v>
      </c>
      <c r="M2" s="1">
        <v>2.0893999999999999</v>
      </c>
      <c r="N2" s="1">
        <v>5.6307499999999999</v>
      </c>
      <c r="O2" s="1">
        <v>4.9782500000000001</v>
      </c>
      <c r="P2" s="1">
        <v>5.92225</v>
      </c>
      <c r="Q2" s="1">
        <v>0.87093859223689674</v>
      </c>
      <c r="R2" s="1">
        <v>0.88719361197382718</v>
      </c>
      <c r="S2" s="1">
        <v>0.68585645136686235</v>
      </c>
      <c r="T2" s="2">
        <v>21.111999999999998</v>
      </c>
      <c r="U2" s="2">
        <v>17.356000000000002</v>
      </c>
      <c r="V2" s="2">
        <v>22.926000000000002</v>
      </c>
      <c r="W2" s="29">
        <f>K2/2</f>
        <v>0.82899999999999996</v>
      </c>
      <c r="X2" s="29">
        <f>L2/2</f>
        <v>0.83069999999999999</v>
      </c>
      <c r="Y2" s="29">
        <f>M2/2</f>
        <v>1.0447</v>
      </c>
      <c r="Z2" s="1">
        <v>81.233326000000005</v>
      </c>
      <c r="AA2" s="1">
        <v>66.097378000000006</v>
      </c>
      <c r="AB2" s="1">
        <v>102.832567</v>
      </c>
      <c r="AC2" s="2">
        <v>18.829957</v>
      </c>
      <c r="AD2" s="2">
        <v>14.973361000000001</v>
      </c>
      <c r="AE2" s="2">
        <v>21.301886</v>
      </c>
      <c r="AF2" s="49">
        <f>(0.7146+0.79762)/2</f>
        <v>0.75611000000000006</v>
      </c>
      <c r="AG2" s="49">
        <f>(0.77432+0.73606)/2</f>
        <v>0.75519000000000003</v>
      </c>
      <c r="AH2" s="49">
        <f>(0.70328+0.76556)/2</f>
        <v>0.73442000000000007</v>
      </c>
      <c r="AI2" s="29">
        <v>0.27619700000000003</v>
      </c>
      <c r="AJ2" s="29">
        <v>0.27878599999999998</v>
      </c>
      <c r="AK2" s="29">
        <v>0.16425400000000001</v>
      </c>
      <c r="AL2" s="10">
        <v>27.534547</v>
      </c>
      <c r="AM2" s="10">
        <v>27.910433000000001</v>
      </c>
      <c r="AN2" s="10">
        <v>28.050214</v>
      </c>
      <c r="AO2" s="68">
        <v>0.77238367500000005</v>
      </c>
      <c r="AP2" s="68">
        <v>0.66033310000000001</v>
      </c>
      <c r="AQ2" s="68">
        <v>0.73414763333333299</v>
      </c>
      <c r="AR2" s="72">
        <v>100.51249999999999</v>
      </c>
      <c r="AS2" s="72">
        <v>86.65</v>
      </c>
      <c r="AT2" s="72">
        <v>88.783333333333317</v>
      </c>
      <c r="AU2" s="68">
        <v>2.020337</v>
      </c>
      <c r="AV2" s="68">
        <v>2.1523729999999999</v>
      </c>
      <c r="AW2" s="68">
        <v>1.5524119999999999</v>
      </c>
      <c r="AX2" s="29">
        <v>9.0557282680238493E-2</v>
      </c>
      <c r="AY2" s="29">
        <v>8.1088134351813196E-2</v>
      </c>
      <c r="AZ2" s="29">
        <v>0.141341325407425</v>
      </c>
      <c r="BA2" s="1">
        <f>Z2/(PI()*E2*F2)</f>
        <v>0.92288472179381931</v>
      </c>
      <c r="BB2" s="1">
        <f>AA2/(PI()*G2*H2)</f>
        <v>0.98238677109781614</v>
      </c>
      <c r="BC2" s="1">
        <f>AB2/(PI()*I2*J2)</f>
        <v>0.95703575940168895</v>
      </c>
      <c r="BD2" s="1">
        <f>AC2/T2</f>
        <v>0.89190777756726036</v>
      </c>
      <c r="BE2" s="1">
        <f t="shared" ref="BE2:BF2" si="0">AD2/U2</f>
        <v>0.86271957824383494</v>
      </c>
      <c r="BF2" s="1">
        <f t="shared" si="0"/>
        <v>0.9291584227514611</v>
      </c>
      <c r="BG2" s="2">
        <v>567.9</v>
      </c>
      <c r="BH2" s="2">
        <v>189.3</v>
      </c>
      <c r="BI2" s="2">
        <v>251188</v>
      </c>
      <c r="BJ2" s="2">
        <v>25.5</v>
      </c>
      <c r="BK2" s="4" t="s">
        <v>866</v>
      </c>
      <c r="BL2" s="4">
        <v>1.19</v>
      </c>
      <c r="BN2" s="13" t="s">
        <v>925</v>
      </c>
      <c r="BO2" s="13" t="s">
        <v>924</v>
      </c>
      <c r="BP2" s="14" t="s">
        <v>1110</v>
      </c>
      <c r="BQ2" t="s">
        <v>967</v>
      </c>
      <c r="BR2" s="20" t="s">
        <v>1098</v>
      </c>
    </row>
    <row r="3" spans="1:70" x14ac:dyDescent="0.25">
      <c r="A3" t="s">
        <v>90</v>
      </c>
      <c r="B3" t="s">
        <v>91</v>
      </c>
      <c r="C3" s="13" t="s">
        <v>1190</v>
      </c>
      <c r="D3" s="13" t="s">
        <v>1570</v>
      </c>
      <c r="E3" s="1">
        <v>6.9775</v>
      </c>
      <c r="F3" s="1">
        <v>3.8264999999999998</v>
      </c>
      <c r="G3" s="1">
        <v>4.2385000000000002</v>
      </c>
      <c r="H3" s="1">
        <v>2.9180000000000001</v>
      </c>
      <c r="I3" s="1">
        <v>3.7250000000000001</v>
      </c>
      <c r="J3" s="1">
        <v>2.9024999999999999</v>
      </c>
      <c r="K3" s="1">
        <v>0.81940000000000002</v>
      </c>
      <c r="L3" s="1">
        <v>0.89119999999999999</v>
      </c>
      <c r="M3" s="1">
        <v>0.89859999999999995</v>
      </c>
      <c r="N3" s="1">
        <v>5.4020000000000001</v>
      </c>
      <c r="O3" s="1">
        <v>3.5782500000000002</v>
      </c>
      <c r="P3" s="1">
        <v>3.3137499999999998</v>
      </c>
      <c r="Q3" s="1">
        <v>0.83621247869240178</v>
      </c>
      <c r="R3" s="1">
        <v>0.72528275782577478</v>
      </c>
      <c r="S3" s="1">
        <v>0.62678204123881431</v>
      </c>
      <c r="T3" s="2">
        <v>27.309000000000001</v>
      </c>
      <c r="U3" s="2">
        <v>17.533000000000001</v>
      </c>
      <c r="V3" s="2">
        <v>14.734</v>
      </c>
      <c r="W3" s="29">
        <f t="shared" ref="W3:W44" si="1">K3/2</f>
        <v>0.40970000000000001</v>
      </c>
      <c r="X3" s="29">
        <f t="shared" ref="X3:X44" si="2">L3/2</f>
        <v>0.4456</v>
      </c>
      <c r="Y3" s="29">
        <f t="shared" ref="Y3:Y44" si="3">M3/2</f>
        <v>0.44929999999999998</v>
      </c>
      <c r="Z3" s="1">
        <v>83.738114999999993</v>
      </c>
      <c r="AA3" s="1">
        <v>32.431544000000002</v>
      </c>
      <c r="AB3" s="1">
        <v>33.155887999999997</v>
      </c>
      <c r="AC3" s="2">
        <v>25.458500000000001</v>
      </c>
      <c r="AD3" s="2">
        <v>14.021064000000001</v>
      </c>
      <c r="AE3" s="2">
        <v>12.168374999999999</v>
      </c>
      <c r="AF3" s="49">
        <f>(0.486+0.519)/2</f>
        <v>0.50249999999999995</v>
      </c>
      <c r="AG3" s="49">
        <f>(0.425+0.606)/2</f>
        <v>0.51549999999999996</v>
      </c>
      <c r="AH3" s="49">
        <f>(0.44+0.522)/2</f>
        <v>0.48099999999999998</v>
      </c>
      <c r="AI3" s="29">
        <v>8.1304000000000001E-2</v>
      </c>
      <c r="AJ3" s="29">
        <v>0.108427</v>
      </c>
      <c r="AK3" s="29">
        <v>9.8488000000000006E-2</v>
      </c>
      <c r="AL3" s="10">
        <v>29.547792000000001</v>
      </c>
      <c r="AM3" s="10">
        <v>30.037735999999999</v>
      </c>
      <c r="AN3" s="10">
        <v>30.068653999999999</v>
      </c>
      <c r="AO3" s="68">
        <v>0.61021213249999995</v>
      </c>
      <c r="AP3" s="68">
        <v>0.65087976000000003</v>
      </c>
      <c r="AQ3" s="68">
        <v>0.70213639999999999</v>
      </c>
      <c r="AR3" s="72">
        <v>43.848750000000003</v>
      </c>
      <c r="AS3" s="72">
        <v>45.34</v>
      </c>
      <c r="AT3" s="72">
        <v>46.099999999999994</v>
      </c>
      <c r="AU3" s="68">
        <v>1.1136219999999999</v>
      </c>
      <c r="AV3" s="68">
        <v>1.1705460000000001</v>
      </c>
      <c r="AW3" s="68">
        <v>1.1938519999999999</v>
      </c>
      <c r="AX3" s="29">
        <v>0.23553290911892999</v>
      </c>
      <c r="AY3" s="29">
        <v>0.21609344101935199</v>
      </c>
      <c r="AZ3" s="29">
        <v>0.26819467034643502</v>
      </c>
      <c r="BA3" s="1">
        <f t="shared" ref="BA3:BA44" si="4">Z3/(PI()*E3*F3)</f>
        <v>0.99832453580148495</v>
      </c>
      <c r="BB3" s="1">
        <f t="shared" ref="BB3:BB44" si="5">AA3/(PI()*G3*H3)</f>
        <v>0.83468051877378469</v>
      </c>
      <c r="BC3" s="1">
        <f t="shared" ref="BC3:BC44" si="6">AB3/(PI()*I3*J3)</f>
        <v>0.97614039603466207</v>
      </c>
      <c r="BD3" s="1">
        <f t="shared" ref="BD3:BD44" si="7">AC3/T3</f>
        <v>0.93223845618660517</v>
      </c>
      <c r="BE3" s="1">
        <f t="shared" ref="BE3:BE44" si="8">AD3/U3</f>
        <v>0.79969565961330058</v>
      </c>
      <c r="BF3" s="1">
        <f t="shared" ref="BF3:BF44" si="9">AE3/V3</f>
        <v>0.82587043572689012</v>
      </c>
      <c r="BG3" s="2">
        <v>186.5</v>
      </c>
      <c r="BH3" s="2">
        <v>83.2</v>
      </c>
      <c r="BI3" s="2">
        <v>110000</v>
      </c>
      <c r="BJ3" s="2">
        <v>38.700000000000003</v>
      </c>
      <c r="BK3" s="4" t="s">
        <v>868</v>
      </c>
      <c r="BL3" s="4">
        <v>1.91</v>
      </c>
      <c r="BN3" s="13" t="s">
        <v>928</v>
      </c>
      <c r="BO3" s="13" t="s">
        <v>924</v>
      </c>
      <c r="BP3" s="14" t="s">
        <v>883</v>
      </c>
      <c r="BQ3" t="s">
        <v>969</v>
      </c>
      <c r="BR3" s="20" t="s">
        <v>1098</v>
      </c>
    </row>
    <row r="4" spans="1:70" x14ac:dyDescent="0.25">
      <c r="A4" t="s">
        <v>104</v>
      </c>
      <c r="B4" t="s">
        <v>105</v>
      </c>
      <c r="C4" s="13" t="s">
        <v>1191</v>
      </c>
      <c r="D4" s="13" t="s">
        <v>1570</v>
      </c>
      <c r="E4" s="1">
        <v>4.7735000000000003</v>
      </c>
      <c r="F4" s="1">
        <v>2.8839999999999999</v>
      </c>
      <c r="G4" s="1">
        <v>3.2480000000000002</v>
      </c>
      <c r="H4" s="1">
        <v>2.3540000000000001</v>
      </c>
      <c r="I4" s="1">
        <v>3.8125</v>
      </c>
      <c r="J4" s="1">
        <v>2.6465000000000001</v>
      </c>
      <c r="K4" s="1">
        <v>0.63880000000000003</v>
      </c>
      <c r="L4" s="1">
        <v>0.71579999999999999</v>
      </c>
      <c r="M4" s="1">
        <v>0.71919999999999995</v>
      </c>
      <c r="N4" s="1">
        <v>3.8287500000000003</v>
      </c>
      <c r="O4" s="1">
        <v>2.8010000000000002</v>
      </c>
      <c r="P4" s="1">
        <v>3.2294999999999998</v>
      </c>
      <c r="Q4" s="1">
        <v>0.79685632461290612</v>
      </c>
      <c r="R4" s="1">
        <v>0.68900804218149991</v>
      </c>
      <c r="S4" s="1">
        <v>0.71981694349459246</v>
      </c>
      <c r="T4" s="2">
        <v>20.486999999999998</v>
      </c>
      <c r="U4" s="2">
        <v>12.868</v>
      </c>
      <c r="V4" s="2">
        <v>16.175999999999998</v>
      </c>
      <c r="W4" s="29">
        <f t="shared" si="1"/>
        <v>0.31940000000000002</v>
      </c>
      <c r="X4" s="29">
        <f t="shared" si="2"/>
        <v>0.3579</v>
      </c>
      <c r="Y4" s="29">
        <f t="shared" si="3"/>
        <v>0.35959999999999998</v>
      </c>
      <c r="Z4" s="1">
        <v>40.757392000000003</v>
      </c>
      <c r="AA4" s="1">
        <v>20.333091</v>
      </c>
      <c r="AB4" s="1">
        <v>27.209581</v>
      </c>
      <c r="AC4" s="2">
        <v>18.775818000000001</v>
      </c>
      <c r="AD4" s="2">
        <v>10.849354</v>
      </c>
      <c r="AE4" s="2">
        <v>13.539418</v>
      </c>
      <c r="AF4" s="2" t="s">
        <v>40</v>
      </c>
      <c r="AG4" s="2" t="s">
        <v>40</v>
      </c>
      <c r="AH4" s="2" t="s">
        <v>40</v>
      </c>
      <c r="AI4" s="29">
        <v>5.8304000000000002E-2</v>
      </c>
      <c r="AJ4" s="29">
        <v>5.8193000000000002E-2</v>
      </c>
      <c r="AK4" s="29">
        <v>5.7958999999999997E-2</v>
      </c>
      <c r="AL4" s="10">
        <v>28.509153999999999</v>
      </c>
      <c r="AM4" s="10">
        <v>28.865469999999998</v>
      </c>
      <c r="AN4" s="10">
        <v>29.351455000000001</v>
      </c>
      <c r="AO4" s="68">
        <v>0.39457060999999999</v>
      </c>
      <c r="AP4" s="68">
        <v>0.397202882222222</v>
      </c>
      <c r="AQ4" s="68">
        <v>0.36131446</v>
      </c>
      <c r="AR4" s="72">
        <v>34.615000000000002</v>
      </c>
      <c r="AS4" s="72">
        <v>37.912222222222226</v>
      </c>
      <c r="AT4" s="72">
        <v>38.104285714285716</v>
      </c>
      <c r="AU4" s="68">
        <v>0.58055699999999999</v>
      </c>
      <c r="AV4" s="68">
        <v>0.50167200000000001</v>
      </c>
      <c r="AW4" s="68">
        <v>0.55950800000000001</v>
      </c>
      <c r="AX4" s="29">
        <v>0.48348091880279198</v>
      </c>
      <c r="AY4" s="29">
        <v>0.59780613883257305</v>
      </c>
      <c r="AZ4" s="29">
        <v>0.63940060420545297</v>
      </c>
      <c r="BA4" s="1">
        <f t="shared" si="4"/>
        <v>0.94237624650975893</v>
      </c>
      <c r="BB4" s="1">
        <f t="shared" si="5"/>
        <v>0.84650797222506935</v>
      </c>
      <c r="BC4" s="1">
        <f t="shared" si="6"/>
        <v>0.85840103136216495</v>
      </c>
      <c r="BD4" s="1">
        <f t="shared" si="7"/>
        <v>0.9164747400790747</v>
      </c>
      <c r="BE4" s="1">
        <f t="shared" si="8"/>
        <v>0.84312667081131487</v>
      </c>
      <c r="BF4" s="1">
        <f t="shared" si="9"/>
        <v>0.83700655291790316</v>
      </c>
      <c r="BG4" s="2">
        <v>97.1</v>
      </c>
      <c r="BH4" s="2">
        <v>56.2</v>
      </c>
      <c r="BI4" s="2">
        <v>10890</v>
      </c>
      <c r="BJ4" s="2">
        <v>41.2</v>
      </c>
      <c r="BK4" s="4" t="s">
        <v>868</v>
      </c>
      <c r="BL4" s="4">
        <v>1.91</v>
      </c>
      <c r="BN4" s="13" t="s">
        <v>925</v>
      </c>
      <c r="BO4" s="13" t="s">
        <v>924</v>
      </c>
      <c r="BP4" s="14" t="s">
        <v>887</v>
      </c>
      <c r="BQ4" t="s">
        <v>969</v>
      </c>
      <c r="BR4" s="20" t="s">
        <v>1098</v>
      </c>
    </row>
    <row r="5" spans="1:70" x14ac:dyDescent="0.25">
      <c r="A5" t="s">
        <v>129</v>
      </c>
      <c r="B5" t="s">
        <v>130</v>
      </c>
      <c r="C5" s="13" t="s">
        <v>1192</v>
      </c>
      <c r="D5" s="13" t="s">
        <v>1570</v>
      </c>
      <c r="E5" s="1">
        <v>2.2934999999999999</v>
      </c>
      <c r="F5" s="1">
        <v>1.3205</v>
      </c>
      <c r="G5" s="1">
        <v>1.8540000000000001</v>
      </c>
      <c r="H5" s="1">
        <v>1.4079999999999999</v>
      </c>
      <c r="I5" s="1">
        <v>2.1139999999999999</v>
      </c>
      <c r="J5" s="1">
        <v>1.4670000000000001</v>
      </c>
      <c r="K5" s="1">
        <v>0.5282</v>
      </c>
      <c r="L5" s="1">
        <v>0.55679999999999996</v>
      </c>
      <c r="M5" s="1">
        <v>0.56220000000000003</v>
      </c>
      <c r="N5" s="1">
        <v>1.8069999999999999</v>
      </c>
      <c r="O5" s="1">
        <v>1.631</v>
      </c>
      <c r="P5" s="1">
        <v>1.7905</v>
      </c>
      <c r="Q5" s="1">
        <v>0.81762045837769948</v>
      </c>
      <c r="R5" s="1">
        <v>0.65057845665997938</v>
      </c>
      <c r="S5" s="1">
        <v>0.72002788814998364</v>
      </c>
      <c r="T5" s="2">
        <v>8.9179999999999993</v>
      </c>
      <c r="U5" s="2">
        <v>7.452</v>
      </c>
      <c r="V5" s="2">
        <v>10.005000000000001</v>
      </c>
      <c r="W5" s="29">
        <f t="shared" si="1"/>
        <v>0.2641</v>
      </c>
      <c r="X5" s="29">
        <f t="shared" si="2"/>
        <v>0.27839999999999998</v>
      </c>
      <c r="Y5" s="29">
        <f t="shared" si="3"/>
        <v>0.28110000000000002</v>
      </c>
      <c r="Z5" s="1">
        <v>8.5865050000000007</v>
      </c>
      <c r="AA5" s="1">
        <v>6.6882970000000004</v>
      </c>
      <c r="AB5" s="1">
        <v>8.3938129999999997</v>
      </c>
      <c r="AC5" s="2">
        <v>10.024905</v>
      </c>
      <c r="AD5" s="2">
        <v>6.3335610000000004</v>
      </c>
      <c r="AE5" s="2">
        <v>8.1463429999999999</v>
      </c>
      <c r="AF5" s="49">
        <f>(0.30762+0.34496)/2</f>
        <v>0.32628999999999997</v>
      </c>
      <c r="AG5" s="49">
        <f>(0.32458+0.30112)/2</f>
        <v>0.31284999999999996</v>
      </c>
      <c r="AH5" s="49">
        <f>(0.31219+0.3046)/2</f>
        <v>0.30839499999999997</v>
      </c>
      <c r="AI5" s="29">
        <v>6.5863000000000005E-2</v>
      </c>
      <c r="AJ5" s="29">
        <v>6.3551999999999997E-2</v>
      </c>
      <c r="AK5" s="29">
        <v>6.0106E-2</v>
      </c>
      <c r="AL5" s="10">
        <v>27.896808</v>
      </c>
      <c r="AM5" s="10">
        <v>27.538661999999999</v>
      </c>
      <c r="AN5" s="10">
        <v>28.381898</v>
      </c>
      <c r="AO5" s="68">
        <v>0.23852474666666701</v>
      </c>
      <c r="AP5" s="68">
        <v>0.22208311</v>
      </c>
      <c r="AQ5" s="68">
        <v>0.21001389000000001</v>
      </c>
      <c r="AR5" s="72">
        <v>36.886666666666663</v>
      </c>
      <c r="AS5" s="72">
        <v>32.365000000000002</v>
      </c>
      <c r="AT5" s="72">
        <v>26.135000000000002</v>
      </c>
      <c r="AU5" s="68">
        <v>0.34091199999999999</v>
      </c>
      <c r="AV5" s="68">
        <v>0.351493</v>
      </c>
      <c r="AW5" s="68">
        <v>0.35545399999999999</v>
      </c>
      <c r="AX5" s="29">
        <v>0.96802788137955798</v>
      </c>
      <c r="AY5" s="29">
        <v>0.78237846306504299</v>
      </c>
      <c r="AZ5" s="29">
        <v>1.1174842488791501</v>
      </c>
      <c r="BA5" s="1">
        <f t="shared" si="4"/>
        <v>0.90246299813816222</v>
      </c>
      <c r="BB5" s="1">
        <f t="shared" si="5"/>
        <v>0.81555507166376628</v>
      </c>
      <c r="BC5" s="1">
        <f t="shared" si="6"/>
        <v>0.86153776674928606</v>
      </c>
      <c r="BD5" s="1">
        <f t="shared" si="7"/>
        <v>1.1241203184570532</v>
      </c>
      <c r="BE5" s="1">
        <f t="shared" si="8"/>
        <v>0.84991425120772957</v>
      </c>
      <c r="BF5" s="1">
        <f t="shared" si="9"/>
        <v>0.81422718640679648</v>
      </c>
      <c r="BG5" s="2">
        <v>27.4</v>
      </c>
      <c r="BH5" s="2">
        <v>17.8</v>
      </c>
      <c r="BI5" s="2">
        <v>54</v>
      </c>
      <c r="BJ5" s="2" t="s">
        <v>40</v>
      </c>
      <c r="BK5" s="4" t="s">
        <v>868</v>
      </c>
      <c r="BL5" s="4">
        <v>1.91</v>
      </c>
      <c r="BN5" s="13" t="s">
        <v>929</v>
      </c>
      <c r="BO5" s="13" t="s">
        <v>924</v>
      </c>
      <c r="BP5" t="s">
        <v>891</v>
      </c>
      <c r="BQ5" s="4" t="s">
        <v>40</v>
      </c>
      <c r="BR5" s="20" t="s">
        <v>1098</v>
      </c>
    </row>
    <row r="6" spans="1:70" x14ac:dyDescent="0.25">
      <c r="A6" t="s">
        <v>146</v>
      </c>
      <c r="B6" t="s">
        <v>147</v>
      </c>
      <c r="C6" s="13" t="s">
        <v>1193</v>
      </c>
      <c r="D6" s="13" t="s">
        <v>1570</v>
      </c>
      <c r="E6" s="1">
        <v>3.472</v>
      </c>
      <c r="F6" s="1">
        <v>2.3085</v>
      </c>
      <c r="G6" s="1">
        <v>2.3969999999999998</v>
      </c>
      <c r="H6" s="1">
        <v>1.726</v>
      </c>
      <c r="I6" s="1">
        <v>2.8250000000000002</v>
      </c>
      <c r="J6" s="1">
        <v>1.589</v>
      </c>
      <c r="K6" s="1">
        <v>0.54979999999999996</v>
      </c>
      <c r="L6" s="1">
        <v>0.60960000000000003</v>
      </c>
      <c r="M6" s="1">
        <v>0.61480000000000001</v>
      </c>
      <c r="N6" s="1">
        <v>2.89025</v>
      </c>
      <c r="O6" s="1">
        <v>2.0614999999999997</v>
      </c>
      <c r="P6" s="1">
        <v>2.2069999999999999</v>
      </c>
      <c r="Q6" s="1">
        <v>0.74694079587172246</v>
      </c>
      <c r="R6" s="1">
        <v>0.6939048028326622</v>
      </c>
      <c r="S6" s="1">
        <v>0.8268123359572378</v>
      </c>
      <c r="T6" s="2">
        <v>16.010000000000002</v>
      </c>
      <c r="U6" s="2">
        <v>9.9109999999999996</v>
      </c>
      <c r="V6" s="2">
        <v>12.311999999999999</v>
      </c>
      <c r="W6" s="29">
        <f t="shared" si="1"/>
        <v>0.27489999999999998</v>
      </c>
      <c r="X6" s="29">
        <f t="shared" si="2"/>
        <v>0.30480000000000002</v>
      </c>
      <c r="Y6" s="29">
        <f t="shared" si="3"/>
        <v>0.30740000000000001</v>
      </c>
      <c r="Z6" s="1">
        <v>24.367692000000002</v>
      </c>
      <c r="AA6" s="1">
        <v>11.283740999999999</v>
      </c>
      <c r="AB6" s="1">
        <v>13.422934</v>
      </c>
      <c r="AC6" s="2">
        <v>15.587766</v>
      </c>
      <c r="AD6" s="2">
        <v>8.9741490000000006</v>
      </c>
      <c r="AE6" s="2">
        <v>10.708430999999999</v>
      </c>
      <c r="AF6" s="49">
        <f>(0.40255+0.29413)/2</f>
        <v>0.34833999999999998</v>
      </c>
      <c r="AG6" s="49">
        <f>(0.39628+0.27562)/2</f>
        <v>0.33594999999999997</v>
      </c>
      <c r="AH6" s="49">
        <f>(0.37958+0.28122)/2</f>
        <v>0.33040000000000003</v>
      </c>
      <c r="AI6" s="29">
        <v>5.9754000000000002E-2</v>
      </c>
      <c r="AJ6" s="29">
        <v>5.9493999999999998E-2</v>
      </c>
      <c r="AK6" s="29">
        <v>5.8895000000000003E-2</v>
      </c>
      <c r="AL6" s="10">
        <v>28.854486000000001</v>
      </c>
      <c r="AM6" s="10">
        <v>29.261911999999999</v>
      </c>
      <c r="AN6" s="10">
        <v>28.811902</v>
      </c>
      <c r="AO6" s="68">
        <v>0.39099531999999998</v>
      </c>
      <c r="AP6" s="68">
        <v>0.377499163333333</v>
      </c>
      <c r="AQ6" s="68">
        <v>0.31742243999999997</v>
      </c>
      <c r="AR6" s="72">
        <v>34.880000000000003</v>
      </c>
      <c r="AS6" s="72">
        <v>37.178333333333327</v>
      </c>
      <c r="AT6" s="72">
        <v>33.46</v>
      </c>
      <c r="AU6" s="68">
        <v>0.39602700000000002</v>
      </c>
      <c r="AV6" s="68">
        <v>0.41490100000000002</v>
      </c>
      <c r="AW6" s="68">
        <v>0.39436700000000002</v>
      </c>
      <c r="AX6" s="29">
        <v>0.96543254291818204</v>
      </c>
      <c r="AY6" s="29">
        <v>0.89171663770832299</v>
      </c>
      <c r="AZ6" s="29">
        <v>1.1663229264492601</v>
      </c>
      <c r="BA6" s="1">
        <f t="shared" si="4"/>
        <v>0.96773161336755709</v>
      </c>
      <c r="BB6" s="1">
        <f t="shared" si="5"/>
        <v>0.86814928312702888</v>
      </c>
      <c r="BC6" s="1">
        <f t="shared" si="6"/>
        <v>0.95182089114710855</v>
      </c>
      <c r="BD6" s="1">
        <f t="shared" si="7"/>
        <v>0.97362685821361639</v>
      </c>
      <c r="BE6" s="1">
        <f t="shared" si="8"/>
        <v>0.90547361517505809</v>
      </c>
      <c r="BF6" s="1">
        <f t="shared" si="9"/>
        <v>0.86975560428849896</v>
      </c>
      <c r="BG6" s="2">
        <v>56</v>
      </c>
      <c r="BH6" s="2">
        <v>28.5</v>
      </c>
      <c r="BI6" s="2">
        <v>500</v>
      </c>
      <c r="BJ6" s="2">
        <v>42.2</v>
      </c>
      <c r="BK6" s="4" t="s">
        <v>868</v>
      </c>
      <c r="BL6" s="4">
        <v>1.91</v>
      </c>
      <c r="BN6" s="13" t="s">
        <v>929</v>
      </c>
      <c r="BO6" s="13" t="s">
        <v>924</v>
      </c>
      <c r="BP6" s="14" t="s">
        <v>891</v>
      </c>
      <c r="BQ6" t="s">
        <v>969</v>
      </c>
      <c r="BR6" s="20" t="s">
        <v>1098</v>
      </c>
    </row>
    <row r="7" spans="1:70" x14ac:dyDescent="0.25">
      <c r="A7" t="s">
        <v>250</v>
      </c>
      <c r="B7" t="s">
        <v>251</v>
      </c>
      <c r="C7" s="13" t="s">
        <v>1194</v>
      </c>
      <c r="D7" s="13" t="s">
        <v>1570</v>
      </c>
      <c r="E7" s="1">
        <v>3.786</v>
      </c>
      <c r="F7" s="1">
        <v>2.4864999999999999</v>
      </c>
      <c r="G7" s="1">
        <v>3.1114999999999999</v>
      </c>
      <c r="H7" s="1">
        <v>2.1444999999999999</v>
      </c>
      <c r="I7" s="1">
        <v>3.3959999999999999</v>
      </c>
      <c r="J7" s="1">
        <v>2.4415</v>
      </c>
      <c r="K7" s="1">
        <v>0.73399999999999999</v>
      </c>
      <c r="L7" s="1">
        <v>0.78600000000000003</v>
      </c>
      <c r="M7" s="1">
        <v>0.83799999999999997</v>
      </c>
      <c r="N7" s="1">
        <v>3.13625</v>
      </c>
      <c r="O7" s="1">
        <v>2.6280000000000001</v>
      </c>
      <c r="P7" s="1">
        <v>2.9187500000000002</v>
      </c>
      <c r="Q7" s="1">
        <v>0.75409813599177811</v>
      </c>
      <c r="R7" s="1">
        <v>0.72455458662599326</v>
      </c>
      <c r="S7" s="1">
        <v>0.6950783021081397</v>
      </c>
      <c r="T7" s="2">
        <v>16.637000000000004</v>
      </c>
      <c r="U7" s="2">
        <v>12.925000000000001</v>
      </c>
      <c r="V7" s="2">
        <v>15.321</v>
      </c>
      <c r="W7" s="29">
        <f t="shared" si="1"/>
        <v>0.36699999999999999</v>
      </c>
      <c r="X7" s="29">
        <f t="shared" si="2"/>
        <v>0.39300000000000002</v>
      </c>
      <c r="Y7" s="29">
        <f t="shared" si="3"/>
        <v>0.41899999999999998</v>
      </c>
      <c r="Z7" s="1">
        <v>25.725009</v>
      </c>
      <c r="AA7" s="1">
        <v>18.536192</v>
      </c>
      <c r="AB7" s="1">
        <v>23.659893</v>
      </c>
      <c r="AC7" s="2">
        <v>16.483435</v>
      </c>
      <c r="AD7" s="2">
        <v>11.096101000000001</v>
      </c>
      <c r="AE7" s="2">
        <v>13.784858</v>
      </c>
      <c r="AF7" s="49">
        <f>(0.53149+0.45877)/2</f>
        <v>0.49513000000000001</v>
      </c>
      <c r="AG7" s="49">
        <f>(0.57179+0.3997)/2</f>
        <v>0.48574499999999998</v>
      </c>
      <c r="AH7" s="49">
        <f>(0.52637+0.40331)/2</f>
        <v>0.46484000000000003</v>
      </c>
      <c r="AI7" s="29">
        <v>0.13031899999999999</v>
      </c>
      <c r="AJ7" s="29">
        <v>0.12203600000000001</v>
      </c>
      <c r="AK7" s="29">
        <v>0.120958</v>
      </c>
      <c r="AL7" s="10">
        <v>28.636023000000002</v>
      </c>
      <c r="AM7" s="10">
        <v>28.745519999999999</v>
      </c>
      <c r="AN7" s="10">
        <v>29.363524999999999</v>
      </c>
      <c r="AO7" s="68">
        <v>0.46089648</v>
      </c>
      <c r="AP7" s="68">
        <v>0.44193504</v>
      </c>
      <c r="AQ7" s="68">
        <v>0.41688988999999999</v>
      </c>
      <c r="AR7" s="72">
        <v>32.534285714285716</v>
      </c>
      <c r="AS7" s="72">
        <v>38.860000000000007</v>
      </c>
      <c r="AT7" s="72">
        <v>33.134999999999998</v>
      </c>
      <c r="AU7" s="68">
        <v>0.93391999999999997</v>
      </c>
      <c r="AV7" s="68">
        <v>0.94269400000000003</v>
      </c>
      <c r="AW7" s="68">
        <v>0.88435900000000001</v>
      </c>
      <c r="AX7" s="29">
        <v>0.20867668506566101</v>
      </c>
      <c r="AY7" s="29">
        <v>0.21034697111617501</v>
      </c>
      <c r="AZ7" s="29">
        <v>0.36553613382120698</v>
      </c>
      <c r="BA7" s="1">
        <f t="shared" si="4"/>
        <v>0.86983442091435226</v>
      </c>
      <c r="BB7" s="1">
        <f t="shared" si="5"/>
        <v>0.88424943438390402</v>
      </c>
      <c r="BC7" s="1">
        <f t="shared" si="6"/>
        <v>0.90831919784568649</v>
      </c>
      <c r="BD7" s="1">
        <f t="shared" si="7"/>
        <v>0.99076967001262228</v>
      </c>
      <c r="BE7" s="1">
        <f t="shared" si="8"/>
        <v>0.85849911025145065</v>
      </c>
      <c r="BF7" s="1">
        <f t="shared" si="9"/>
        <v>0.8997361791005809</v>
      </c>
      <c r="BG7" s="2">
        <v>48</v>
      </c>
      <c r="BH7" s="2">
        <v>33.1</v>
      </c>
      <c r="BI7" s="2">
        <v>235</v>
      </c>
      <c r="BJ7" s="2">
        <v>40.5</v>
      </c>
      <c r="BK7" s="4" t="s">
        <v>868</v>
      </c>
      <c r="BL7" s="4">
        <v>1.91</v>
      </c>
      <c r="BN7" s="13" t="s">
        <v>929</v>
      </c>
      <c r="BO7" s="13" t="s">
        <v>924</v>
      </c>
      <c r="BP7" t="s">
        <v>888</v>
      </c>
      <c r="BQ7" t="s">
        <v>969</v>
      </c>
      <c r="BR7" s="20" t="s">
        <v>1098</v>
      </c>
    </row>
    <row r="8" spans="1:70" x14ac:dyDescent="0.25">
      <c r="A8" t="s">
        <v>252</v>
      </c>
      <c r="B8" t="s">
        <v>253</v>
      </c>
      <c r="C8" s="13" t="s">
        <v>1195</v>
      </c>
      <c r="D8" s="13" t="s">
        <v>1570</v>
      </c>
      <c r="E8" s="1">
        <v>1.7284999999999999</v>
      </c>
      <c r="F8" s="1">
        <v>1.0974999999999999</v>
      </c>
      <c r="G8" s="1">
        <v>1.4904999999999999</v>
      </c>
      <c r="H8" s="1">
        <v>1.0285</v>
      </c>
      <c r="I8" s="1">
        <v>1.7789999999999999</v>
      </c>
      <c r="J8" s="1">
        <v>1.129</v>
      </c>
      <c r="K8" s="1">
        <v>0.32940000000000003</v>
      </c>
      <c r="L8" s="1">
        <v>0.3352</v>
      </c>
      <c r="M8" s="1">
        <v>0.30659999999999998</v>
      </c>
      <c r="N8" s="1">
        <v>1.4129999999999998</v>
      </c>
      <c r="O8" s="1">
        <v>1.2595000000000001</v>
      </c>
      <c r="P8" s="1">
        <v>1.454</v>
      </c>
      <c r="Q8" s="1">
        <v>0.77255849880507799</v>
      </c>
      <c r="R8" s="1">
        <v>0.72377418863146648</v>
      </c>
      <c r="S8" s="1">
        <v>0.77281925006142715</v>
      </c>
      <c r="T8" s="2">
        <v>5.5149999999999997</v>
      </c>
      <c r="U8" s="2">
        <v>5.3230000000000004</v>
      </c>
      <c r="V8" s="2">
        <v>7.3250000000000002</v>
      </c>
      <c r="W8" s="29">
        <f t="shared" si="1"/>
        <v>0.16470000000000001</v>
      </c>
      <c r="X8" s="29">
        <f t="shared" si="2"/>
        <v>0.1676</v>
      </c>
      <c r="Y8" s="29">
        <f t="shared" si="3"/>
        <v>0.15329999999999999</v>
      </c>
      <c r="Z8" s="1">
        <v>4.6152730000000002</v>
      </c>
      <c r="AA8" s="1">
        <v>4.1311720000000003</v>
      </c>
      <c r="AB8" s="1">
        <v>5.6266069999999999</v>
      </c>
      <c r="AC8" s="2">
        <v>5.1309120000000004</v>
      </c>
      <c r="AD8" s="2">
        <v>4.8980810000000004</v>
      </c>
      <c r="AE8" s="2">
        <v>5.9713079999999996</v>
      </c>
      <c r="AF8" s="49">
        <f>(0.231+0.233)/2</f>
        <v>0.23200000000000001</v>
      </c>
      <c r="AG8" s="49">
        <f>(0.179+0.228)/2</f>
        <v>0.20350000000000001</v>
      </c>
      <c r="AH8" s="49">
        <f>(0.195+0.248)/2</f>
        <v>0.2215</v>
      </c>
      <c r="AI8" s="29">
        <v>2.7810999999999999E-2</v>
      </c>
      <c r="AJ8" s="29">
        <v>2.6429000000000001E-2</v>
      </c>
      <c r="AK8" s="29">
        <v>2.5167999999999999E-2</v>
      </c>
      <c r="AL8" s="10">
        <v>27.724309000000002</v>
      </c>
      <c r="AM8" s="10">
        <v>27.585256999999999</v>
      </c>
      <c r="AN8" s="10">
        <v>28.21237</v>
      </c>
      <c r="AO8" s="68">
        <v>0.234252986666667</v>
      </c>
      <c r="AP8" s="68">
        <v>0.246032055</v>
      </c>
      <c r="AQ8" s="68">
        <v>0.26524965</v>
      </c>
      <c r="AR8" s="72">
        <v>27.046666666666667</v>
      </c>
      <c r="AS8" s="72">
        <v>27.182499999999997</v>
      </c>
      <c r="AT8" s="72">
        <v>27.475000000000001</v>
      </c>
      <c r="AU8" s="68">
        <v>0.21279200000000001</v>
      </c>
      <c r="AV8" s="68">
        <v>0.20008300000000001</v>
      </c>
      <c r="AW8" s="68">
        <v>0.224826</v>
      </c>
      <c r="AX8" s="29">
        <v>2.3846513033492598</v>
      </c>
      <c r="AY8" s="29">
        <v>2.6662079931642002</v>
      </c>
      <c r="AZ8" s="29">
        <v>2.8747046271230801</v>
      </c>
      <c r="BA8" s="1">
        <f t="shared" si="4"/>
        <v>0.77441473848887232</v>
      </c>
      <c r="BB8" s="1">
        <f t="shared" si="5"/>
        <v>0.85780214515340836</v>
      </c>
      <c r="BC8" s="1">
        <f t="shared" si="6"/>
        <v>0.89171653433892417</v>
      </c>
      <c r="BD8" s="1">
        <f t="shared" si="7"/>
        <v>0.93035575702629203</v>
      </c>
      <c r="BE8" s="1">
        <f t="shared" si="8"/>
        <v>0.92017302273154233</v>
      </c>
      <c r="BF8" s="1">
        <f t="shared" si="9"/>
        <v>0.81519563139931739</v>
      </c>
      <c r="BG8" s="2">
        <v>23.3</v>
      </c>
      <c r="BH8" s="2">
        <v>15.3</v>
      </c>
      <c r="BI8" s="2">
        <v>29</v>
      </c>
      <c r="BJ8" s="2">
        <v>41.7</v>
      </c>
      <c r="BK8" s="4" t="s">
        <v>868</v>
      </c>
      <c r="BL8" s="4">
        <v>1.91</v>
      </c>
      <c r="BN8" s="13" t="s">
        <v>929</v>
      </c>
      <c r="BO8" s="13" t="s">
        <v>924</v>
      </c>
      <c r="BP8" s="14" t="s">
        <v>954</v>
      </c>
      <c r="BQ8" t="s">
        <v>998</v>
      </c>
      <c r="BR8" s="20" t="s">
        <v>1098</v>
      </c>
    </row>
    <row r="9" spans="1:70" x14ac:dyDescent="0.25">
      <c r="A9" t="s">
        <v>269</v>
      </c>
      <c r="B9" t="s">
        <v>270</v>
      </c>
      <c r="C9" s="13" t="s">
        <v>1196</v>
      </c>
      <c r="D9" s="13" t="s">
        <v>1570</v>
      </c>
      <c r="E9" s="1">
        <v>1.81</v>
      </c>
      <c r="F9" s="1">
        <v>1.38</v>
      </c>
      <c r="G9" s="1">
        <v>1.39</v>
      </c>
      <c r="H9" s="1">
        <v>0.88</v>
      </c>
      <c r="I9" s="1">
        <v>1.87</v>
      </c>
      <c r="J9" s="1">
        <v>1.18</v>
      </c>
      <c r="K9" s="1">
        <v>0.32</v>
      </c>
      <c r="L9" s="1">
        <v>0.26</v>
      </c>
      <c r="M9" s="1">
        <v>0.39</v>
      </c>
      <c r="N9" s="1">
        <v>1.595</v>
      </c>
      <c r="O9" s="1">
        <v>1.135</v>
      </c>
      <c r="P9" s="1">
        <v>1.5249999999999999</v>
      </c>
      <c r="Q9" s="1">
        <v>0.64706959665106167</v>
      </c>
      <c r="R9" s="1">
        <v>0.77407531182394829</v>
      </c>
      <c r="S9" s="1">
        <v>0.77576978141283925</v>
      </c>
      <c r="T9" s="2">
        <v>7.2</v>
      </c>
      <c r="U9" s="2">
        <v>4.8</v>
      </c>
      <c r="V9" s="2">
        <v>7.7</v>
      </c>
      <c r="W9" s="29">
        <f t="shared" si="1"/>
        <v>0.16</v>
      </c>
      <c r="X9" s="29">
        <f t="shared" si="2"/>
        <v>0.13</v>
      </c>
      <c r="Y9" s="29">
        <f t="shared" si="3"/>
        <v>0.19500000000000001</v>
      </c>
      <c r="Z9" s="1">
        <v>6.0515249999999998</v>
      </c>
      <c r="AA9" s="1">
        <v>3.2422810000000002</v>
      </c>
      <c r="AB9" s="1">
        <v>5.6708360000000004</v>
      </c>
      <c r="AC9" s="2">
        <v>8.0295190000000005</v>
      </c>
      <c r="AD9" s="2">
        <v>4.4285519999999998</v>
      </c>
      <c r="AE9" s="2">
        <v>6.807023</v>
      </c>
      <c r="AF9" s="49">
        <f>(0.235+0.232)/2</f>
        <v>0.23349999999999999</v>
      </c>
      <c r="AG9" s="49">
        <f>(0.229+0.225)/2</f>
        <v>0.22700000000000001</v>
      </c>
      <c r="AH9" s="49">
        <f>(0.233+0.224)/2</f>
        <v>0.22850000000000001</v>
      </c>
      <c r="AI9" s="29">
        <v>2.7858000000000001E-2</v>
      </c>
      <c r="AJ9" s="29">
        <v>3.0248000000000001E-2</v>
      </c>
      <c r="AK9" s="29">
        <v>2.9808999999999999E-2</v>
      </c>
      <c r="AL9" s="10">
        <v>29.173331000000001</v>
      </c>
      <c r="AM9" s="10">
        <v>28.620730999999999</v>
      </c>
      <c r="AN9" s="10">
        <v>29.186461000000001</v>
      </c>
      <c r="AO9" s="68">
        <v>0.21567997250000001</v>
      </c>
      <c r="AP9" s="68">
        <v>0.21951551666666699</v>
      </c>
      <c r="AQ9" s="68">
        <v>0.241717076</v>
      </c>
      <c r="AR9" s="72">
        <v>23.408749999999998</v>
      </c>
      <c r="AS9" s="72">
        <v>26.941666666666666</v>
      </c>
      <c r="AT9" s="72">
        <v>30.533999999999999</v>
      </c>
      <c r="AU9" s="68">
        <v>0.190799</v>
      </c>
      <c r="AV9" s="68">
        <v>0.19947899999999999</v>
      </c>
      <c r="AW9" s="68">
        <v>0.20425299999999999</v>
      </c>
      <c r="AX9" s="29">
        <v>2.9027606719343702</v>
      </c>
      <c r="AY9" s="29">
        <v>2.3484278261712102</v>
      </c>
      <c r="AZ9" s="29">
        <v>2.8116905606207299</v>
      </c>
      <c r="BA9" s="1">
        <f t="shared" si="4"/>
        <v>0.771182734401619</v>
      </c>
      <c r="BB9" s="1">
        <f t="shared" si="5"/>
        <v>0.84372964035796871</v>
      </c>
      <c r="BC9" s="1">
        <f t="shared" si="6"/>
        <v>0.81803823154488486</v>
      </c>
      <c r="BD9" s="1">
        <f t="shared" si="7"/>
        <v>1.1152109722222223</v>
      </c>
      <c r="BE9" s="1">
        <f t="shared" si="8"/>
        <v>0.92261499999999996</v>
      </c>
      <c r="BF9" s="1">
        <f t="shared" si="9"/>
        <v>0.884028961038961</v>
      </c>
      <c r="BG9" s="2">
        <v>29</v>
      </c>
      <c r="BH9" s="2">
        <v>16.8</v>
      </c>
      <c r="BI9" s="2">
        <v>23</v>
      </c>
      <c r="BJ9" s="2">
        <v>43.5</v>
      </c>
      <c r="BK9" s="4" t="s">
        <v>868</v>
      </c>
      <c r="BL9" s="4">
        <v>1.91</v>
      </c>
      <c r="BN9" s="21" t="s">
        <v>925</v>
      </c>
      <c r="BO9" s="21" t="s">
        <v>924</v>
      </c>
      <c r="BP9" s="24" t="s">
        <v>925</v>
      </c>
      <c r="BQ9" s="24" t="s">
        <v>969</v>
      </c>
      <c r="BR9" s="20" t="s">
        <v>1098</v>
      </c>
    </row>
    <row r="10" spans="1:70" x14ac:dyDescent="0.25">
      <c r="A10" t="s">
        <v>271</v>
      </c>
      <c r="B10" t="s">
        <v>272</v>
      </c>
      <c r="C10" s="13" t="s">
        <v>1197</v>
      </c>
      <c r="D10" s="13" t="s">
        <v>1570</v>
      </c>
      <c r="E10" s="1">
        <v>1.75</v>
      </c>
      <c r="F10" s="1">
        <v>1.43</v>
      </c>
      <c r="G10" s="1">
        <v>1.18</v>
      </c>
      <c r="H10" s="1">
        <v>1.05</v>
      </c>
      <c r="I10" s="1">
        <v>1.81</v>
      </c>
      <c r="J10" s="1">
        <v>1.0900000000000001</v>
      </c>
      <c r="K10" s="1">
        <v>0.33</v>
      </c>
      <c r="L10" s="1">
        <v>0.46</v>
      </c>
      <c r="M10" s="1">
        <v>0.43</v>
      </c>
      <c r="N10" s="1">
        <v>1.5899999999999999</v>
      </c>
      <c r="O10" s="1">
        <v>1.115</v>
      </c>
      <c r="P10" s="1">
        <v>1.4500000000000002</v>
      </c>
      <c r="Q10" s="1">
        <v>0.57643520973341689</v>
      </c>
      <c r="R10" s="1">
        <v>0.45629120766006104</v>
      </c>
      <c r="S10" s="1">
        <v>0.79833776212987595</v>
      </c>
      <c r="T10" s="2">
        <v>8</v>
      </c>
      <c r="U10" s="2">
        <v>5.6719999999999997</v>
      </c>
      <c r="V10" s="2">
        <v>8.1999999999999993</v>
      </c>
      <c r="W10" s="29">
        <f t="shared" si="1"/>
        <v>0.16500000000000001</v>
      </c>
      <c r="X10" s="29">
        <f t="shared" si="2"/>
        <v>0.23</v>
      </c>
      <c r="Y10" s="29">
        <f t="shared" si="3"/>
        <v>0.215</v>
      </c>
      <c r="Z10" s="1">
        <v>6.3701109999999996</v>
      </c>
      <c r="AA10" s="1">
        <v>3.736421</v>
      </c>
      <c r="AB10" s="1">
        <v>5.7086600000000001</v>
      </c>
      <c r="AC10" s="2">
        <v>8.6022929999999995</v>
      </c>
      <c r="AD10" s="2">
        <v>5.1343120000000004</v>
      </c>
      <c r="AE10" s="2">
        <v>6.607558</v>
      </c>
      <c r="AF10" s="2" t="s">
        <v>40</v>
      </c>
      <c r="AG10" s="2" t="s">
        <v>40</v>
      </c>
      <c r="AH10" s="2" t="s">
        <v>40</v>
      </c>
      <c r="AI10" s="29">
        <v>3.2273999999999997E-2</v>
      </c>
      <c r="AJ10" s="29">
        <v>3.3454999999999999E-2</v>
      </c>
      <c r="AK10" s="29">
        <v>3.184E-2</v>
      </c>
      <c r="AL10" s="10">
        <v>28.782252</v>
      </c>
      <c r="AM10" s="10">
        <v>28.410717000000002</v>
      </c>
      <c r="AN10" s="10">
        <v>29.1008</v>
      </c>
      <c r="AO10" s="68">
        <v>0.21585762</v>
      </c>
      <c r="AP10" s="68">
        <v>0.25195049666666702</v>
      </c>
      <c r="AQ10" s="68">
        <v>0.252252745</v>
      </c>
      <c r="AR10" s="72">
        <v>23.687142857142856</v>
      </c>
      <c r="AS10" s="72">
        <v>31.01166666666667</v>
      </c>
      <c r="AT10" s="72">
        <v>33.017499999999998</v>
      </c>
      <c r="AU10" s="68">
        <v>0.203512</v>
      </c>
      <c r="AV10" s="68">
        <v>0.18907199999999999</v>
      </c>
      <c r="AW10" s="68">
        <v>0.20541899999999999</v>
      </c>
      <c r="AX10" s="29">
        <v>2.33073313371042</v>
      </c>
      <c r="AY10" s="29">
        <v>2.99885853086939</v>
      </c>
      <c r="AZ10" s="29">
        <v>3.21293536952704</v>
      </c>
      <c r="BA10" s="1">
        <f t="shared" si="4"/>
        <v>0.81025746548975552</v>
      </c>
      <c r="BB10" s="1">
        <f t="shared" si="5"/>
        <v>0.95991908252197367</v>
      </c>
      <c r="BC10" s="1">
        <f t="shared" si="6"/>
        <v>0.92104157071415604</v>
      </c>
      <c r="BD10" s="1">
        <f t="shared" si="7"/>
        <v>1.0752866249999999</v>
      </c>
      <c r="BE10" s="1">
        <f t="shared" si="8"/>
        <v>0.9052031029619183</v>
      </c>
      <c r="BF10" s="1">
        <f t="shared" si="9"/>
        <v>0.80579975609756105</v>
      </c>
      <c r="BG10" s="2">
        <v>29</v>
      </c>
      <c r="BH10" s="2">
        <v>17.5</v>
      </c>
      <c r="BI10" s="2">
        <v>30.8</v>
      </c>
      <c r="BJ10" s="2">
        <v>41.5</v>
      </c>
      <c r="BK10" s="4" t="s">
        <v>868</v>
      </c>
      <c r="BL10" s="4">
        <v>1.91</v>
      </c>
      <c r="BN10" s="21" t="s">
        <v>925</v>
      </c>
      <c r="BO10" s="21" t="s">
        <v>924</v>
      </c>
      <c r="BP10" s="24" t="s">
        <v>911</v>
      </c>
      <c r="BQ10" s="24" t="s">
        <v>1000</v>
      </c>
      <c r="BR10" s="20" t="s">
        <v>1098</v>
      </c>
    </row>
    <row r="11" spans="1:70" x14ac:dyDescent="0.25">
      <c r="A11" t="s">
        <v>283</v>
      </c>
      <c r="B11" t="s">
        <v>284</v>
      </c>
      <c r="C11" s="13" t="s">
        <v>1198</v>
      </c>
      <c r="D11" s="13" t="s">
        <v>1570</v>
      </c>
      <c r="E11" s="1">
        <v>2.4954999999999998</v>
      </c>
      <c r="F11" s="1">
        <v>1.8935</v>
      </c>
      <c r="G11" s="1">
        <v>2.0665</v>
      </c>
      <c r="H11" s="1">
        <v>1.4275</v>
      </c>
      <c r="I11" s="1">
        <v>2.4119999999999999</v>
      </c>
      <c r="J11" s="1">
        <v>1.6775</v>
      </c>
      <c r="K11" s="1">
        <v>0.42799999999999999</v>
      </c>
      <c r="L11" s="1">
        <v>0.4612</v>
      </c>
      <c r="M11" s="1">
        <v>0.41539999999999999</v>
      </c>
      <c r="N11" s="1">
        <v>2.1944999999999997</v>
      </c>
      <c r="O11" s="1">
        <v>1.7469999999999999</v>
      </c>
      <c r="P11" s="1">
        <v>2.0447500000000001</v>
      </c>
      <c r="Q11" s="1">
        <v>0.65136356478340063</v>
      </c>
      <c r="R11" s="1">
        <v>0.72306355117240384</v>
      </c>
      <c r="S11" s="1">
        <v>0.71854455521467597</v>
      </c>
      <c r="T11" s="2">
        <v>12.792999999999999</v>
      </c>
      <c r="U11" s="2">
        <v>8.6940000000000008</v>
      </c>
      <c r="V11" s="2">
        <v>11.141999999999999</v>
      </c>
      <c r="W11" s="29">
        <f t="shared" si="1"/>
        <v>0.214</v>
      </c>
      <c r="X11" s="29">
        <f t="shared" si="2"/>
        <v>0.2306</v>
      </c>
      <c r="Y11" s="29">
        <f t="shared" si="3"/>
        <v>0.2077</v>
      </c>
      <c r="Z11" s="1">
        <v>13.147969</v>
      </c>
      <c r="AA11" s="1">
        <v>8.0966629999999995</v>
      </c>
      <c r="AB11" s="1">
        <v>10.527963</v>
      </c>
      <c r="AC11" s="2">
        <v>12.634601</v>
      </c>
      <c r="AD11" s="2">
        <v>7.3080559999999997</v>
      </c>
      <c r="AE11" s="2">
        <v>9.2306539999999995</v>
      </c>
      <c r="AF11" s="2" t="s">
        <v>40</v>
      </c>
      <c r="AG11" s="2" t="s">
        <v>40</v>
      </c>
      <c r="AH11" s="2" t="s">
        <v>40</v>
      </c>
      <c r="AI11" s="29">
        <v>5.5489999999999998E-2</v>
      </c>
      <c r="AJ11" s="29">
        <v>5.5113000000000002E-2</v>
      </c>
      <c r="AK11" s="29">
        <v>5.1692000000000002E-2</v>
      </c>
      <c r="AL11" s="10">
        <v>28.35839</v>
      </c>
      <c r="AM11" s="10">
        <v>27.877645999999999</v>
      </c>
      <c r="AN11" s="10">
        <v>28.587084000000001</v>
      </c>
      <c r="AO11" s="68">
        <v>0.318207715</v>
      </c>
      <c r="AP11" s="68">
        <v>0.3330708</v>
      </c>
      <c r="AQ11" s="68">
        <v>0.33537405199999998</v>
      </c>
      <c r="AR11" s="72">
        <v>34.372499999999995</v>
      </c>
      <c r="AS11" s="72">
        <v>33.200000000000003</v>
      </c>
      <c r="AT11" s="72">
        <v>33.417999999999992</v>
      </c>
      <c r="AU11" s="68">
        <v>0.39555699999999999</v>
      </c>
      <c r="AV11" s="68">
        <v>0.416103</v>
      </c>
      <c r="AW11" s="68">
        <v>0.43521100000000001</v>
      </c>
      <c r="AX11" s="29">
        <v>1.1179214083567801</v>
      </c>
      <c r="AY11" s="29">
        <v>1.0215017297597</v>
      </c>
      <c r="AZ11" s="29">
        <v>1.0446731150439701</v>
      </c>
      <c r="BA11" s="1">
        <f t="shared" si="4"/>
        <v>0.8856985120749451</v>
      </c>
      <c r="BB11" s="1">
        <f t="shared" si="5"/>
        <v>0.87366444969171164</v>
      </c>
      <c r="BC11" s="1">
        <f t="shared" si="6"/>
        <v>0.82823703249207514</v>
      </c>
      <c r="BD11" s="1">
        <f t="shared" si="7"/>
        <v>0.9876183068865787</v>
      </c>
      <c r="BE11" s="1">
        <f t="shared" si="8"/>
        <v>0.84058615136875992</v>
      </c>
      <c r="BF11" s="1">
        <f t="shared" si="9"/>
        <v>0.82845575300664154</v>
      </c>
      <c r="BG11" s="2">
        <v>46.3</v>
      </c>
      <c r="BH11" s="2">
        <v>21.9</v>
      </c>
      <c r="BI11" s="2">
        <v>100</v>
      </c>
      <c r="BJ11" s="2">
        <v>43.2</v>
      </c>
      <c r="BK11" s="4" t="s">
        <v>868</v>
      </c>
      <c r="BL11" s="4">
        <v>1.91</v>
      </c>
      <c r="BN11" s="21" t="s">
        <v>929</v>
      </c>
      <c r="BO11" s="21" t="s">
        <v>924</v>
      </c>
      <c r="BP11" s="24" t="s">
        <v>914</v>
      </c>
      <c r="BQ11" s="24" t="s">
        <v>969</v>
      </c>
      <c r="BR11" s="20" t="s">
        <v>1098</v>
      </c>
    </row>
    <row r="12" spans="1:70" x14ac:dyDescent="0.25">
      <c r="A12" t="s">
        <v>351</v>
      </c>
      <c r="B12" t="s">
        <v>352</v>
      </c>
      <c r="C12" s="13" t="s">
        <v>1199</v>
      </c>
      <c r="D12" s="13" t="s">
        <v>1571</v>
      </c>
      <c r="E12" s="1">
        <v>1.3754999999999999</v>
      </c>
      <c r="F12" s="1">
        <v>0.5675</v>
      </c>
      <c r="G12" s="1">
        <v>1.1625000000000001</v>
      </c>
      <c r="H12" s="1">
        <v>0.5605</v>
      </c>
      <c r="I12" s="1">
        <v>1.1599999999999999</v>
      </c>
      <c r="J12" s="1">
        <v>0.67</v>
      </c>
      <c r="K12" s="1">
        <v>0.187</v>
      </c>
      <c r="L12" s="1">
        <v>0.185</v>
      </c>
      <c r="M12" s="1">
        <v>0.20799999999999999</v>
      </c>
      <c r="N12" s="1">
        <v>0.97150000000000003</v>
      </c>
      <c r="O12" s="1">
        <v>0.86150000000000004</v>
      </c>
      <c r="P12" s="1">
        <v>0.91500000000000004</v>
      </c>
      <c r="Q12" s="1">
        <v>0.91092261867112367</v>
      </c>
      <c r="R12" s="1">
        <v>0.87608838541487966</v>
      </c>
      <c r="S12" s="1">
        <v>0.81632969663173072</v>
      </c>
      <c r="T12" s="2">
        <v>3.855</v>
      </c>
      <c r="U12" s="2">
        <v>3.206</v>
      </c>
      <c r="V12" s="2">
        <v>2.61</v>
      </c>
      <c r="W12" s="29">
        <f t="shared" si="1"/>
        <v>9.35E-2</v>
      </c>
      <c r="X12" s="29">
        <f t="shared" si="2"/>
        <v>9.2499999999999999E-2</v>
      </c>
      <c r="Y12" s="29">
        <f t="shared" si="3"/>
        <v>0.104</v>
      </c>
      <c r="Z12" s="1">
        <v>2.1616119999999999</v>
      </c>
      <c r="AA12" s="1">
        <v>1.6121300000000001</v>
      </c>
      <c r="AB12" s="1">
        <v>2.2489979999999998</v>
      </c>
      <c r="AC12" s="2">
        <v>3.5402179999999999</v>
      </c>
      <c r="AD12" s="2">
        <v>2.9188369999999999</v>
      </c>
      <c r="AE12" s="2">
        <v>2.5931380000000002</v>
      </c>
      <c r="AF12" s="49">
        <f>(0.21+0.18)/2</f>
        <v>0.19500000000000001</v>
      </c>
      <c r="AG12" s="49">
        <f>(0.19+0.12)/2</f>
        <v>0.155</v>
      </c>
      <c r="AH12" s="49">
        <f>(0.22+0.21)/2</f>
        <v>0.215</v>
      </c>
      <c r="AI12" s="29">
        <v>2.3217999999999999E-2</v>
      </c>
      <c r="AJ12" s="29">
        <v>2.0115000000000001E-2</v>
      </c>
      <c r="AK12" s="29">
        <v>2.1999999999999999E-2</v>
      </c>
      <c r="AL12" s="10">
        <v>29.800048</v>
      </c>
      <c r="AM12" s="10">
        <v>29.304236</v>
      </c>
      <c r="AN12" s="10">
        <v>28.166069</v>
      </c>
      <c r="AO12" s="68">
        <v>0.15390799999999999</v>
      </c>
      <c r="AP12" s="68">
        <v>0.16975799999999999</v>
      </c>
      <c r="AQ12" s="68">
        <v>0.16964599999999999</v>
      </c>
      <c r="AR12" s="72">
        <v>20</v>
      </c>
      <c r="AS12" s="72">
        <v>20</v>
      </c>
      <c r="AT12" s="72">
        <v>20</v>
      </c>
      <c r="AU12" s="68">
        <v>9.9895999999999999E-2</v>
      </c>
      <c r="AV12" s="68">
        <v>9.8294000000000006E-2</v>
      </c>
      <c r="AW12" s="68">
        <v>0.10094599999999999</v>
      </c>
      <c r="AX12" s="29">
        <v>8.4641615708559694</v>
      </c>
      <c r="AY12" s="29">
        <v>9.0237762952537803</v>
      </c>
      <c r="AZ12" s="29">
        <v>7.73553919947088</v>
      </c>
      <c r="BA12" s="1">
        <f t="shared" si="4"/>
        <v>0.88145756489800731</v>
      </c>
      <c r="BB12" s="1">
        <f t="shared" si="5"/>
        <v>0.78755629756607404</v>
      </c>
      <c r="BC12" s="1">
        <f t="shared" si="6"/>
        <v>0.92109919892894077</v>
      </c>
      <c r="BD12" s="1">
        <f t="shared" si="7"/>
        <v>0.91834448767833976</v>
      </c>
      <c r="BE12" s="1">
        <f t="shared" si="8"/>
        <v>0.91042950717404869</v>
      </c>
      <c r="BF12" s="1">
        <f t="shared" si="9"/>
        <v>0.99353946360153267</v>
      </c>
      <c r="BG12" s="2">
        <v>19.8</v>
      </c>
      <c r="BH12" s="2">
        <v>14.2</v>
      </c>
      <c r="BI12" s="2">
        <v>6.2</v>
      </c>
      <c r="BJ12" s="2" t="s">
        <v>40</v>
      </c>
      <c r="BK12" s="4" t="s">
        <v>866</v>
      </c>
      <c r="BL12" s="4">
        <v>1.19</v>
      </c>
      <c r="BN12" s="21" t="s">
        <v>925</v>
      </c>
      <c r="BO12" s="21" t="s">
        <v>925</v>
      </c>
      <c r="BP12" s="24" t="s">
        <v>937</v>
      </c>
      <c r="BQ12" s="23" t="s">
        <v>40</v>
      </c>
      <c r="BR12" s="20" t="s">
        <v>1098</v>
      </c>
    </row>
    <row r="13" spans="1:70" x14ac:dyDescent="0.25">
      <c r="A13" t="s">
        <v>361</v>
      </c>
      <c r="B13" t="s">
        <v>362</v>
      </c>
      <c r="C13" s="13" t="s">
        <v>1200</v>
      </c>
      <c r="D13" s="13" t="s">
        <v>1571</v>
      </c>
      <c r="E13" s="1">
        <v>2.4535</v>
      </c>
      <c r="F13" s="1">
        <v>0.85550000000000004</v>
      </c>
      <c r="G13" s="1">
        <v>2.34</v>
      </c>
      <c r="H13" s="1">
        <v>0.996</v>
      </c>
      <c r="I13" s="1">
        <v>2.4224999999999999</v>
      </c>
      <c r="J13" s="1">
        <v>1.5549999999999999</v>
      </c>
      <c r="K13" s="1">
        <v>0.501</v>
      </c>
      <c r="L13" s="1">
        <v>0.434</v>
      </c>
      <c r="M13" s="1">
        <v>0.433</v>
      </c>
      <c r="N13" s="1">
        <v>1.6545000000000001</v>
      </c>
      <c r="O13" s="1">
        <v>1.6679999999999999</v>
      </c>
      <c r="P13" s="1">
        <v>1.98875</v>
      </c>
      <c r="Q13" s="1">
        <v>0.93723976993465985</v>
      </c>
      <c r="R13" s="1">
        <v>0.90489210256872932</v>
      </c>
      <c r="S13" s="1">
        <v>0.76678931093020097</v>
      </c>
      <c r="T13" s="2">
        <v>6.4359999999999999</v>
      </c>
      <c r="U13" s="2">
        <v>6.7290000000000001</v>
      </c>
      <c r="V13" s="2">
        <v>7.7759999999999998</v>
      </c>
      <c r="W13" s="29">
        <f t="shared" si="1"/>
        <v>0.2505</v>
      </c>
      <c r="X13" s="29">
        <f t="shared" si="2"/>
        <v>0.217</v>
      </c>
      <c r="Y13" s="29">
        <f t="shared" si="3"/>
        <v>0.2165</v>
      </c>
      <c r="Z13" s="1">
        <v>5.4429980000000002</v>
      </c>
      <c r="AA13" s="1">
        <v>6.0735849999999996</v>
      </c>
      <c r="AB13" s="1">
        <v>10.928838000000001</v>
      </c>
      <c r="AC13" s="2">
        <v>5.5630740000000003</v>
      </c>
      <c r="AD13" s="2">
        <v>5.9900589999999996</v>
      </c>
      <c r="AE13" s="2">
        <v>6.0783389999999997</v>
      </c>
      <c r="AF13" s="49">
        <f>(0.38+0.371)/2</f>
        <v>0.3755</v>
      </c>
      <c r="AG13" s="49">
        <f>(0.357+0.395)/2</f>
        <v>0.376</v>
      </c>
      <c r="AH13" s="49">
        <f>(0.339+0.3)/2</f>
        <v>0.31950000000000001</v>
      </c>
      <c r="AI13" s="29">
        <v>7.9643000000000005E-2</v>
      </c>
      <c r="AJ13" s="29">
        <v>7.8932000000000002E-2</v>
      </c>
      <c r="AK13" s="29">
        <v>6.0454000000000001E-2</v>
      </c>
      <c r="AL13" s="10">
        <v>27.528441999999998</v>
      </c>
      <c r="AM13" s="10">
        <v>28.549002999999999</v>
      </c>
      <c r="AN13" s="10">
        <v>27.555551999999999</v>
      </c>
      <c r="AO13" s="68">
        <v>0.27943324000000003</v>
      </c>
      <c r="AP13" s="68">
        <v>0.30174139500000002</v>
      </c>
      <c r="AQ13" s="68">
        <v>0.31797019999999998</v>
      </c>
      <c r="AR13" s="72">
        <v>55.660000000000004</v>
      </c>
      <c r="AS13" s="72">
        <v>62.992500000000007</v>
      </c>
      <c r="AT13" s="72">
        <v>54.300000000000004</v>
      </c>
      <c r="AU13" s="68">
        <v>0.38225199999999998</v>
      </c>
      <c r="AV13" s="68">
        <v>0.402534</v>
      </c>
      <c r="AW13" s="68">
        <v>0.34847099999999998</v>
      </c>
      <c r="AX13" s="29">
        <v>1.37756392866434</v>
      </c>
      <c r="AY13" s="29">
        <v>1.3945684816318</v>
      </c>
      <c r="AZ13" s="29">
        <v>1.5425887625697901</v>
      </c>
      <c r="BA13" s="1">
        <f t="shared" si="4"/>
        <v>0.82543375701125699</v>
      </c>
      <c r="BB13" s="1">
        <f t="shared" si="5"/>
        <v>0.8295069809483997</v>
      </c>
      <c r="BC13" s="1">
        <f t="shared" si="6"/>
        <v>0.92348519338094082</v>
      </c>
      <c r="BD13" s="1">
        <f t="shared" si="7"/>
        <v>0.86436824114356747</v>
      </c>
      <c r="BE13" s="1">
        <f t="shared" si="8"/>
        <v>0.89018561450438394</v>
      </c>
      <c r="BF13" s="1">
        <f t="shared" si="9"/>
        <v>0.78167939814814813</v>
      </c>
      <c r="BG13" s="2">
        <v>69.071592512213385</v>
      </c>
      <c r="BH13" s="2">
        <v>45.029554604966506</v>
      </c>
      <c r="BI13" s="2">
        <v>3599</v>
      </c>
      <c r="BJ13" s="2">
        <v>30.774999999999999</v>
      </c>
      <c r="BK13" s="4" t="s">
        <v>866</v>
      </c>
      <c r="BL13" s="4">
        <v>1.19</v>
      </c>
      <c r="BN13" s="21" t="s">
        <v>923</v>
      </c>
      <c r="BO13" s="21" t="s">
        <v>924</v>
      </c>
      <c r="BP13" s="24" t="s">
        <v>938</v>
      </c>
      <c r="BQ13" s="24" t="s">
        <v>1019</v>
      </c>
      <c r="BR13" s="20" t="s">
        <v>1098</v>
      </c>
    </row>
    <row r="14" spans="1:70" x14ac:dyDescent="0.25">
      <c r="A14" t="s">
        <v>424</v>
      </c>
      <c r="B14" t="s">
        <v>430</v>
      </c>
      <c r="C14" s="13" t="s">
        <v>1201</v>
      </c>
      <c r="D14" s="13" t="s">
        <v>1571</v>
      </c>
      <c r="E14" s="1">
        <v>3.4514999999999998</v>
      </c>
      <c r="F14" s="1">
        <v>1.4644999999999999</v>
      </c>
      <c r="G14" s="1">
        <v>2.93</v>
      </c>
      <c r="H14" s="1">
        <v>1.4015</v>
      </c>
      <c r="I14" s="1">
        <v>2.4245000000000001</v>
      </c>
      <c r="J14" s="1">
        <v>1.6715</v>
      </c>
      <c r="K14" s="1">
        <v>0.45100000000000001</v>
      </c>
      <c r="L14" s="1">
        <v>0.497</v>
      </c>
      <c r="M14" s="1">
        <v>0.45200000000000001</v>
      </c>
      <c r="N14" s="1">
        <v>2.4579999999999997</v>
      </c>
      <c r="O14" s="1">
        <v>2.1657500000000001</v>
      </c>
      <c r="P14" s="1">
        <v>2.048</v>
      </c>
      <c r="Q14" s="1">
        <v>0.90551780242634439</v>
      </c>
      <c r="R14" s="1">
        <v>0.87818145276462001</v>
      </c>
      <c r="S14" s="1">
        <v>0.72436135696166937</v>
      </c>
      <c r="T14" s="2">
        <v>9.7870000000000008</v>
      </c>
      <c r="U14" s="2">
        <v>8.2260000000000009</v>
      </c>
      <c r="V14" s="2">
        <v>8.8260000000000005</v>
      </c>
      <c r="W14" s="29">
        <f t="shared" si="1"/>
        <v>0.22550000000000001</v>
      </c>
      <c r="X14" s="29">
        <f t="shared" si="2"/>
        <v>0.2485</v>
      </c>
      <c r="Y14" s="29">
        <f t="shared" si="3"/>
        <v>0.22600000000000001</v>
      </c>
      <c r="Z14" s="1">
        <v>12.561825000000001</v>
      </c>
      <c r="AA14" s="1">
        <v>10.189037000000001</v>
      </c>
      <c r="AB14" s="1">
        <v>12.904320999999999</v>
      </c>
      <c r="AC14" s="2">
        <v>8.8495220000000003</v>
      </c>
      <c r="AD14" s="2">
        <v>7.692571</v>
      </c>
      <c r="AE14" s="2">
        <v>8.0705539999999996</v>
      </c>
      <c r="AF14" s="49">
        <f>(0.464+0.296)/2</f>
        <v>0.38</v>
      </c>
      <c r="AG14" s="49">
        <f>(0.448+0.29)/2</f>
        <v>0.36899999999999999</v>
      </c>
      <c r="AH14" s="49">
        <f>(0.426+0.286)/2</f>
        <v>0.35599999999999998</v>
      </c>
      <c r="AI14" s="29">
        <v>6.38343579675031E-2</v>
      </c>
      <c r="AJ14" s="29">
        <v>6.7695000000000005E-2</v>
      </c>
      <c r="AK14" s="29">
        <v>5.3996000000000002E-2</v>
      </c>
      <c r="AL14" s="10">
        <v>29.745343300110701</v>
      </c>
      <c r="AM14" s="10">
        <v>30.19754</v>
      </c>
      <c r="AN14" s="10">
        <v>30.394483000000001</v>
      </c>
      <c r="AO14" s="68">
        <v>0.27575285599999999</v>
      </c>
      <c r="AP14" s="68">
        <v>0.36819160499999998</v>
      </c>
      <c r="AQ14" s="68">
        <v>0.29953052499999999</v>
      </c>
      <c r="AR14" s="72">
        <v>51.303999999999995</v>
      </c>
      <c r="AS14" s="72">
        <v>55.0075</v>
      </c>
      <c r="AT14" s="72">
        <v>45.287500000000001</v>
      </c>
      <c r="AU14" s="68">
        <v>0.32662099999999999</v>
      </c>
      <c r="AV14" s="68">
        <v>0.35667700000000002</v>
      </c>
      <c r="AW14" s="68">
        <v>0.33213599999999999</v>
      </c>
      <c r="AX14" s="29">
        <v>1.266515563227</v>
      </c>
      <c r="AY14" s="29">
        <v>1.3674050414269301</v>
      </c>
      <c r="AZ14" s="29">
        <v>1.4170222025266499</v>
      </c>
      <c r="BA14" s="1">
        <f t="shared" si="4"/>
        <v>0.79105305569207585</v>
      </c>
      <c r="BB14" s="1">
        <f t="shared" si="5"/>
        <v>0.78980984727295644</v>
      </c>
      <c r="BC14" s="1">
        <f t="shared" si="6"/>
        <v>1.0135769268804771</v>
      </c>
      <c r="BD14" s="1">
        <f t="shared" si="7"/>
        <v>0.90421191376315513</v>
      </c>
      <c r="BE14" s="1">
        <f t="shared" si="8"/>
        <v>0.93515329443228778</v>
      </c>
      <c r="BF14" s="1">
        <f t="shared" si="9"/>
        <v>0.91440675277588934</v>
      </c>
      <c r="BG14" s="2">
        <v>52</v>
      </c>
      <c r="BH14" s="2">
        <v>30.7</v>
      </c>
      <c r="BI14" s="2">
        <v>1300</v>
      </c>
      <c r="BJ14" s="2">
        <v>32.200000000000003</v>
      </c>
      <c r="BK14" s="4" t="s">
        <v>866</v>
      </c>
      <c r="BL14" s="4">
        <v>1.19</v>
      </c>
      <c r="BN14" s="21" t="s">
        <v>925</v>
      </c>
      <c r="BO14" s="21" t="s">
        <v>924</v>
      </c>
      <c r="BP14" s="24" t="s">
        <v>915</v>
      </c>
      <c r="BQ14" s="24" t="s">
        <v>1040</v>
      </c>
      <c r="BR14" s="20" t="s">
        <v>1098</v>
      </c>
    </row>
    <row r="15" spans="1:70" x14ac:dyDescent="0.25">
      <c r="A15" t="s">
        <v>626</v>
      </c>
      <c r="B15" t="s">
        <v>627</v>
      </c>
      <c r="C15" s="13" t="s">
        <v>1202</v>
      </c>
      <c r="D15" s="13" t="s">
        <v>1572</v>
      </c>
      <c r="E15" s="1">
        <v>2.8149999999999999</v>
      </c>
      <c r="F15" s="1">
        <v>1.7825</v>
      </c>
      <c r="G15" s="1">
        <v>2.403</v>
      </c>
      <c r="H15" s="1">
        <v>1.8620000000000001</v>
      </c>
      <c r="I15" s="1">
        <v>1.9295</v>
      </c>
      <c r="J15" s="1">
        <v>1.7470000000000001</v>
      </c>
      <c r="K15" s="1">
        <v>0.3674</v>
      </c>
      <c r="L15" s="1">
        <v>0.40239999999999998</v>
      </c>
      <c r="M15" s="1">
        <v>0.44779999999999998</v>
      </c>
      <c r="N15" s="1">
        <v>2.2987500000000001</v>
      </c>
      <c r="O15" s="1">
        <v>2.1325000000000003</v>
      </c>
      <c r="P15" s="1">
        <v>1.8382499999999999</v>
      </c>
      <c r="Q15" s="1">
        <v>0.77397601060977095</v>
      </c>
      <c r="R15" s="1">
        <v>0.63212705645240275</v>
      </c>
      <c r="S15" s="1">
        <v>0.42452565101022777</v>
      </c>
      <c r="T15" s="2">
        <v>7.6550000000000002</v>
      </c>
      <c r="U15" s="2">
        <v>8.6189999999999998</v>
      </c>
      <c r="V15" s="2">
        <v>8.9350000000000005</v>
      </c>
      <c r="W15" s="29">
        <f t="shared" si="1"/>
        <v>0.1837</v>
      </c>
      <c r="X15" s="29">
        <f t="shared" si="2"/>
        <v>0.20119999999999999</v>
      </c>
      <c r="Y15" s="29">
        <f t="shared" si="3"/>
        <v>0.22389999999999999</v>
      </c>
      <c r="Z15" s="1">
        <v>14.055835</v>
      </c>
      <c r="AA15" s="1">
        <v>12.535465</v>
      </c>
      <c r="AB15" s="1">
        <v>11.154064</v>
      </c>
      <c r="AC15" s="2">
        <v>6.6007110000000004</v>
      </c>
      <c r="AD15" s="2">
        <v>6.809895</v>
      </c>
      <c r="AE15" s="2">
        <v>7.9239290000000002</v>
      </c>
      <c r="AF15" s="49">
        <f>(0.30317+0.27043)/2</f>
        <v>0.2868</v>
      </c>
      <c r="AG15" s="49">
        <f>(0.296+0.30481)/2</f>
        <v>0.30040500000000003</v>
      </c>
      <c r="AH15" s="49">
        <f>(0.25981+0.28072)/2</f>
        <v>0.27026499999999998</v>
      </c>
      <c r="AI15" s="29">
        <v>5.2578E-2</v>
      </c>
      <c r="AJ15" s="29">
        <v>4.6418000000000001E-2</v>
      </c>
      <c r="AK15" s="29">
        <v>3.5286999999999999E-2</v>
      </c>
      <c r="AL15" s="10">
        <v>27.895197</v>
      </c>
      <c r="AM15" s="10">
        <v>28.636617999999999</v>
      </c>
      <c r="AN15" s="10">
        <v>28.523679999999999</v>
      </c>
      <c r="AO15" s="68">
        <v>0.39058514500000002</v>
      </c>
      <c r="AP15" s="68">
        <v>0.37625148666666702</v>
      </c>
      <c r="AQ15" s="68">
        <v>0.46433389000000003</v>
      </c>
      <c r="AR15" s="72">
        <v>61.6175</v>
      </c>
      <c r="AS15" s="72">
        <v>53.29666666666666</v>
      </c>
      <c r="AT15" s="72">
        <v>61.135000000000012</v>
      </c>
      <c r="AU15" s="68">
        <v>0.58192200000000005</v>
      </c>
      <c r="AV15" s="68">
        <v>0.41458099999999998</v>
      </c>
      <c r="AW15" s="68">
        <v>0.437255</v>
      </c>
      <c r="AX15" s="29">
        <v>0.78812541616546805</v>
      </c>
      <c r="AY15" s="29">
        <v>1.2971983511360601</v>
      </c>
      <c r="AZ15" s="29">
        <v>1.20740528975207</v>
      </c>
      <c r="BA15" s="1">
        <f t="shared" si="4"/>
        <v>0.89165908720177989</v>
      </c>
      <c r="BB15" s="1">
        <f t="shared" si="5"/>
        <v>0.89177876862007244</v>
      </c>
      <c r="BC15" s="1">
        <f t="shared" si="6"/>
        <v>1.0532842047743096</v>
      </c>
      <c r="BD15" s="1">
        <f t="shared" si="7"/>
        <v>0.86227446113651207</v>
      </c>
      <c r="BE15" s="1">
        <f t="shared" si="8"/>
        <v>0.7901026801253046</v>
      </c>
      <c r="BF15" s="1">
        <f t="shared" si="9"/>
        <v>0.88684152210408507</v>
      </c>
      <c r="BG15" s="2">
        <v>89.2</v>
      </c>
      <c r="BH15" s="2">
        <v>38.6</v>
      </c>
      <c r="BI15" s="2">
        <v>1752</v>
      </c>
      <c r="BJ15" s="2">
        <v>34</v>
      </c>
      <c r="BK15" s="4" t="s">
        <v>868</v>
      </c>
      <c r="BL15" s="4">
        <v>1.19</v>
      </c>
      <c r="BN15" s="21" t="s">
        <v>1158</v>
      </c>
      <c r="BO15" s="21" t="s">
        <v>924</v>
      </c>
      <c r="BP15" s="22" t="s">
        <v>1118</v>
      </c>
      <c r="BQ15" s="24" t="s">
        <v>1054</v>
      </c>
      <c r="BR15" s="20" t="s">
        <v>1098</v>
      </c>
    </row>
    <row r="16" spans="1:70" x14ac:dyDescent="0.25">
      <c r="A16" t="s">
        <v>631</v>
      </c>
      <c r="B16" t="s">
        <v>632</v>
      </c>
      <c r="C16" s="13" t="s">
        <v>1203</v>
      </c>
      <c r="D16" s="13" t="s">
        <v>1572</v>
      </c>
      <c r="E16" s="1">
        <v>1.9255</v>
      </c>
      <c r="F16" s="1">
        <v>1.8105</v>
      </c>
      <c r="G16" s="1">
        <v>1.7464999999999999</v>
      </c>
      <c r="H16" s="1">
        <v>1.4365000000000001</v>
      </c>
      <c r="I16" s="1">
        <v>1.3494999999999999</v>
      </c>
      <c r="J16" s="1">
        <v>1.3115000000000001</v>
      </c>
      <c r="K16" s="1">
        <v>0.24540000000000001</v>
      </c>
      <c r="L16" s="1">
        <v>0.2586</v>
      </c>
      <c r="M16" s="1">
        <v>0.252</v>
      </c>
      <c r="N16" s="1">
        <v>1.8679999999999999</v>
      </c>
      <c r="O16" s="1">
        <v>1.5914999999999999</v>
      </c>
      <c r="P16" s="1">
        <v>1.3305</v>
      </c>
      <c r="Q16" s="1">
        <v>0.34041511167311811</v>
      </c>
      <c r="R16" s="1">
        <v>0.56876200464804372</v>
      </c>
      <c r="S16" s="1">
        <v>0.23563583986498268</v>
      </c>
      <c r="T16" s="2">
        <v>7.6180000000000003</v>
      </c>
      <c r="U16" s="2">
        <v>7.3550000000000004</v>
      </c>
      <c r="V16" s="2">
        <v>4.9489999999999998</v>
      </c>
      <c r="W16" s="29">
        <f t="shared" si="1"/>
        <v>0.1227</v>
      </c>
      <c r="X16" s="29">
        <f t="shared" si="2"/>
        <v>0.1293</v>
      </c>
      <c r="Y16" s="29">
        <f t="shared" si="3"/>
        <v>0.126</v>
      </c>
      <c r="Z16" s="1">
        <v>9.8885109999999994</v>
      </c>
      <c r="AA16" s="1">
        <v>7.2186260000000004</v>
      </c>
      <c r="AB16" s="1">
        <v>5.1848799999999997</v>
      </c>
      <c r="AC16" s="2">
        <v>7.02705</v>
      </c>
      <c r="AD16" s="2">
        <v>6.5402959999999997</v>
      </c>
      <c r="AE16" s="2">
        <v>5.1435180000000003</v>
      </c>
      <c r="AF16" s="2" t="s">
        <v>40</v>
      </c>
      <c r="AG16" s="2" t="s">
        <v>40</v>
      </c>
      <c r="AH16" s="2" t="s">
        <v>40</v>
      </c>
      <c r="AI16" s="29">
        <v>2.9503000000000001E-2</v>
      </c>
      <c r="AJ16" s="29">
        <v>3.4694000000000003E-2</v>
      </c>
      <c r="AK16" s="29">
        <v>2.8672E-2</v>
      </c>
      <c r="AL16" s="10">
        <v>27.793049</v>
      </c>
      <c r="AM16" s="10">
        <v>26.907988</v>
      </c>
      <c r="AN16" s="10">
        <v>27.691998999999999</v>
      </c>
      <c r="AO16" s="68">
        <v>0.229805386666667</v>
      </c>
      <c r="AP16" s="68">
        <v>0.24840968399999999</v>
      </c>
      <c r="AQ16" s="68">
        <v>0.23809583333333301</v>
      </c>
      <c r="AR16" s="72">
        <v>36.646666666666668</v>
      </c>
      <c r="AS16" s="72">
        <v>34.305999999999997</v>
      </c>
      <c r="AT16" s="72">
        <v>31.583333333333332</v>
      </c>
      <c r="AU16" s="68">
        <v>0.28730699999999998</v>
      </c>
      <c r="AV16" s="68">
        <v>0.28956900000000002</v>
      </c>
      <c r="AW16" s="68">
        <v>0.260245</v>
      </c>
      <c r="AX16" s="29">
        <v>1.5840423560710299</v>
      </c>
      <c r="AY16" s="29">
        <v>1.7056113302696501</v>
      </c>
      <c r="AZ16" s="29">
        <v>2.29327921130445</v>
      </c>
      <c r="BA16" s="1">
        <f t="shared" si="4"/>
        <v>0.90289859283644736</v>
      </c>
      <c r="BB16" s="1">
        <f t="shared" si="5"/>
        <v>0.91586286110617232</v>
      </c>
      <c r="BC16" s="1">
        <f t="shared" si="6"/>
        <v>0.93249745012328589</v>
      </c>
      <c r="BD16" s="1">
        <f t="shared" si="7"/>
        <v>0.92242714623260691</v>
      </c>
      <c r="BE16" s="1">
        <f t="shared" si="8"/>
        <v>0.88923127124405155</v>
      </c>
      <c r="BF16" s="1">
        <f t="shared" si="9"/>
        <v>1.0393045059608002</v>
      </c>
      <c r="BG16" s="2">
        <v>76.900000000000006</v>
      </c>
      <c r="BH16" s="2">
        <v>52.1</v>
      </c>
      <c r="BI16" s="2">
        <v>982</v>
      </c>
      <c r="BJ16" s="2">
        <v>35.9</v>
      </c>
      <c r="BK16" s="4" t="s">
        <v>868</v>
      </c>
      <c r="BL16" s="4">
        <v>1.19</v>
      </c>
      <c r="BN16" s="21" t="s">
        <v>925</v>
      </c>
      <c r="BO16" s="21" t="s">
        <v>924</v>
      </c>
      <c r="BP16" s="22" t="s">
        <v>955</v>
      </c>
      <c r="BQ16" s="24" t="s">
        <v>1054</v>
      </c>
      <c r="BR16" s="20" t="s">
        <v>1098</v>
      </c>
    </row>
    <row r="17" spans="1:70" x14ac:dyDescent="0.25">
      <c r="A17" s="14" t="s">
        <v>633</v>
      </c>
      <c r="B17" s="14" t="s">
        <v>634</v>
      </c>
      <c r="C17" s="14" t="s">
        <v>635</v>
      </c>
      <c r="D17" s="13" t="s">
        <v>1572</v>
      </c>
      <c r="E17" s="1">
        <v>1.794</v>
      </c>
      <c r="F17" s="1">
        <v>1.758</v>
      </c>
      <c r="G17" s="1">
        <v>1.5305</v>
      </c>
      <c r="H17" s="1">
        <v>1.119</v>
      </c>
      <c r="I17" s="1">
        <v>1.1845000000000001</v>
      </c>
      <c r="J17" s="1">
        <v>1.1539999999999999</v>
      </c>
      <c r="K17" s="1">
        <v>0.19900000000000001</v>
      </c>
      <c r="L17" s="1">
        <v>0.219</v>
      </c>
      <c r="M17" s="1">
        <v>0.22800000000000001</v>
      </c>
      <c r="N17" s="1">
        <v>1.776</v>
      </c>
      <c r="O17" s="1">
        <v>1.3247499999999999</v>
      </c>
      <c r="P17" s="1">
        <v>1.1692499999999999</v>
      </c>
      <c r="Q17" s="1">
        <v>0.19932661439132221</v>
      </c>
      <c r="R17" s="1">
        <v>0.68223429617288145</v>
      </c>
      <c r="S17" s="1">
        <v>0.22546728837306176</v>
      </c>
      <c r="T17" s="2">
        <v>6.3189999999999991</v>
      </c>
      <c r="U17" s="2">
        <v>5.2059999999999995</v>
      </c>
      <c r="V17" s="2">
        <v>4.8470000000000013</v>
      </c>
      <c r="W17" s="1">
        <v>9.9500000000000005E-2</v>
      </c>
      <c r="X17" s="1">
        <v>0.1095</v>
      </c>
      <c r="Y17" s="1">
        <v>0.114</v>
      </c>
      <c r="Z17" s="1">
        <v>8.6385459999999998</v>
      </c>
      <c r="AA17" s="1">
        <v>5.0678369999999999</v>
      </c>
      <c r="AB17" s="1">
        <v>4.1351190000000004</v>
      </c>
      <c r="AC17" s="2">
        <v>6.3613100000000005</v>
      </c>
      <c r="AD17" s="2">
        <v>5.0511599999999994</v>
      </c>
      <c r="AE17" s="2">
        <v>4.2397120000000008</v>
      </c>
      <c r="AF17" s="2" t="s">
        <v>40</v>
      </c>
      <c r="AG17" s="2" t="s">
        <v>40</v>
      </c>
      <c r="AH17" s="2" t="s">
        <v>40</v>
      </c>
      <c r="AI17" s="29">
        <v>2.3182000000000001E-2</v>
      </c>
      <c r="AJ17" s="29">
        <v>2.3993E-2</v>
      </c>
      <c r="AK17" s="29">
        <v>2.3508000000000001E-2</v>
      </c>
      <c r="AL17" s="10">
        <v>26.686677</v>
      </c>
      <c r="AM17" s="10">
        <v>27.411756</v>
      </c>
      <c r="AN17" s="10">
        <v>28.560991999999999</v>
      </c>
      <c r="AO17" s="68">
        <v>0.24569220181818183</v>
      </c>
      <c r="AP17" s="68">
        <v>0.26537593999999998</v>
      </c>
      <c r="AQ17" s="68">
        <v>0.23504525750000002</v>
      </c>
      <c r="AR17" s="72">
        <v>42.293636363636359</v>
      </c>
      <c r="AS17" s="72">
        <v>48.995714285714278</v>
      </c>
      <c r="AT17" s="72">
        <v>42.036250000000003</v>
      </c>
      <c r="AU17" s="68">
        <v>0.23724999999999999</v>
      </c>
      <c r="AV17" s="68">
        <v>0.21516399999999999</v>
      </c>
      <c r="AW17" s="68">
        <v>0.22112100000000001</v>
      </c>
      <c r="AX17" s="29">
        <v>2.4559311674147453</v>
      </c>
      <c r="AY17" s="29">
        <v>3.0640856163551917</v>
      </c>
      <c r="AZ17" s="29">
        <v>3.0408115779157576</v>
      </c>
      <c r="BA17" s="1">
        <f t="shared" si="4"/>
        <v>0.87186545026635376</v>
      </c>
      <c r="BB17" s="1">
        <f t="shared" si="5"/>
        <v>0.94190986355659712</v>
      </c>
      <c r="BC17" s="1">
        <f t="shared" si="6"/>
        <v>0.96293565007168003</v>
      </c>
      <c r="BD17" s="1">
        <f t="shared" si="7"/>
        <v>1.0066956796961546</v>
      </c>
      <c r="BE17" s="1">
        <f t="shared" si="8"/>
        <v>0.97025739531310029</v>
      </c>
      <c r="BF17" s="1">
        <f t="shared" si="9"/>
        <v>0.87470847947183816</v>
      </c>
      <c r="BG17" s="2">
        <v>74</v>
      </c>
      <c r="BH17" s="2">
        <v>38.700000000000003</v>
      </c>
      <c r="BI17" s="2">
        <v>1058</v>
      </c>
      <c r="BJ17" s="2">
        <v>33.9</v>
      </c>
      <c r="BK17" s="4" t="s">
        <v>868</v>
      </c>
      <c r="BL17" s="4">
        <v>1.19</v>
      </c>
      <c r="BN17" s="21" t="s">
        <v>925</v>
      </c>
      <c r="BO17" s="21" t="s">
        <v>924</v>
      </c>
      <c r="BP17" s="24" t="s">
        <v>946</v>
      </c>
      <c r="BQ17" s="24" t="s">
        <v>1055</v>
      </c>
      <c r="BR17" s="20" t="s">
        <v>1098</v>
      </c>
    </row>
    <row r="18" spans="1:70" x14ac:dyDescent="0.25">
      <c r="A18" s="14" t="s">
        <v>636</v>
      </c>
      <c r="B18" s="14" t="s">
        <v>637</v>
      </c>
      <c r="C18" s="14" t="s">
        <v>638</v>
      </c>
      <c r="D18" s="13" t="s">
        <v>1572</v>
      </c>
      <c r="E18" s="1">
        <v>2.6</v>
      </c>
      <c r="F18" s="1">
        <v>2.5499999999999998</v>
      </c>
      <c r="G18" s="1">
        <v>2.8</v>
      </c>
      <c r="H18" s="1">
        <v>2.08</v>
      </c>
      <c r="I18" s="1">
        <v>2.33</v>
      </c>
      <c r="J18" s="1">
        <v>1.97</v>
      </c>
      <c r="K18" s="1">
        <v>0.35</v>
      </c>
      <c r="L18" s="1">
        <v>0.37</v>
      </c>
      <c r="M18" s="1">
        <v>0.42</v>
      </c>
      <c r="N18" s="1">
        <v>2.5750000000000002</v>
      </c>
      <c r="O18" s="1">
        <v>2.44</v>
      </c>
      <c r="P18" s="1">
        <v>2.15</v>
      </c>
      <c r="Q18" s="1">
        <v>0.1951709916363896</v>
      </c>
      <c r="R18" s="1">
        <v>0.66944997222057034</v>
      </c>
      <c r="S18" s="1">
        <v>0.53398561424878255</v>
      </c>
      <c r="T18" s="2">
        <v>9.4</v>
      </c>
      <c r="U18" s="2">
        <v>10.3</v>
      </c>
      <c r="V18" s="2">
        <v>8.4</v>
      </c>
      <c r="W18" s="1">
        <v>0.17499999999999999</v>
      </c>
      <c r="X18" s="1">
        <v>0.185</v>
      </c>
      <c r="Y18" s="1">
        <v>0.21</v>
      </c>
      <c r="Z18" s="1">
        <v>19.879363999999999</v>
      </c>
      <c r="AA18" s="1">
        <v>17.239038999999998</v>
      </c>
      <c r="AB18" s="1">
        <v>15.229628</v>
      </c>
      <c r="AC18" s="2">
        <v>9.3613099999999996</v>
      </c>
      <c r="AD18" s="2">
        <v>9.6933070000000008</v>
      </c>
      <c r="AE18" s="2">
        <v>9.7096140000000002</v>
      </c>
      <c r="AF18" s="2" t="s">
        <v>40</v>
      </c>
      <c r="AG18" s="2" t="s">
        <v>40</v>
      </c>
      <c r="AH18" s="2" t="s">
        <v>40</v>
      </c>
      <c r="AI18" s="29">
        <v>4.5816000000000003E-2</v>
      </c>
      <c r="AJ18" s="29">
        <v>4.6524000000000003E-2</v>
      </c>
      <c r="AK18" s="29">
        <v>4.1388000000000001E-2</v>
      </c>
      <c r="AL18" s="10">
        <v>26.703793999999998</v>
      </c>
      <c r="AM18" s="10">
        <v>26.362985999999999</v>
      </c>
      <c r="AN18" s="10">
        <v>27.380687000000002</v>
      </c>
      <c r="AO18" s="68">
        <v>0.38463469454545451</v>
      </c>
      <c r="AP18" s="68">
        <v>0.45540470666666666</v>
      </c>
      <c r="AQ18" s="68">
        <v>0.44194523749999998</v>
      </c>
      <c r="AR18" s="72">
        <v>53.569090909090917</v>
      </c>
      <c r="AS18" s="72">
        <v>57.526666666666671</v>
      </c>
      <c r="AT18" s="72">
        <v>49.606249999999996</v>
      </c>
      <c r="AU18" s="68">
        <v>0.44920700000000002</v>
      </c>
      <c r="AV18" s="68">
        <v>0.42861199999999999</v>
      </c>
      <c r="AW18" s="68">
        <v>0.43962600000000002</v>
      </c>
      <c r="AX18" s="29">
        <v>1.0732200160944798</v>
      </c>
      <c r="AY18" s="29">
        <v>1.2235316815287263</v>
      </c>
      <c r="AZ18" s="29">
        <v>1.1695407656037324</v>
      </c>
      <c r="BA18" s="1">
        <f t="shared" si="4"/>
        <v>0.95441901843833277</v>
      </c>
      <c r="BB18" s="1">
        <f t="shared" si="5"/>
        <v>0.94219720844916355</v>
      </c>
      <c r="BC18" s="1">
        <f t="shared" si="6"/>
        <v>1.0561297477835934</v>
      </c>
      <c r="BD18" s="1">
        <f t="shared" si="7"/>
        <v>0.99588404255319141</v>
      </c>
      <c r="BE18" s="1">
        <f t="shared" si="8"/>
        <v>0.94109776699029124</v>
      </c>
      <c r="BF18" s="1">
        <f t="shared" si="9"/>
        <v>1.1559064285714284</v>
      </c>
      <c r="BG18" s="2">
        <v>110</v>
      </c>
      <c r="BH18" s="2">
        <v>77.900000000000006</v>
      </c>
      <c r="BI18" s="2">
        <v>6957</v>
      </c>
      <c r="BJ18" s="2">
        <v>35.799999999999997</v>
      </c>
      <c r="BK18" s="4" t="s">
        <v>868</v>
      </c>
      <c r="BL18" s="4">
        <v>1.19</v>
      </c>
      <c r="BN18" s="21" t="s">
        <v>925</v>
      </c>
      <c r="BO18" s="21" t="s">
        <v>924</v>
      </c>
      <c r="BP18" s="17" t="s">
        <v>947</v>
      </c>
      <c r="BQ18" s="24" t="s">
        <v>1055</v>
      </c>
      <c r="BR18" s="20" t="s">
        <v>1098</v>
      </c>
    </row>
    <row r="19" spans="1:70" x14ac:dyDescent="0.25">
      <c r="A19" s="14" t="s">
        <v>648</v>
      </c>
      <c r="B19" s="14" t="s">
        <v>649</v>
      </c>
      <c r="C19" t="s">
        <v>1256</v>
      </c>
      <c r="D19" s="13" t="s">
        <v>1572</v>
      </c>
      <c r="E19" s="1">
        <f>5.021/2</f>
        <v>2.5105</v>
      </c>
      <c r="F19" s="1">
        <f>3.572/2</f>
        <v>1.786</v>
      </c>
      <c r="G19" s="1">
        <f>5.282/2</f>
        <v>2.641</v>
      </c>
      <c r="H19" s="1">
        <f>3.729/2</f>
        <v>1.8645</v>
      </c>
      <c r="I19" s="1">
        <f>4.126/2</f>
        <v>2.0630000000000002</v>
      </c>
      <c r="J19" s="1">
        <f>3.239/2</f>
        <v>1.6194999999999999</v>
      </c>
      <c r="K19" s="1">
        <v>0.32500000000000001</v>
      </c>
      <c r="L19" s="1">
        <v>0.36799999999999999</v>
      </c>
      <c r="M19" s="1">
        <v>0.377</v>
      </c>
      <c r="N19" s="1">
        <f>(E19+F19)/2</f>
        <v>2.14825</v>
      </c>
      <c r="O19" s="1">
        <f>(G19+H19)/2</f>
        <v>2.2527499999999998</v>
      </c>
      <c r="P19" s="1">
        <f>(I19+J19)/2</f>
        <v>1.8412500000000001</v>
      </c>
      <c r="Q19" s="1">
        <f>(1-((MIN(E19:F19)/MAX(E19:F19))^2))^0.5</f>
        <v>0.702775118826517</v>
      </c>
      <c r="R19" s="1">
        <f>(1-((MIN(G19:H19)/MAX(G19:H19))^2))^0.5</f>
        <v>0.70822919553709995</v>
      </c>
      <c r="S19" s="1">
        <f>(1-((MIN(I19:J19)/MAX(I19:J19))^2))^0.5</f>
        <v>0.61946812127894257</v>
      </c>
      <c r="T19" s="2">
        <f>0.499+0.292+0.63+0.736+0.536+0.527+0.532+0.668+0.546+0.493+0.46+0.437+0.47+0.517+0.442+0.444+0.405+0.414+0.372+0.248</f>
        <v>9.6679999999999993</v>
      </c>
      <c r="U19" s="2">
        <f>0.361+0.544+0.629+0.591+0.398+0.566+0.465+0.414+0.463+0.493+0.431+0.476+0.431+0.405+0.433+0.413+0.411+0.388+0.332+0.414</f>
        <v>9.0580000000000016</v>
      </c>
      <c r="V19" s="2">
        <f>0.355+0.507+0.528+0.526+0.509+0.558+0.507+0.444+0.428+0.529+0.47+0.305+0.595+0.349+0.447+0.455+0.398+0.5</f>
        <v>8.41</v>
      </c>
      <c r="W19" s="1">
        <f>K19/2</f>
        <v>0.16250000000000001</v>
      </c>
      <c r="X19" s="1">
        <f t="shared" ref="X19:Y19" si="10">L19/2</f>
        <v>0.184</v>
      </c>
      <c r="Y19" s="1">
        <f t="shared" si="10"/>
        <v>0.1885</v>
      </c>
      <c r="Z19" s="1">
        <v>15.37222</v>
      </c>
      <c r="AA19" s="1">
        <v>14.710728</v>
      </c>
      <c r="AB19" s="1">
        <v>10.798283</v>
      </c>
      <c r="AC19" s="2">
        <v>9.2759670000000014</v>
      </c>
      <c r="AD19" s="2">
        <v>9.6133089999999992</v>
      </c>
      <c r="AE19" s="2">
        <v>7.6967949999999998</v>
      </c>
      <c r="AF19" s="2" t="s">
        <v>40</v>
      </c>
      <c r="AG19" s="2" t="s">
        <v>40</v>
      </c>
      <c r="AH19" s="2" t="s">
        <v>40</v>
      </c>
      <c r="AI19" s="29">
        <v>4.1815999999999999E-2</v>
      </c>
      <c r="AJ19" s="29">
        <v>4.5478999999999999E-2</v>
      </c>
      <c r="AK19" s="29">
        <v>4.2705E-2</v>
      </c>
      <c r="AL19" s="10">
        <v>29.571477999999999</v>
      </c>
      <c r="AM19" s="10">
        <v>28.966296</v>
      </c>
      <c r="AN19" s="10">
        <v>28.543019999999999</v>
      </c>
      <c r="AO19" s="68">
        <v>0.2896836425</v>
      </c>
      <c r="AP19" s="68">
        <v>0.31302538888888887</v>
      </c>
      <c r="AQ19" s="68">
        <v>0.33760973399999999</v>
      </c>
      <c r="AR19" s="72">
        <v>45.813749999999999</v>
      </c>
      <c r="AS19" s="72">
        <v>48.138888888888886</v>
      </c>
      <c r="AT19" s="72">
        <v>54.380999999999993</v>
      </c>
      <c r="AU19" s="68">
        <v>0.36716700000000002</v>
      </c>
      <c r="AV19" s="68">
        <v>0.37644</v>
      </c>
      <c r="AW19" s="68">
        <v>0.33241999999999999</v>
      </c>
      <c r="AX19" s="29">
        <v>1.4007226869750911</v>
      </c>
      <c r="AY19" s="29">
        <v>1.3382498937752825</v>
      </c>
      <c r="AZ19" s="29">
        <v>1.6307130588704752</v>
      </c>
      <c r="BA19" s="1">
        <f t="shared" si="4"/>
        <v>1.0913022190544821</v>
      </c>
      <c r="BB19" s="1">
        <f t="shared" si="5"/>
        <v>0.95094084979851867</v>
      </c>
      <c r="BC19" s="1">
        <f t="shared" si="6"/>
        <v>1.0287850680442749</v>
      </c>
      <c r="BD19" s="1">
        <f t="shared" si="7"/>
        <v>0.95945045510964022</v>
      </c>
      <c r="BE19" s="1">
        <f t="shared" si="8"/>
        <v>1.0613059174210639</v>
      </c>
      <c r="BF19" s="1">
        <f t="shared" si="9"/>
        <v>0.9151956004756242</v>
      </c>
      <c r="BG19" s="2">
        <v>75.900000000000006</v>
      </c>
      <c r="BH19" s="2">
        <v>56.6</v>
      </c>
      <c r="BI19" s="2">
        <v>3800</v>
      </c>
      <c r="BJ19" s="2">
        <v>38</v>
      </c>
      <c r="BK19" s="4" t="s">
        <v>868</v>
      </c>
      <c r="BL19" s="4">
        <v>1.19</v>
      </c>
      <c r="BN19" s="21" t="s">
        <v>923</v>
      </c>
      <c r="BO19" s="21" t="s">
        <v>924</v>
      </c>
      <c r="BP19" s="22" t="s">
        <v>955</v>
      </c>
      <c r="BQ19" s="24" t="s">
        <v>1054</v>
      </c>
      <c r="BR19" s="20" t="s">
        <v>1098</v>
      </c>
    </row>
    <row r="20" spans="1:70" x14ac:dyDescent="0.25">
      <c r="A20" t="s">
        <v>650</v>
      </c>
      <c r="B20" t="s">
        <v>651</v>
      </c>
      <c r="C20" s="13" t="s">
        <v>1204</v>
      </c>
      <c r="D20" s="13" t="s">
        <v>1572</v>
      </c>
      <c r="E20" s="1">
        <v>7.1150000000000002</v>
      </c>
      <c r="F20" s="1">
        <v>5.0910000000000002</v>
      </c>
      <c r="G20" s="1">
        <v>5.8375000000000004</v>
      </c>
      <c r="H20" s="1">
        <v>5.0369999999999999</v>
      </c>
      <c r="I20" s="1">
        <v>5.6310000000000002</v>
      </c>
      <c r="J20" s="1">
        <v>4.0890000000000004</v>
      </c>
      <c r="K20" s="1">
        <v>1.61</v>
      </c>
      <c r="L20" s="1">
        <v>1.6619999999999999</v>
      </c>
      <c r="M20" s="1">
        <v>1.458</v>
      </c>
      <c r="N20" s="1">
        <f>(E20+F20)/2</f>
        <v>6.1029999999999998</v>
      </c>
      <c r="O20" s="1">
        <v>5.4372500000000006</v>
      </c>
      <c r="P20" s="1">
        <v>4.8600000000000003</v>
      </c>
      <c r="Q20" s="1">
        <v>0.6985814229649705</v>
      </c>
      <c r="R20" s="1">
        <v>0.50542698261795127</v>
      </c>
      <c r="S20" s="1">
        <v>0.687527053640551</v>
      </c>
      <c r="T20" s="2">
        <v>22.045000000000002</v>
      </c>
      <c r="U20" s="2">
        <v>22.524000000000001</v>
      </c>
      <c r="V20" s="2">
        <v>19.401999999999997</v>
      </c>
      <c r="W20" s="29">
        <f t="shared" si="1"/>
        <v>0.80500000000000005</v>
      </c>
      <c r="X20" s="29">
        <f t="shared" si="2"/>
        <v>0.83099999999999996</v>
      </c>
      <c r="Y20" s="29">
        <f t="shared" si="3"/>
        <v>0.72899999999999998</v>
      </c>
      <c r="Z20" s="1">
        <v>98.698946000000007</v>
      </c>
      <c r="AA20" s="1">
        <v>86.291711000000006</v>
      </c>
      <c r="AB20" s="1">
        <v>64.889229</v>
      </c>
      <c r="AC20" s="2">
        <v>22.413788</v>
      </c>
      <c r="AD20" s="2">
        <v>20.939641000000002</v>
      </c>
      <c r="AE20" s="2">
        <v>17.351662999999999</v>
      </c>
      <c r="AF20" s="49">
        <f>(0.94164+0.78268)/2</f>
        <v>0.86216000000000004</v>
      </c>
      <c r="AG20" s="49">
        <f>(0.75168+0.66821)/2</f>
        <v>0.70994500000000005</v>
      </c>
      <c r="AH20" s="49">
        <f>(0.85164+0.72401)/2</f>
        <v>0.787825</v>
      </c>
      <c r="AI20" s="29">
        <v>0.30487199999999998</v>
      </c>
      <c r="AJ20" s="29">
        <v>0.25066300000000002</v>
      </c>
      <c r="AK20" s="29">
        <v>0.19246199999999999</v>
      </c>
      <c r="AL20" s="10">
        <v>27.080425000000002</v>
      </c>
      <c r="AM20" s="10">
        <v>26.378679000000002</v>
      </c>
      <c r="AN20" s="10">
        <v>27.669962999999999</v>
      </c>
      <c r="AO20" s="68">
        <v>0.64797688333333303</v>
      </c>
      <c r="AP20" s="68">
        <v>0.62321971799999998</v>
      </c>
      <c r="AQ20" s="68">
        <v>0.62356785999999997</v>
      </c>
      <c r="AR20" s="72">
        <v>77.158333333333303</v>
      </c>
      <c r="AS20" s="72">
        <v>66.636999999999986</v>
      </c>
      <c r="AT20" s="72">
        <v>69.132857142857148</v>
      </c>
      <c r="AU20" s="68">
        <v>2.8655750000000002</v>
      </c>
      <c r="AV20" s="68">
        <v>2.1015069999999998</v>
      </c>
      <c r="AW20" s="68">
        <v>2.7214209999999999</v>
      </c>
      <c r="AX20" s="29">
        <v>5.8113397059597401E-2</v>
      </c>
      <c r="AY20" s="29">
        <v>0.101253605154192</v>
      </c>
      <c r="AZ20" s="29">
        <v>6.2517932206147306E-2</v>
      </c>
      <c r="BA20" s="1">
        <f t="shared" si="4"/>
        <v>0.86733054384123509</v>
      </c>
      <c r="BB20" s="1">
        <f t="shared" si="5"/>
        <v>0.93415805546925545</v>
      </c>
      <c r="BC20" s="1">
        <f t="shared" si="6"/>
        <v>0.89705713205037707</v>
      </c>
      <c r="BD20" s="1">
        <f t="shared" si="7"/>
        <v>1.016728872760263</v>
      </c>
      <c r="BE20" s="1">
        <f t="shared" si="8"/>
        <v>0.92965907476469545</v>
      </c>
      <c r="BF20" s="1">
        <f t="shared" si="9"/>
        <v>0.89432342026595202</v>
      </c>
      <c r="BG20" s="2">
        <v>660</v>
      </c>
      <c r="BH20" s="2">
        <v>422.6</v>
      </c>
      <c r="BI20" s="2">
        <v>3450000</v>
      </c>
      <c r="BJ20" s="2">
        <v>35.9</v>
      </c>
      <c r="BK20" s="4" t="s">
        <v>868</v>
      </c>
      <c r="BL20" s="4">
        <v>1.19</v>
      </c>
      <c r="BN20" s="21" t="s">
        <v>925</v>
      </c>
      <c r="BO20" s="21" t="s">
        <v>924</v>
      </c>
      <c r="BP20" s="24" t="s">
        <v>946</v>
      </c>
      <c r="BQ20" s="24" t="s">
        <v>1056</v>
      </c>
      <c r="BR20" s="20" t="s">
        <v>1098</v>
      </c>
    </row>
    <row r="21" spans="1:70" x14ac:dyDescent="0.25">
      <c r="A21" s="14" t="s">
        <v>666</v>
      </c>
      <c r="B21" s="14" t="s">
        <v>63</v>
      </c>
      <c r="C21" s="15" t="s">
        <v>667</v>
      </c>
      <c r="D21" s="13" t="s">
        <v>1572</v>
      </c>
      <c r="E21" s="1">
        <v>1.36</v>
      </c>
      <c r="F21" s="1">
        <v>1.28</v>
      </c>
      <c r="G21" s="1">
        <v>1.36</v>
      </c>
      <c r="H21" s="1">
        <v>0.9</v>
      </c>
      <c r="I21" s="1">
        <v>1.29</v>
      </c>
      <c r="J21" s="1">
        <v>0.96</v>
      </c>
      <c r="K21" s="1">
        <v>0.26</v>
      </c>
      <c r="L21" s="1">
        <v>0.24</v>
      </c>
      <c r="M21" s="1">
        <v>0.27</v>
      </c>
      <c r="N21" s="1">
        <v>1.32</v>
      </c>
      <c r="O21" s="1">
        <v>1.1300000000000001</v>
      </c>
      <c r="P21" s="1">
        <v>1.125</v>
      </c>
      <c r="Q21" s="1">
        <v>0.33791544979635457</v>
      </c>
      <c r="R21" s="1">
        <v>0.74971159391358144</v>
      </c>
      <c r="S21" s="1">
        <v>0.6679724007602359</v>
      </c>
      <c r="T21" s="2">
        <v>5.6</v>
      </c>
      <c r="U21" s="2">
        <v>5.3</v>
      </c>
      <c r="V21" s="2">
        <v>4.7</v>
      </c>
      <c r="W21" s="1">
        <v>0.13</v>
      </c>
      <c r="X21" s="1">
        <v>0.12</v>
      </c>
      <c r="Y21" s="1">
        <v>0.13500000000000001</v>
      </c>
      <c r="Z21" s="1">
        <v>5.4500799999999998</v>
      </c>
      <c r="AA21" s="1">
        <v>3.5345249999999999</v>
      </c>
      <c r="AB21" s="1">
        <v>3.5408629999999999</v>
      </c>
      <c r="AC21" s="2">
        <v>5.2376450000000006</v>
      </c>
      <c r="AD21" s="2">
        <v>4.6457499999999996</v>
      </c>
      <c r="AE21" s="2">
        <v>4.2890180000000004</v>
      </c>
      <c r="AF21" s="2" t="s">
        <v>40</v>
      </c>
      <c r="AG21" s="2" t="s">
        <v>40</v>
      </c>
      <c r="AH21" s="2" t="s">
        <v>40</v>
      </c>
      <c r="AI21" s="29">
        <v>2.6054999999999998E-2</v>
      </c>
      <c r="AJ21" s="29">
        <v>2.6866999999999999E-2</v>
      </c>
      <c r="AK21" s="29">
        <v>2.9536E-2</v>
      </c>
      <c r="AL21" s="10">
        <v>28.506900000000002</v>
      </c>
      <c r="AM21" s="10">
        <v>29.683471000000001</v>
      </c>
      <c r="AN21" s="10">
        <v>28.473655000000001</v>
      </c>
      <c r="AO21" s="68">
        <v>0.24822314666666664</v>
      </c>
      <c r="AP21" s="68">
        <v>0.23256667777777773</v>
      </c>
      <c r="AQ21" s="68">
        <v>0.22847771999999997</v>
      </c>
      <c r="AR21" s="72">
        <v>33.986666666666665</v>
      </c>
      <c r="AS21" s="72">
        <v>31.127777777777776</v>
      </c>
      <c r="AT21" s="72">
        <v>37.97999999999999</v>
      </c>
      <c r="AU21" s="68">
        <v>0.21068300000000001</v>
      </c>
      <c r="AV21" s="68">
        <v>0.17429</v>
      </c>
      <c r="AW21" s="68">
        <v>0.22073499999999999</v>
      </c>
      <c r="AX21" s="29">
        <v>3.5546752759227775</v>
      </c>
      <c r="AY21" s="29">
        <v>4.9074883862636076</v>
      </c>
      <c r="AZ21" s="29">
        <v>3.1342205098034328</v>
      </c>
      <c r="BA21" s="1">
        <f t="shared" si="4"/>
        <v>0.99656154899618199</v>
      </c>
      <c r="BB21" s="1">
        <f t="shared" si="5"/>
        <v>0.91917830920242038</v>
      </c>
      <c r="BC21" s="1">
        <f t="shared" si="6"/>
        <v>0.91011926560270962</v>
      </c>
      <c r="BD21" s="1">
        <f t="shared" si="7"/>
        <v>0.93529375000000015</v>
      </c>
      <c r="BE21" s="1">
        <f t="shared" si="8"/>
        <v>0.87655660377358491</v>
      </c>
      <c r="BF21" s="1">
        <f t="shared" si="9"/>
        <v>0.91255702127659577</v>
      </c>
      <c r="BG21" s="2">
        <v>30.4</v>
      </c>
      <c r="BH21" s="2">
        <v>18.899999999999999</v>
      </c>
      <c r="BI21" s="2">
        <v>57</v>
      </c>
      <c r="BJ21" s="2">
        <v>37.26</v>
      </c>
      <c r="BK21" s="4" t="s">
        <v>868</v>
      </c>
      <c r="BL21" s="4">
        <v>1.19</v>
      </c>
      <c r="BN21" s="21" t="s">
        <v>923</v>
      </c>
      <c r="BO21" s="21" t="s">
        <v>924</v>
      </c>
      <c r="BP21" s="24" t="s">
        <v>950</v>
      </c>
      <c r="BQ21" s="24" t="s">
        <v>1059</v>
      </c>
      <c r="BR21" s="20" t="s">
        <v>1098</v>
      </c>
    </row>
    <row r="22" spans="1:70" x14ac:dyDescent="0.25">
      <c r="A22" t="s">
        <v>673</v>
      </c>
      <c r="B22" t="s">
        <v>32</v>
      </c>
      <c r="C22" s="13" t="s">
        <v>1205</v>
      </c>
      <c r="D22" s="13" t="s">
        <v>1572</v>
      </c>
      <c r="E22" s="1">
        <v>2.4670000000000001</v>
      </c>
      <c r="F22" s="1">
        <v>2.1745000000000001</v>
      </c>
      <c r="G22" s="1">
        <v>2.0474999999999999</v>
      </c>
      <c r="H22" s="1">
        <v>1.714</v>
      </c>
      <c r="I22" s="1">
        <v>1.8385</v>
      </c>
      <c r="J22" s="1">
        <v>1.8149999999999999</v>
      </c>
      <c r="K22" s="1">
        <v>0.21779999999999999</v>
      </c>
      <c r="L22" s="1">
        <v>0.2316</v>
      </c>
      <c r="M22" s="1">
        <v>0.26819999999999999</v>
      </c>
      <c r="N22" s="1">
        <v>2.3207500000000003</v>
      </c>
      <c r="O22" s="1">
        <v>1.8807499999999999</v>
      </c>
      <c r="P22" s="1">
        <v>1.8267500000000001</v>
      </c>
      <c r="Q22" s="1">
        <v>0.47230545665825574</v>
      </c>
      <c r="R22" s="1">
        <v>0.54702168351573155</v>
      </c>
      <c r="S22" s="1">
        <v>0.15937670827309114</v>
      </c>
      <c r="T22" s="2">
        <v>9.4570000000000007</v>
      </c>
      <c r="U22" s="2">
        <v>7.7450000000000001</v>
      </c>
      <c r="V22" s="2">
        <v>8.5020000000000007</v>
      </c>
      <c r="W22" s="29">
        <f t="shared" si="1"/>
        <v>0.1089</v>
      </c>
      <c r="X22" s="29">
        <f t="shared" si="2"/>
        <v>0.1158</v>
      </c>
      <c r="Y22" s="29">
        <f t="shared" si="3"/>
        <v>0.1341</v>
      </c>
      <c r="Z22" s="1">
        <v>15.935606</v>
      </c>
      <c r="AA22" s="1">
        <v>10.228972000000001</v>
      </c>
      <c r="AB22" s="1">
        <v>10.765634</v>
      </c>
      <c r="AC22" s="2">
        <v>9.1277950000000008</v>
      </c>
      <c r="AD22" s="2">
        <v>7.7615530000000001</v>
      </c>
      <c r="AE22" s="2">
        <v>7.9876379999999996</v>
      </c>
      <c r="AF22" s="49">
        <f>(0.18+0.19)/2</f>
        <v>0.185</v>
      </c>
      <c r="AG22" s="49">
        <f>(0.18+0.19)/2</f>
        <v>0.185</v>
      </c>
      <c r="AH22" s="49">
        <f>(0.22+0.2)/2</f>
        <v>0.21000000000000002</v>
      </c>
      <c r="AI22" s="29">
        <v>2.1624999999999998E-2</v>
      </c>
      <c r="AJ22" s="29">
        <v>2.1232999999999998E-2</v>
      </c>
      <c r="AK22" s="29">
        <v>2.0919E-2</v>
      </c>
      <c r="AL22" s="10">
        <v>26.895876000000001</v>
      </c>
      <c r="AM22" s="10">
        <v>27.348476999999999</v>
      </c>
      <c r="AN22" s="10">
        <v>27.224936</v>
      </c>
      <c r="AO22" s="68">
        <v>0.33204899999999998</v>
      </c>
      <c r="AP22" s="68">
        <v>0.32235477777777799</v>
      </c>
      <c r="AQ22" s="68">
        <v>0.29455100000000001</v>
      </c>
      <c r="AR22" s="72">
        <v>52.5</v>
      </c>
      <c r="AS22" s="72">
        <v>47.777777777777779</v>
      </c>
      <c r="AT22" s="72">
        <v>44.285714285714285</v>
      </c>
      <c r="AU22" s="68">
        <v>0.296346</v>
      </c>
      <c r="AV22" s="68">
        <v>0.27396100000000001</v>
      </c>
      <c r="AW22" s="68">
        <v>0.27107500000000001</v>
      </c>
      <c r="AX22" s="29">
        <v>2.09363834752225</v>
      </c>
      <c r="AY22" s="29">
        <v>2.39409228124345</v>
      </c>
      <c r="AZ22" s="29">
        <v>2.3629931241007598</v>
      </c>
      <c r="BA22" s="1">
        <f t="shared" si="4"/>
        <v>0.94556230206157121</v>
      </c>
      <c r="BB22" s="1">
        <f t="shared" si="5"/>
        <v>0.92778509042025026</v>
      </c>
      <c r="BC22" s="1">
        <f t="shared" si="6"/>
        <v>1.0269504149422168</v>
      </c>
      <c r="BD22" s="1">
        <f t="shared" si="7"/>
        <v>0.96518927778365238</v>
      </c>
      <c r="BE22" s="1">
        <f t="shared" si="8"/>
        <v>1.0021372498386056</v>
      </c>
      <c r="BF22" s="1">
        <f t="shared" si="9"/>
        <v>0.93950105857445299</v>
      </c>
      <c r="BG22" s="2">
        <v>53</v>
      </c>
      <c r="BH22" s="2">
        <v>35.4</v>
      </c>
      <c r="BI22" s="2">
        <v>322</v>
      </c>
      <c r="BJ22" s="2">
        <v>39</v>
      </c>
      <c r="BK22" s="4" t="s">
        <v>868</v>
      </c>
      <c r="BL22" s="4">
        <v>1.19</v>
      </c>
      <c r="BN22" s="21" t="s">
        <v>931</v>
      </c>
      <c r="BO22" s="21" t="s">
        <v>924</v>
      </c>
      <c r="BP22" s="24" t="s">
        <v>946</v>
      </c>
      <c r="BQ22" s="24" t="s">
        <v>1060</v>
      </c>
      <c r="BR22" s="20" t="s">
        <v>1098</v>
      </c>
    </row>
    <row r="23" spans="1:70" x14ac:dyDescent="0.25">
      <c r="A23" t="s">
        <v>683</v>
      </c>
      <c r="B23" t="s">
        <v>684</v>
      </c>
      <c r="C23" s="13" t="s">
        <v>1206</v>
      </c>
      <c r="D23" s="13" t="s">
        <v>1572</v>
      </c>
      <c r="E23" s="1">
        <v>2.5924999999999998</v>
      </c>
      <c r="F23" s="1">
        <v>2.2404999999999999</v>
      </c>
      <c r="G23" s="1">
        <v>2.0009999999999999</v>
      </c>
      <c r="H23" s="1">
        <v>1.6619999999999999</v>
      </c>
      <c r="I23" s="1">
        <v>2.0190000000000001</v>
      </c>
      <c r="J23" s="1">
        <v>1.8095000000000001</v>
      </c>
      <c r="K23" s="1">
        <v>0.29420000000000002</v>
      </c>
      <c r="L23" s="1">
        <v>0.29959999999999998</v>
      </c>
      <c r="M23" s="1">
        <v>0.31280000000000002</v>
      </c>
      <c r="N23" s="1">
        <v>2.4165000000000001</v>
      </c>
      <c r="O23" s="1">
        <v>1.8314999999999999</v>
      </c>
      <c r="P23" s="1">
        <v>1.91425</v>
      </c>
      <c r="Q23" s="1">
        <v>0.50310770005612959</v>
      </c>
      <c r="R23" s="1">
        <v>0.55689230864172912</v>
      </c>
      <c r="S23" s="1">
        <v>0.44357802244932448</v>
      </c>
      <c r="T23" s="2">
        <v>9.7940000000000005</v>
      </c>
      <c r="U23" s="2">
        <v>8.5429999999999993</v>
      </c>
      <c r="V23" s="2">
        <v>9.3759999999999994</v>
      </c>
      <c r="W23" s="29">
        <f t="shared" si="1"/>
        <v>0.14710000000000001</v>
      </c>
      <c r="X23" s="29">
        <f t="shared" si="2"/>
        <v>0.14979999999999999</v>
      </c>
      <c r="Y23" s="29">
        <f t="shared" si="3"/>
        <v>0.15640000000000001</v>
      </c>
      <c r="Z23" s="1">
        <v>15.841263</v>
      </c>
      <c r="AA23" s="1">
        <v>9.7949940000000009</v>
      </c>
      <c r="AB23" s="1">
        <v>10.898844</v>
      </c>
      <c r="AC23" s="2">
        <v>9.1046759999999995</v>
      </c>
      <c r="AD23" s="2">
        <v>7.6739040000000003</v>
      </c>
      <c r="AE23" s="2">
        <v>8.4617760000000004</v>
      </c>
      <c r="AF23" s="49">
        <f>(0.28+0.26676)/2</f>
        <v>0.27338000000000001</v>
      </c>
      <c r="AG23" s="49">
        <f>(0.252+0.233)/2</f>
        <v>0.24249999999999999</v>
      </c>
      <c r="AH23" s="49">
        <f>(0.194+0.228)/2</f>
        <v>0.21100000000000002</v>
      </c>
      <c r="AI23" s="29">
        <v>4.3415000000000002E-2</v>
      </c>
      <c r="AJ23" s="29">
        <v>4.6586000000000002E-2</v>
      </c>
      <c r="AK23" s="29">
        <v>4.0529000000000003E-2</v>
      </c>
      <c r="AL23" s="10">
        <v>26.882709999999999</v>
      </c>
      <c r="AM23" s="10">
        <v>26.410405999999998</v>
      </c>
      <c r="AN23" s="10">
        <v>26.779406000000002</v>
      </c>
      <c r="AO23" s="68">
        <v>0.3037144725</v>
      </c>
      <c r="AP23" s="68">
        <v>0.28172629249999998</v>
      </c>
      <c r="AQ23" s="68">
        <v>0.31762383333333299</v>
      </c>
      <c r="AR23" s="72">
        <v>48.158749999999998</v>
      </c>
      <c r="AS23" s="72">
        <v>46.288750000000007</v>
      </c>
      <c r="AT23" s="72">
        <v>51.583333333333336</v>
      </c>
      <c r="AU23" s="68">
        <v>0.41248400000000002</v>
      </c>
      <c r="AV23" s="68">
        <v>0.32480700000000001</v>
      </c>
      <c r="AW23" s="68">
        <v>0.37457699999999999</v>
      </c>
      <c r="AX23" s="29">
        <v>1.18393974575032</v>
      </c>
      <c r="AY23" s="29">
        <v>1.7753230912890701</v>
      </c>
      <c r="AZ23" s="29">
        <v>1.44785130145707</v>
      </c>
      <c r="BA23" s="1">
        <f t="shared" si="4"/>
        <v>0.86811291692535664</v>
      </c>
      <c r="BB23" s="1">
        <f t="shared" si="5"/>
        <v>0.93751061452153384</v>
      </c>
      <c r="BC23" s="1">
        <f t="shared" si="6"/>
        <v>0.94958896101155887</v>
      </c>
      <c r="BD23" s="1">
        <f t="shared" si="7"/>
        <v>0.92961772513783936</v>
      </c>
      <c r="BE23" s="1">
        <f t="shared" si="8"/>
        <v>0.89826805571813195</v>
      </c>
      <c r="BF23" s="1">
        <f t="shared" si="9"/>
        <v>0.90249317406143359</v>
      </c>
      <c r="BG23" s="2">
        <v>69.8</v>
      </c>
      <c r="BH23" s="2">
        <v>44.2</v>
      </c>
      <c r="BI23" s="2">
        <v>1740</v>
      </c>
      <c r="BJ23" s="2">
        <v>39</v>
      </c>
      <c r="BK23" s="4" t="s">
        <v>868</v>
      </c>
      <c r="BL23" s="4">
        <v>1.19</v>
      </c>
      <c r="BN23" s="21" t="s">
        <v>925</v>
      </c>
      <c r="BO23" s="21" t="s">
        <v>924</v>
      </c>
      <c r="BP23" s="24" t="s">
        <v>946</v>
      </c>
      <c r="BQ23" s="24" t="s">
        <v>1061</v>
      </c>
      <c r="BR23" s="20" t="s">
        <v>1098</v>
      </c>
    </row>
    <row r="24" spans="1:70" x14ac:dyDescent="0.25">
      <c r="A24" t="s">
        <v>685</v>
      </c>
      <c r="B24" t="s">
        <v>686</v>
      </c>
      <c r="C24" s="13" t="s">
        <v>1207</v>
      </c>
      <c r="D24" s="13" t="s">
        <v>1572</v>
      </c>
      <c r="E24" s="1">
        <v>1.5820000000000001</v>
      </c>
      <c r="F24" s="1">
        <v>1.4330000000000001</v>
      </c>
      <c r="G24" s="1">
        <v>1.601</v>
      </c>
      <c r="H24" s="1">
        <v>0.98599999999999999</v>
      </c>
      <c r="I24" s="1">
        <v>1.4359999999999999</v>
      </c>
      <c r="J24" s="1">
        <v>1.1319999999999999</v>
      </c>
      <c r="K24" s="1">
        <v>0.22919999999999999</v>
      </c>
      <c r="L24" s="1">
        <v>0.23319999999999999</v>
      </c>
      <c r="M24" s="1">
        <v>0.26019999999999999</v>
      </c>
      <c r="N24" s="1">
        <v>1.5075000000000001</v>
      </c>
      <c r="O24" s="1">
        <v>1.2934999999999999</v>
      </c>
      <c r="P24" s="1">
        <v>1.2839999999999998</v>
      </c>
      <c r="Q24" s="1">
        <v>0.42367253689987633</v>
      </c>
      <c r="R24" s="1">
        <v>0.78785163445453876</v>
      </c>
      <c r="S24" s="1">
        <v>0.61529000683114099</v>
      </c>
      <c r="T24" s="2">
        <v>6.617</v>
      </c>
      <c r="U24" s="2">
        <v>5.8949999999999996</v>
      </c>
      <c r="V24" s="2">
        <v>6.0670000000000011</v>
      </c>
      <c r="W24" s="29">
        <f t="shared" si="1"/>
        <v>0.11459999999999999</v>
      </c>
      <c r="X24" s="29">
        <f t="shared" si="2"/>
        <v>0.1166</v>
      </c>
      <c r="Y24" s="29">
        <f t="shared" si="3"/>
        <v>0.13009999999999999</v>
      </c>
      <c r="Z24" s="1">
        <v>7.3861420000000004</v>
      </c>
      <c r="AA24" s="1">
        <v>4.5823349999999996</v>
      </c>
      <c r="AB24" s="1">
        <v>5.3826070000000001</v>
      </c>
      <c r="AC24" s="2">
        <v>6.6351560000000003</v>
      </c>
      <c r="AD24" s="2">
        <v>5.1106870000000004</v>
      </c>
      <c r="AE24" s="2">
        <v>6.1047390000000004</v>
      </c>
      <c r="AF24" s="2" t="s">
        <v>40</v>
      </c>
      <c r="AG24" s="2" t="s">
        <v>40</v>
      </c>
      <c r="AH24" s="2" t="s">
        <v>40</v>
      </c>
      <c r="AI24" s="29">
        <v>2.3361E-2</v>
      </c>
      <c r="AJ24" s="29">
        <v>2.5530000000000001E-2</v>
      </c>
      <c r="AK24" s="29">
        <v>2.7966999999999999E-2</v>
      </c>
      <c r="AL24" s="10">
        <v>26.569907000000001</v>
      </c>
      <c r="AM24" s="10">
        <v>27.070098000000002</v>
      </c>
      <c r="AN24" s="10">
        <v>27.218874</v>
      </c>
      <c r="AO24" s="68">
        <v>0.29009299999999999</v>
      </c>
      <c r="AP24" s="68">
        <v>0.286372405</v>
      </c>
      <c r="AQ24" s="68">
        <v>0.310634676666667</v>
      </c>
      <c r="AR24" s="72">
        <v>27.785714285714288</v>
      </c>
      <c r="AS24" s="72">
        <v>32.707500000000003</v>
      </c>
      <c r="AT24" s="72">
        <v>31.381666666666664</v>
      </c>
      <c r="AU24" s="68">
        <v>0.196325</v>
      </c>
      <c r="AV24" s="68">
        <v>0.20305899999999999</v>
      </c>
      <c r="AW24" s="68">
        <v>0.20532700000000001</v>
      </c>
      <c r="AX24" s="29">
        <v>3.8910972120738201</v>
      </c>
      <c r="AY24" s="29">
        <v>3.8114916066576399</v>
      </c>
      <c r="AZ24" s="29">
        <v>3.54488768453851</v>
      </c>
      <c r="BA24" s="1">
        <f t="shared" si="4"/>
        <v>1.0370868093676489</v>
      </c>
      <c r="BB24" s="1">
        <f t="shared" si="5"/>
        <v>0.92399307500890071</v>
      </c>
      <c r="BC24" s="1">
        <f t="shared" si="6"/>
        <v>1.0540032072441086</v>
      </c>
      <c r="BD24" s="1">
        <f t="shared" si="7"/>
        <v>1.0027438416200696</v>
      </c>
      <c r="BE24" s="1">
        <f t="shared" si="8"/>
        <v>0.86695284139100948</v>
      </c>
      <c r="BF24" s="1">
        <f t="shared" si="9"/>
        <v>1.0062203725070049</v>
      </c>
      <c r="BG24" s="2">
        <v>43</v>
      </c>
      <c r="BH24" s="2">
        <v>27.6</v>
      </c>
      <c r="BI24" s="2">
        <v>120</v>
      </c>
      <c r="BJ24" s="2">
        <v>36.4</v>
      </c>
      <c r="BK24" s="4" t="s">
        <v>868</v>
      </c>
      <c r="BL24" s="4">
        <v>1.19</v>
      </c>
      <c r="BN24" s="21" t="s">
        <v>925</v>
      </c>
      <c r="BO24" s="21" t="s">
        <v>924</v>
      </c>
      <c r="BP24" s="22" t="s">
        <v>1123</v>
      </c>
      <c r="BQ24" s="24" t="s">
        <v>1120</v>
      </c>
      <c r="BR24" s="20" t="s">
        <v>1098</v>
      </c>
    </row>
    <row r="25" spans="1:70" x14ac:dyDescent="0.25">
      <c r="A25" t="s">
        <v>692</v>
      </c>
      <c r="B25" t="s">
        <v>693</v>
      </c>
      <c r="C25" s="13" t="s">
        <v>1208</v>
      </c>
      <c r="D25" s="13" t="s">
        <v>1572</v>
      </c>
      <c r="E25" s="1">
        <v>1.9710000000000001</v>
      </c>
      <c r="F25" s="1">
        <v>1.9615</v>
      </c>
      <c r="G25" s="1">
        <v>1.9259999999999999</v>
      </c>
      <c r="H25" s="1">
        <v>1.5535000000000001</v>
      </c>
      <c r="I25" s="1">
        <v>1.9815</v>
      </c>
      <c r="J25" s="1">
        <v>1.3620000000000001</v>
      </c>
      <c r="K25" s="1">
        <v>0.34160000000000001</v>
      </c>
      <c r="L25" s="1">
        <v>0.3306</v>
      </c>
      <c r="M25" s="1">
        <v>0.3584</v>
      </c>
      <c r="N25" s="1">
        <v>1.9662500000000001</v>
      </c>
      <c r="O25" s="1">
        <v>1.7397499999999999</v>
      </c>
      <c r="P25" s="1">
        <v>1.6717500000000001</v>
      </c>
      <c r="Q25" s="1">
        <v>9.8063986452999671E-2</v>
      </c>
      <c r="R25" s="1">
        <v>0.59110587547217208</v>
      </c>
      <c r="S25" s="1">
        <v>0.72631872790230256</v>
      </c>
      <c r="T25" s="2">
        <v>7.96</v>
      </c>
      <c r="U25" s="2">
        <v>7.2469999999999999</v>
      </c>
      <c r="V25" s="2">
        <v>7.7350000000000003</v>
      </c>
      <c r="W25" s="29">
        <f t="shared" si="1"/>
        <v>0.17080000000000001</v>
      </c>
      <c r="X25" s="29">
        <f t="shared" si="2"/>
        <v>0.1653</v>
      </c>
      <c r="Y25" s="29">
        <f t="shared" si="3"/>
        <v>0.1792</v>
      </c>
      <c r="Z25" s="1">
        <v>12.101191999999999</v>
      </c>
      <c r="AA25" s="1">
        <v>8.2371079999999992</v>
      </c>
      <c r="AB25" s="1">
        <v>8.8834510000000009</v>
      </c>
      <c r="AC25" s="2">
        <v>7.1803179999999998</v>
      </c>
      <c r="AD25" s="2">
        <v>6.3302759999999996</v>
      </c>
      <c r="AE25" s="2">
        <v>7.0255369999999999</v>
      </c>
      <c r="AF25" s="2" t="s">
        <v>40</v>
      </c>
      <c r="AG25" s="2" t="s">
        <v>40</v>
      </c>
      <c r="AH25" s="2" t="s">
        <v>40</v>
      </c>
      <c r="AI25" s="29">
        <v>4.0053999999999999E-2</v>
      </c>
      <c r="AJ25" s="29">
        <v>4.2476E-2</v>
      </c>
      <c r="AK25" s="29">
        <v>4.2167000000000003E-2</v>
      </c>
      <c r="AL25" s="10">
        <v>27.781715999999999</v>
      </c>
      <c r="AM25" s="10">
        <v>28.626448</v>
      </c>
      <c r="AN25" s="10">
        <v>27.693268</v>
      </c>
      <c r="AO25" s="68">
        <v>0.28340527999999998</v>
      </c>
      <c r="AP25" s="68">
        <v>0.28533943750000001</v>
      </c>
      <c r="AQ25" s="68">
        <v>0.317037866666667</v>
      </c>
      <c r="AR25" s="72">
        <v>44.662857142857142</v>
      </c>
      <c r="AS25" s="72">
        <v>46.406249999999993</v>
      </c>
      <c r="AT25" s="72">
        <v>45.966666666666669</v>
      </c>
      <c r="AU25" s="68">
        <v>0.40507599999999999</v>
      </c>
      <c r="AV25" s="68">
        <v>0.37933600000000001</v>
      </c>
      <c r="AW25" s="68">
        <v>0.42389900000000003</v>
      </c>
      <c r="AX25" s="29">
        <v>1.2920458860166999</v>
      </c>
      <c r="AY25" s="29">
        <v>1.3628870630927299</v>
      </c>
      <c r="AZ25" s="29">
        <v>1.2095484656922799</v>
      </c>
      <c r="BA25" s="1">
        <f t="shared" si="4"/>
        <v>0.99633030929311039</v>
      </c>
      <c r="BB25" s="1">
        <f t="shared" si="5"/>
        <v>0.876309151500127</v>
      </c>
      <c r="BC25" s="1">
        <f t="shared" si="6"/>
        <v>1.0477572007772638</v>
      </c>
      <c r="BD25" s="1">
        <f t="shared" si="7"/>
        <v>0.90205000000000002</v>
      </c>
      <c r="BE25" s="1">
        <f t="shared" si="8"/>
        <v>0.87350296674485994</v>
      </c>
      <c r="BF25" s="1">
        <f t="shared" si="9"/>
        <v>0.90827886231415633</v>
      </c>
      <c r="BG25" s="2">
        <v>57.4</v>
      </c>
      <c r="BH25" s="2">
        <v>47.9</v>
      </c>
      <c r="BI25" s="2">
        <v>856</v>
      </c>
      <c r="BJ25" s="2">
        <v>35.4</v>
      </c>
      <c r="BK25" s="4" t="s">
        <v>868</v>
      </c>
      <c r="BL25" s="4">
        <v>1.19</v>
      </c>
      <c r="BN25" s="21" t="s">
        <v>925</v>
      </c>
      <c r="BO25" s="21" t="s">
        <v>924</v>
      </c>
      <c r="BP25" s="24" t="s">
        <v>946</v>
      </c>
      <c r="BQ25" s="24" t="s">
        <v>1063</v>
      </c>
      <c r="BR25" s="20" t="s">
        <v>1098</v>
      </c>
    </row>
    <row r="26" spans="1:70" x14ac:dyDescent="0.25">
      <c r="A26" t="s">
        <v>694</v>
      </c>
      <c r="B26" t="s">
        <v>695</v>
      </c>
      <c r="C26" s="13" t="s">
        <v>1209</v>
      </c>
      <c r="D26" s="13" t="s">
        <v>1572</v>
      </c>
      <c r="E26" s="1">
        <v>1.9475</v>
      </c>
      <c r="F26" s="1">
        <v>1.8380000000000001</v>
      </c>
      <c r="G26" s="1">
        <v>2.0369999999999999</v>
      </c>
      <c r="H26" s="1">
        <v>1.6635</v>
      </c>
      <c r="I26" s="1">
        <v>2.2410000000000001</v>
      </c>
      <c r="J26" s="1">
        <v>1.5029999999999999</v>
      </c>
      <c r="K26" s="1">
        <v>0.24099999999999999</v>
      </c>
      <c r="L26" s="1">
        <v>0.24399999999999999</v>
      </c>
      <c r="M26" s="1">
        <v>0.24260000000000001</v>
      </c>
      <c r="N26" s="1">
        <v>1.8927499999999999</v>
      </c>
      <c r="O26" s="1">
        <v>1.85025</v>
      </c>
      <c r="P26" s="1">
        <v>1.8719999999999999</v>
      </c>
      <c r="Q26" s="1">
        <v>0.33059114640269216</v>
      </c>
      <c r="R26" s="1">
        <v>0.5771443897250359</v>
      </c>
      <c r="S26" s="1">
        <v>0.74174434574234194</v>
      </c>
      <c r="T26" s="2">
        <v>8.1300000000000008</v>
      </c>
      <c r="U26" s="2">
        <v>8.3870000000000005</v>
      </c>
      <c r="V26" s="2">
        <v>9.0589999999999993</v>
      </c>
      <c r="W26" s="29">
        <f t="shared" si="1"/>
        <v>0.1205</v>
      </c>
      <c r="X26" s="29">
        <f t="shared" si="2"/>
        <v>0.122</v>
      </c>
      <c r="Y26" s="29">
        <f t="shared" si="3"/>
        <v>0.12130000000000001</v>
      </c>
      <c r="Z26" s="1">
        <v>10.536401</v>
      </c>
      <c r="AA26" s="1">
        <v>9.3537079999999992</v>
      </c>
      <c r="AB26" s="1">
        <v>10.527602999999999</v>
      </c>
      <c r="AC26" s="2">
        <v>7.6062950000000003</v>
      </c>
      <c r="AD26" s="2">
        <v>8.1486479999999997</v>
      </c>
      <c r="AE26" s="2">
        <v>7.6479160000000004</v>
      </c>
      <c r="AF26" s="2" t="s">
        <v>40</v>
      </c>
      <c r="AG26" s="2" t="s">
        <v>40</v>
      </c>
      <c r="AH26" s="2" t="s">
        <v>40</v>
      </c>
      <c r="AI26" s="29">
        <v>3.9167E-2</v>
      </c>
      <c r="AJ26" s="29">
        <v>3.5769000000000002E-2</v>
      </c>
      <c r="AK26" s="29">
        <v>3.0623000000000001E-2</v>
      </c>
      <c r="AL26" s="10">
        <v>27.374593999999998</v>
      </c>
      <c r="AM26" s="10">
        <v>26.716774999999998</v>
      </c>
      <c r="AN26" s="10">
        <v>28.022234999999998</v>
      </c>
      <c r="AO26" s="68">
        <v>0.26875919500000001</v>
      </c>
      <c r="AP26" s="68">
        <v>0.27861451999999998</v>
      </c>
      <c r="AQ26" s="68">
        <v>0.24760257999999999</v>
      </c>
      <c r="AR26" s="72">
        <v>43.692499999999995</v>
      </c>
      <c r="AS26" s="72">
        <v>49.179999999999993</v>
      </c>
      <c r="AT26" s="72">
        <v>48.112857142857138</v>
      </c>
      <c r="AU26" s="68">
        <v>0.46576400000000001</v>
      </c>
      <c r="AV26" s="68">
        <v>0.43856299999999998</v>
      </c>
      <c r="AW26" s="68">
        <v>0.43428</v>
      </c>
      <c r="AX26" s="29">
        <v>0.95532863595272</v>
      </c>
      <c r="AY26" s="29">
        <v>0.97456817995102596</v>
      </c>
      <c r="AZ26" s="29">
        <v>1.0158689337958799</v>
      </c>
      <c r="BA26" s="1">
        <f t="shared" si="4"/>
        <v>0.93695653535803924</v>
      </c>
      <c r="BB26" s="1">
        <f t="shared" si="5"/>
        <v>0.87865847285878884</v>
      </c>
      <c r="BC26" s="1">
        <f t="shared" si="6"/>
        <v>0.99489853038772469</v>
      </c>
      <c r="BD26" s="1">
        <f t="shared" si="7"/>
        <v>0.93558364083640833</v>
      </c>
      <c r="BE26" s="1">
        <f t="shared" si="8"/>
        <v>0.9715807797782281</v>
      </c>
      <c r="BF26" s="1">
        <f t="shared" si="9"/>
        <v>0.84423402141516735</v>
      </c>
      <c r="BG26" s="2">
        <v>42.5</v>
      </c>
      <c r="BH26" s="2">
        <v>31.3</v>
      </c>
      <c r="BI26" s="2">
        <v>289</v>
      </c>
      <c r="BJ26" s="2">
        <v>37.85</v>
      </c>
      <c r="BK26" s="4" t="s">
        <v>868</v>
      </c>
      <c r="BL26" s="4">
        <v>1.19</v>
      </c>
      <c r="BN26" s="21" t="s">
        <v>925</v>
      </c>
      <c r="BO26" s="21" t="s">
        <v>924</v>
      </c>
      <c r="BP26" s="22" t="s">
        <v>1122</v>
      </c>
      <c r="BQ26" s="24" t="s">
        <v>1064</v>
      </c>
      <c r="BR26" s="20" t="s">
        <v>1098</v>
      </c>
    </row>
    <row r="27" spans="1:70" x14ac:dyDescent="0.25">
      <c r="A27" t="s">
        <v>696</v>
      </c>
      <c r="B27" t="s">
        <v>63</v>
      </c>
      <c r="C27" s="13" t="s">
        <v>1210</v>
      </c>
      <c r="D27" s="13" t="s">
        <v>1572</v>
      </c>
      <c r="E27" s="1">
        <v>1.4704999999999999</v>
      </c>
      <c r="F27" s="1">
        <v>1.1639999999999999</v>
      </c>
      <c r="G27" s="1">
        <v>1.3</v>
      </c>
      <c r="H27" s="1">
        <v>1.071</v>
      </c>
      <c r="I27" s="1">
        <v>1.3540000000000001</v>
      </c>
      <c r="J27" s="1">
        <v>1.0894999999999999</v>
      </c>
      <c r="K27" s="1">
        <v>0.19900000000000001</v>
      </c>
      <c r="L27" s="1">
        <v>0.23400000000000001</v>
      </c>
      <c r="M27" s="1">
        <v>0.21840000000000001</v>
      </c>
      <c r="N27" s="1">
        <v>1.31725</v>
      </c>
      <c r="O27" s="1">
        <v>1.1855</v>
      </c>
      <c r="P27" s="1">
        <v>1.2217500000000001</v>
      </c>
      <c r="Q27" s="1">
        <v>0.61108174769335766</v>
      </c>
      <c r="R27" s="1">
        <v>0.56681347442778707</v>
      </c>
      <c r="S27" s="1">
        <v>0.59374551967757927</v>
      </c>
      <c r="T27" s="2">
        <v>5.1680000000000001</v>
      </c>
      <c r="U27" s="2">
        <v>5.4359999999999999</v>
      </c>
      <c r="V27" s="2">
        <v>5.7439999999999998</v>
      </c>
      <c r="W27" s="29">
        <f t="shared" si="1"/>
        <v>9.9500000000000005E-2</v>
      </c>
      <c r="X27" s="29">
        <f t="shared" si="2"/>
        <v>0.11700000000000001</v>
      </c>
      <c r="Y27" s="29">
        <f t="shared" si="3"/>
        <v>0.10920000000000001</v>
      </c>
      <c r="Z27" s="1">
        <v>4.8435319999999997</v>
      </c>
      <c r="AA27" s="1">
        <v>3.8516629999999998</v>
      </c>
      <c r="AB27" s="1">
        <v>4.6345479999999997</v>
      </c>
      <c r="AC27" s="2">
        <v>4.9380699999999997</v>
      </c>
      <c r="AD27" s="2">
        <v>4.8430920000000004</v>
      </c>
      <c r="AE27" s="2">
        <v>4.7829030000000001</v>
      </c>
      <c r="AF27" s="49">
        <f>(0.173+0.153)/2</f>
        <v>0.16299999999999998</v>
      </c>
      <c r="AG27" s="49">
        <f>(0.16631+0.20009)/2</f>
        <v>0.1832</v>
      </c>
      <c r="AH27" s="49">
        <f>(0.21903+0.208)/2</f>
        <v>0.21351500000000001</v>
      </c>
      <c r="AI27" s="29">
        <v>2.3262999999999999E-2</v>
      </c>
      <c r="AJ27" s="29">
        <v>2.0577000000000002E-2</v>
      </c>
      <c r="AK27" s="29">
        <v>2.2058999999999999E-2</v>
      </c>
      <c r="AL27" s="10">
        <v>26.800829</v>
      </c>
      <c r="AM27" s="10">
        <v>26.188251999999999</v>
      </c>
      <c r="AN27" s="10">
        <v>26.363568999999998</v>
      </c>
      <c r="AO27" s="68">
        <v>0.25982430000000001</v>
      </c>
      <c r="AP27" s="68">
        <v>0.25745015999999998</v>
      </c>
      <c r="AQ27" s="68">
        <v>0.26151620666666697</v>
      </c>
      <c r="AR27" s="72">
        <v>34.950000000000003</v>
      </c>
      <c r="AS27" s="72">
        <v>32.440000000000005</v>
      </c>
      <c r="AT27" s="72">
        <v>35.776666666666664</v>
      </c>
      <c r="AU27" s="68">
        <v>0.23604700000000001</v>
      </c>
      <c r="AV27" s="68">
        <v>0.20122699999999999</v>
      </c>
      <c r="AW27" s="68">
        <v>0.22692399999999999</v>
      </c>
      <c r="AX27" s="29">
        <v>3.0390995315601099</v>
      </c>
      <c r="AY27" s="29">
        <v>3.8841714002079799</v>
      </c>
      <c r="AZ27" s="29">
        <v>3.12022994060841</v>
      </c>
      <c r="BA27" s="1">
        <f t="shared" si="4"/>
        <v>0.90072930265878903</v>
      </c>
      <c r="BB27" s="1">
        <f t="shared" si="5"/>
        <v>0.8805734476393865</v>
      </c>
      <c r="BC27" s="1">
        <f t="shared" si="6"/>
        <v>1.0000267399999285</v>
      </c>
      <c r="BD27" s="1">
        <f t="shared" si="7"/>
        <v>0.95550890092879248</v>
      </c>
      <c r="BE27" s="1">
        <f t="shared" si="8"/>
        <v>0.8909293598233996</v>
      </c>
      <c r="BF27" s="1">
        <f t="shared" si="9"/>
        <v>0.83267809888579392</v>
      </c>
      <c r="BG27" s="2">
        <v>31.9</v>
      </c>
      <c r="BH27" s="2">
        <v>25.8</v>
      </c>
      <c r="BI27" s="2">
        <v>43</v>
      </c>
      <c r="BJ27" s="2">
        <v>35.9</v>
      </c>
      <c r="BK27" s="4" t="s">
        <v>868</v>
      </c>
      <c r="BL27" s="4">
        <v>1.19</v>
      </c>
      <c r="BN27" s="21" t="s">
        <v>925</v>
      </c>
      <c r="BO27" s="21" t="s">
        <v>924</v>
      </c>
      <c r="BP27" s="24" t="s">
        <v>946</v>
      </c>
      <c r="BQ27" s="24" t="s">
        <v>1065</v>
      </c>
      <c r="BR27" s="20" t="s">
        <v>1098</v>
      </c>
    </row>
    <row r="28" spans="1:70" x14ac:dyDescent="0.25">
      <c r="A28" t="s">
        <v>697</v>
      </c>
      <c r="B28" t="s">
        <v>698</v>
      </c>
      <c r="C28" s="13" t="s">
        <v>1211</v>
      </c>
      <c r="D28" s="13" t="s">
        <v>1572</v>
      </c>
      <c r="E28" s="1">
        <v>2.423</v>
      </c>
      <c r="F28" s="1">
        <v>2.2000000000000002</v>
      </c>
      <c r="G28" s="1">
        <v>2.4035000000000002</v>
      </c>
      <c r="H28" s="1">
        <v>1.839</v>
      </c>
      <c r="I28" s="1">
        <v>2.0649999999999999</v>
      </c>
      <c r="J28" s="1">
        <v>1.891</v>
      </c>
      <c r="K28" s="1">
        <v>0.26779999999999998</v>
      </c>
      <c r="L28" s="1">
        <v>0.29620000000000002</v>
      </c>
      <c r="M28" s="1">
        <v>0.32379999999999998</v>
      </c>
      <c r="N28" s="1">
        <v>2.3115000000000001</v>
      </c>
      <c r="O28" s="1">
        <v>2.1212499999999999</v>
      </c>
      <c r="P28" s="1">
        <v>1.978</v>
      </c>
      <c r="Q28" s="1">
        <v>0.41904529046803146</v>
      </c>
      <c r="R28" s="1">
        <v>0.64387086254428494</v>
      </c>
      <c r="S28" s="1">
        <v>0.40177481483417343</v>
      </c>
      <c r="T28" s="2">
        <v>9.2089999999999996</v>
      </c>
      <c r="U28" s="2">
        <v>8.8190000000000008</v>
      </c>
      <c r="V28" s="2">
        <v>9.2639999999999993</v>
      </c>
      <c r="W28" s="29">
        <f t="shared" si="1"/>
        <v>0.13389999999999999</v>
      </c>
      <c r="X28" s="29">
        <f t="shared" si="2"/>
        <v>0.14810000000000001</v>
      </c>
      <c r="Y28" s="29">
        <f t="shared" si="3"/>
        <v>0.16189999999999999</v>
      </c>
      <c r="Z28" s="1">
        <v>17.003129000000001</v>
      </c>
      <c r="AA28" s="1">
        <v>12.805198000000001</v>
      </c>
      <c r="AB28" s="1">
        <v>12.011672000000001</v>
      </c>
      <c r="AC28" s="2">
        <v>8.5381009999999993</v>
      </c>
      <c r="AD28" s="2">
        <v>8.0679870000000005</v>
      </c>
      <c r="AE28" s="2">
        <v>8.0700330000000005</v>
      </c>
      <c r="AF28" s="2" t="s">
        <v>40</v>
      </c>
      <c r="AG28" s="2" t="s">
        <v>40</v>
      </c>
      <c r="AH28" s="2" t="s">
        <v>40</v>
      </c>
      <c r="AI28" s="29">
        <v>3.3503999999999999E-2</v>
      </c>
      <c r="AJ28" s="29">
        <v>4.1091000000000003E-2</v>
      </c>
      <c r="AK28" s="29">
        <v>3.6003E-2</v>
      </c>
      <c r="AL28" s="10">
        <v>26.966657999999999</v>
      </c>
      <c r="AM28" s="10">
        <v>26.939893999999999</v>
      </c>
      <c r="AN28" s="10">
        <v>27.931141</v>
      </c>
      <c r="AO28" s="68">
        <v>0.30465218399999999</v>
      </c>
      <c r="AP28" s="68">
        <v>0.41245347500000001</v>
      </c>
      <c r="AQ28" s="68">
        <v>0.34844295199999997</v>
      </c>
      <c r="AR28" s="72">
        <v>46.055999999999997</v>
      </c>
      <c r="AS28" s="72">
        <v>55.212499999999999</v>
      </c>
      <c r="AT28" s="72">
        <v>42.268000000000001</v>
      </c>
      <c r="AU28" s="68">
        <v>0.43160799999999999</v>
      </c>
      <c r="AV28" s="68">
        <v>0.40631600000000001</v>
      </c>
      <c r="AW28" s="68">
        <v>0.40008700000000003</v>
      </c>
      <c r="AX28" s="29">
        <v>1.1132699788101501</v>
      </c>
      <c r="AY28" s="29">
        <v>1.3457136589284799</v>
      </c>
      <c r="AZ28" s="29">
        <v>1.3638550945197201</v>
      </c>
      <c r="BA28" s="1">
        <f t="shared" si="4"/>
        <v>1.0153198620714947</v>
      </c>
      <c r="BB28" s="1">
        <f t="shared" si="5"/>
        <v>0.92216910831865395</v>
      </c>
      <c r="BC28" s="1">
        <f t="shared" si="6"/>
        <v>0.97913371922231995</v>
      </c>
      <c r="BD28" s="1">
        <f t="shared" si="7"/>
        <v>0.92714746443696383</v>
      </c>
      <c r="BE28" s="1">
        <f t="shared" si="8"/>
        <v>0.91484147862569454</v>
      </c>
      <c r="BF28" s="1">
        <f t="shared" si="9"/>
        <v>0.87111755181347161</v>
      </c>
      <c r="BG28" s="2">
        <v>76.900000000000006</v>
      </c>
      <c r="BH28" s="2">
        <v>55.5</v>
      </c>
      <c r="BI28" s="2">
        <v>2210</v>
      </c>
      <c r="BJ28" s="2">
        <v>38</v>
      </c>
      <c r="BK28" s="4" t="s">
        <v>868</v>
      </c>
      <c r="BL28" s="4">
        <v>1.19</v>
      </c>
      <c r="BN28" s="21" t="s">
        <v>925</v>
      </c>
      <c r="BO28" s="21" t="s">
        <v>924</v>
      </c>
      <c r="BP28" s="24" t="s">
        <v>946</v>
      </c>
      <c r="BQ28" s="24" t="s">
        <v>1066</v>
      </c>
      <c r="BR28" s="20" t="s">
        <v>1098</v>
      </c>
    </row>
    <row r="29" spans="1:70" x14ac:dyDescent="0.25">
      <c r="A29" t="s">
        <v>699</v>
      </c>
      <c r="B29" t="s">
        <v>700</v>
      </c>
      <c r="C29" s="13" t="s">
        <v>1212</v>
      </c>
      <c r="D29" s="13" t="s">
        <v>1572</v>
      </c>
      <c r="E29" s="1">
        <v>2.3809999999999998</v>
      </c>
      <c r="F29" s="1">
        <v>2.3359999999999999</v>
      </c>
      <c r="G29" s="1">
        <v>2.2509999999999999</v>
      </c>
      <c r="H29" s="1">
        <v>1.7135</v>
      </c>
      <c r="I29" s="1">
        <v>2.1444999999999999</v>
      </c>
      <c r="J29" s="1">
        <v>1.9755</v>
      </c>
      <c r="K29" s="1">
        <v>0.4</v>
      </c>
      <c r="L29" s="1">
        <v>0.4</v>
      </c>
      <c r="M29" s="1">
        <v>0.42799999999999999</v>
      </c>
      <c r="N29" s="1">
        <v>2.3584999999999998</v>
      </c>
      <c r="O29" s="1">
        <v>1.9822500000000001</v>
      </c>
      <c r="P29" s="1">
        <v>2.06</v>
      </c>
      <c r="Q29" s="1">
        <v>0.19349947881865456</v>
      </c>
      <c r="R29" s="1">
        <v>0.64849696870799789</v>
      </c>
      <c r="S29" s="1">
        <v>0.38910419205680713</v>
      </c>
      <c r="T29" s="2">
        <v>8.7089999999999996</v>
      </c>
      <c r="U29" s="2">
        <v>8.5039999999999996</v>
      </c>
      <c r="V29" s="2">
        <v>9.7740000000000009</v>
      </c>
      <c r="W29" s="29">
        <f t="shared" si="1"/>
        <v>0.2</v>
      </c>
      <c r="X29" s="29">
        <f t="shared" si="2"/>
        <v>0.2</v>
      </c>
      <c r="Y29" s="29">
        <f t="shared" si="3"/>
        <v>0.214</v>
      </c>
      <c r="Z29" s="1">
        <v>16.074441</v>
      </c>
      <c r="AA29" s="1">
        <v>12.791368</v>
      </c>
      <c r="AB29" s="1">
        <v>13.680949999999999</v>
      </c>
      <c r="AC29" s="2">
        <v>8.8917459999999995</v>
      </c>
      <c r="AD29" s="2">
        <v>8.6772259999999992</v>
      </c>
      <c r="AE29" s="2">
        <v>9.5873209999999993</v>
      </c>
      <c r="AF29" s="2" t="s">
        <v>40</v>
      </c>
      <c r="AG29" s="2" t="s">
        <v>40</v>
      </c>
      <c r="AH29" s="2" t="s">
        <v>40</v>
      </c>
      <c r="AI29" s="29">
        <v>3.3522999999999997E-2</v>
      </c>
      <c r="AJ29" s="29">
        <v>3.8206999999999998E-2</v>
      </c>
      <c r="AK29" s="29">
        <v>3.3876000000000003E-2</v>
      </c>
      <c r="AL29" s="10">
        <v>27.535097</v>
      </c>
      <c r="AM29" s="10">
        <v>27.392537999999998</v>
      </c>
      <c r="AN29" s="10">
        <v>27.684812999999998</v>
      </c>
      <c r="AO29" s="68">
        <v>0.31529581333333301</v>
      </c>
      <c r="AP29" s="68">
        <v>0.38777191999999999</v>
      </c>
      <c r="AQ29" s="68">
        <v>0.35374371999999998</v>
      </c>
      <c r="AR29" s="72">
        <v>48.653333333333336</v>
      </c>
      <c r="AS29" s="72">
        <v>50.28</v>
      </c>
      <c r="AT29" s="72">
        <v>53.622857142857136</v>
      </c>
      <c r="AU29" s="68">
        <v>0.54327000000000003</v>
      </c>
      <c r="AV29" s="68">
        <v>0.51687000000000005</v>
      </c>
      <c r="AW29" s="68">
        <v>0.49676799999999999</v>
      </c>
      <c r="AX29" s="29">
        <v>0.73031555748794796</v>
      </c>
      <c r="AY29" s="29">
        <v>0.87001993576648695</v>
      </c>
      <c r="AZ29" s="29">
        <v>0.92118275664100502</v>
      </c>
      <c r="BA29" s="1">
        <f t="shared" si="4"/>
        <v>0.91992786162032969</v>
      </c>
      <c r="BB29" s="1">
        <f t="shared" si="5"/>
        <v>1.0556197744010754</v>
      </c>
      <c r="BC29" s="1">
        <f t="shared" si="6"/>
        <v>1.0279294255979019</v>
      </c>
      <c r="BD29" s="1">
        <f t="shared" si="7"/>
        <v>1.0209835802043863</v>
      </c>
      <c r="BE29" s="1">
        <f t="shared" si="8"/>
        <v>1.0203699435559737</v>
      </c>
      <c r="BF29" s="1">
        <f t="shared" si="9"/>
        <v>0.98090045017393068</v>
      </c>
      <c r="BG29" s="2">
        <v>45</v>
      </c>
      <c r="BH29" s="2">
        <v>39.9</v>
      </c>
      <c r="BI29" s="2">
        <v>759</v>
      </c>
      <c r="BJ29" s="2">
        <v>38.4</v>
      </c>
      <c r="BK29" s="4" t="s">
        <v>868</v>
      </c>
      <c r="BL29" s="4">
        <v>1.19</v>
      </c>
      <c r="BN29" s="21" t="s">
        <v>925</v>
      </c>
      <c r="BO29" s="21" t="s">
        <v>924</v>
      </c>
      <c r="BP29" s="24" t="s">
        <v>946</v>
      </c>
      <c r="BQ29" s="24" t="s">
        <v>1067</v>
      </c>
      <c r="BR29" s="20" t="s">
        <v>1098</v>
      </c>
    </row>
    <row r="30" spans="1:70" x14ac:dyDescent="0.25">
      <c r="A30" t="s">
        <v>701</v>
      </c>
      <c r="B30" t="s">
        <v>702</v>
      </c>
      <c r="C30" s="13" t="s">
        <v>1213</v>
      </c>
      <c r="D30" s="13" t="s">
        <v>1572</v>
      </c>
      <c r="E30" s="1">
        <v>1.9255</v>
      </c>
      <c r="F30" s="1">
        <v>1.5175000000000001</v>
      </c>
      <c r="G30" s="1">
        <v>2.0575000000000001</v>
      </c>
      <c r="H30" s="1">
        <v>1.476</v>
      </c>
      <c r="I30" s="1">
        <v>1.869</v>
      </c>
      <c r="J30" s="1">
        <v>1.5640000000000001</v>
      </c>
      <c r="K30" s="1">
        <v>0.47599999999999998</v>
      </c>
      <c r="L30" s="1">
        <v>0.42199999999999999</v>
      </c>
      <c r="M30" s="1">
        <v>0.48499999999999999</v>
      </c>
      <c r="N30" s="1">
        <v>1.7215</v>
      </c>
      <c r="O30" s="1">
        <v>1.76675</v>
      </c>
      <c r="P30" s="1">
        <v>1.7164999999999999</v>
      </c>
      <c r="Q30" s="1">
        <v>0.61553828465912275</v>
      </c>
      <c r="R30" s="1">
        <v>0.69668677009892177</v>
      </c>
      <c r="S30" s="1">
        <v>0.54749167525377695</v>
      </c>
      <c r="T30" s="2">
        <v>5.9489999999999998</v>
      </c>
      <c r="U30" s="2">
        <v>7.7880000000000003</v>
      </c>
      <c r="V30" s="2">
        <v>7.7349999999999994</v>
      </c>
      <c r="W30" s="29">
        <f t="shared" si="1"/>
        <v>0.23799999999999999</v>
      </c>
      <c r="X30" s="29">
        <f t="shared" si="2"/>
        <v>0.21099999999999999</v>
      </c>
      <c r="Y30" s="29">
        <f t="shared" si="3"/>
        <v>0.24249999999999999</v>
      </c>
      <c r="Z30" s="1">
        <v>8.0314979999999991</v>
      </c>
      <c r="AA30" s="1">
        <v>9.341208</v>
      </c>
      <c r="AB30" s="1">
        <v>8.6900309999999994</v>
      </c>
      <c r="AC30" s="2">
        <v>5.4515630000000002</v>
      </c>
      <c r="AD30" s="2">
        <v>7.1794779999999996</v>
      </c>
      <c r="AE30" s="2">
        <v>6.8852219999999997</v>
      </c>
      <c r="AF30" s="2" t="s">
        <v>40</v>
      </c>
      <c r="AG30" s="2" t="s">
        <v>40</v>
      </c>
      <c r="AH30" s="2" t="s">
        <v>40</v>
      </c>
      <c r="AI30" s="29">
        <v>4.9246999999999999E-2</v>
      </c>
      <c r="AJ30" s="29">
        <v>4.2236999999999997E-2</v>
      </c>
      <c r="AK30" s="29">
        <v>4.1320999999999997E-2</v>
      </c>
      <c r="AL30" s="10">
        <v>26.890298000000001</v>
      </c>
      <c r="AM30" s="10">
        <v>27.76417</v>
      </c>
      <c r="AN30" s="10">
        <v>28.2135</v>
      </c>
      <c r="AO30" s="68">
        <v>0.30268665500000003</v>
      </c>
      <c r="AP30" s="68">
        <v>0.33852279499999999</v>
      </c>
      <c r="AQ30" s="68">
        <v>0.299280824</v>
      </c>
      <c r="AR30" s="72">
        <v>47.582500000000003</v>
      </c>
      <c r="AS30" s="72">
        <v>47.092500000000001</v>
      </c>
      <c r="AT30" s="72">
        <v>45.316000000000003</v>
      </c>
      <c r="AU30" s="68">
        <v>0.41438900000000001</v>
      </c>
      <c r="AV30" s="68">
        <v>0.395957</v>
      </c>
      <c r="AW30" s="68">
        <v>0.40098600000000001</v>
      </c>
      <c r="AX30" s="29">
        <v>1.2470070295069799</v>
      </c>
      <c r="AY30" s="29">
        <v>1.35870237523729</v>
      </c>
      <c r="AZ30" s="29">
        <v>1.2430544744245</v>
      </c>
      <c r="BA30" s="1">
        <f t="shared" si="4"/>
        <v>0.87493232097111373</v>
      </c>
      <c r="BB30" s="1">
        <f t="shared" si="5"/>
        <v>0.9790998150395358</v>
      </c>
      <c r="BC30" s="1">
        <f t="shared" si="6"/>
        <v>0.94629251064398834</v>
      </c>
      <c r="BD30" s="1">
        <f t="shared" si="7"/>
        <v>0.9163830895948899</v>
      </c>
      <c r="BE30" s="1">
        <f t="shared" si="8"/>
        <v>0.92186414997431942</v>
      </c>
      <c r="BF30" s="1">
        <f t="shared" si="9"/>
        <v>0.89013859082094382</v>
      </c>
      <c r="BG30" s="2">
        <v>46.3</v>
      </c>
      <c r="BH30" s="2">
        <v>40.5</v>
      </c>
      <c r="BI30" s="2">
        <v>324</v>
      </c>
      <c r="BJ30" s="2">
        <v>37.5</v>
      </c>
      <c r="BK30" s="4" t="s">
        <v>868</v>
      </c>
      <c r="BL30" s="4">
        <v>1.19</v>
      </c>
      <c r="BN30" s="21" t="s">
        <v>925</v>
      </c>
      <c r="BO30" s="21" t="s">
        <v>924</v>
      </c>
      <c r="BP30" s="24" t="s">
        <v>946</v>
      </c>
      <c r="BQ30" s="24" t="s">
        <v>1068</v>
      </c>
      <c r="BR30" s="20" t="s">
        <v>1098</v>
      </c>
    </row>
    <row r="31" spans="1:70" x14ac:dyDescent="0.25">
      <c r="A31" t="s">
        <v>703</v>
      </c>
      <c r="B31" t="s">
        <v>704</v>
      </c>
      <c r="C31" s="13" t="s">
        <v>1214</v>
      </c>
      <c r="D31" s="13" t="s">
        <v>1572</v>
      </c>
      <c r="E31" s="1">
        <v>3.4449999999999998</v>
      </c>
      <c r="F31" s="1">
        <v>3.4064999999999999</v>
      </c>
      <c r="G31" s="1">
        <v>2.9285000000000001</v>
      </c>
      <c r="H31" s="1">
        <v>2.8515000000000001</v>
      </c>
      <c r="I31" s="1">
        <v>3.2435</v>
      </c>
      <c r="J31" s="1">
        <v>3.2004999999999999</v>
      </c>
      <c r="K31" s="1">
        <v>0.54359999999999997</v>
      </c>
      <c r="L31" s="1">
        <v>0.46060000000000001</v>
      </c>
      <c r="M31" s="1">
        <v>0.53239999999999998</v>
      </c>
      <c r="N31" s="1">
        <v>3.4257499999999999</v>
      </c>
      <c r="O31" s="1">
        <v>2.89</v>
      </c>
      <c r="P31" s="1">
        <v>3.222</v>
      </c>
      <c r="Q31" s="1">
        <v>0.1490850068260503</v>
      </c>
      <c r="R31" s="1">
        <v>0.22780542038308052</v>
      </c>
      <c r="S31" s="1">
        <v>0.16229236588028895</v>
      </c>
      <c r="T31" s="2">
        <v>13.282</v>
      </c>
      <c r="U31" s="2">
        <v>13.669</v>
      </c>
      <c r="V31" s="2">
        <v>15.635</v>
      </c>
      <c r="W31" s="29">
        <f t="shared" si="1"/>
        <v>0.27179999999999999</v>
      </c>
      <c r="X31" s="29">
        <f t="shared" si="2"/>
        <v>0.2303</v>
      </c>
      <c r="Y31" s="29">
        <f t="shared" si="3"/>
        <v>0.26619999999999999</v>
      </c>
      <c r="Z31" s="1">
        <v>34.141036999999997</v>
      </c>
      <c r="AA31" s="1">
        <v>26.743416</v>
      </c>
      <c r="AB31" s="1">
        <v>34.206279000000002</v>
      </c>
      <c r="AC31" s="2">
        <v>13.243197</v>
      </c>
      <c r="AD31" s="2">
        <v>12.630770999999999</v>
      </c>
      <c r="AE31" s="2">
        <v>14.324526000000001</v>
      </c>
      <c r="AF31" s="2" t="s">
        <v>40</v>
      </c>
      <c r="AG31" s="2" t="s">
        <v>40</v>
      </c>
      <c r="AH31" s="2" t="s">
        <v>40</v>
      </c>
      <c r="AI31" s="29">
        <v>5.9438999999999999E-2</v>
      </c>
      <c r="AJ31" s="29">
        <v>4.8051999999999997E-2</v>
      </c>
      <c r="AK31" s="29">
        <v>4.5492999999999999E-2</v>
      </c>
      <c r="AL31" s="10">
        <v>27.044142000000001</v>
      </c>
      <c r="AM31" s="10">
        <v>26.643957</v>
      </c>
      <c r="AN31" s="10">
        <v>26.171068000000002</v>
      </c>
      <c r="AO31" s="68">
        <v>0.52431409500000004</v>
      </c>
      <c r="AP31" s="68">
        <v>0.52722194</v>
      </c>
      <c r="AQ31" s="68">
        <v>0.52759598888888903</v>
      </c>
      <c r="AR31" s="72">
        <v>72.04249999999999</v>
      </c>
      <c r="AS31" s="72">
        <v>73.781428571428577</v>
      </c>
      <c r="AT31" s="72">
        <v>67.538888888888877</v>
      </c>
      <c r="AU31" s="68">
        <v>0.92846200000000001</v>
      </c>
      <c r="AV31" s="68">
        <v>0.76039800000000002</v>
      </c>
      <c r="AW31" s="68">
        <v>0.92881400000000003</v>
      </c>
      <c r="AX31" s="29">
        <v>0.37678599893161502</v>
      </c>
      <c r="AY31" s="29">
        <v>0.53753816038138302</v>
      </c>
      <c r="AZ31" s="29">
        <v>0.37259748642586599</v>
      </c>
      <c r="BA31" s="1">
        <f t="shared" si="4"/>
        <v>0.92603886931490242</v>
      </c>
      <c r="BB31" s="1">
        <f t="shared" si="5"/>
        <v>1.0194088578806957</v>
      </c>
      <c r="BC31" s="1">
        <f t="shared" si="6"/>
        <v>1.0488761908719788</v>
      </c>
      <c r="BD31" s="1">
        <f t="shared" si="7"/>
        <v>0.9970785273302214</v>
      </c>
      <c r="BE31" s="1">
        <f t="shared" si="8"/>
        <v>0.92404499231838455</v>
      </c>
      <c r="BF31" s="1">
        <f t="shared" si="9"/>
        <v>0.9161833066837225</v>
      </c>
      <c r="BG31" s="2">
        <v>177.8</v>
      </c>
      <c r="BH31" s="2">
        <v>93.6</v>
      </c>
      <c r="BI31" s="2">
        <v>16730</v>
      </c>
      <c r="BJ31" s="2">
        <v>38.1</v>
      </c>
      <c r="BK31" s="4" t="s">
        <v>868</v>
      </c>
      <c r="BL31" s="4">
        <v>1.19</v>
      </c>
      <c r="BN31" s="21" t="s">
        <v>925</v>
      </c>
      <c r="BO31" s="21" t="s">
        <v>924</v>
      </c>
      <c r="BP31" s="24" t="s">
        <v>948</v>
      </c>
      <c r="BQ31" s="24" t="s">
        <v>1069</v>
      </c>
      <c r="BR31" s="20" t="s">
        <v>1098</v>
      </c>
    </row>
    <row r="32" spans="1:70" x14ac:dyDescent="0.25">
      <c r="A32" t="s">
        <v>705</v>
      </c>
      <c r="B32" t="s">
        <v>706</v>
      </c>
      <c r="C32" s="13" t="s">
        <v>1215</v>
      </c>
      <c r="D32" s="13" t="s">
        <v>1572</v>
      </c>
      <c r="E32" s="1">
        <v>2.9184999999999999</v>
      </c>
      <c r="F32" s="1">
        <v>2.605</v>
      </c>
      <c r="G32" s="1">
        <v>3.0605000000000002</v>
      </c>
      <c r="H32" s="1">
        <v>2.6695000000000002</v>
      </c>
      <c r="I32" s="1">
        <v>2.819</v>
      </c>
      <c r="J32" s="1">
        <v>2.6920000000000002</v>
      </c>
      <c r="K32" s="1">
        <v>0.37659999999999999</v>
      </c>
      <c r="L32" s="1">
        <v>0.45200000000000001</v>
      </c>
      <c r="M32" s="1">
        <v>0.39900000000000002</v>
      </c>
      <c r="N32" s="1">
        <v>2.7617500000000001</v>
      </c>
      <c r="O32" s="1">
        <v>2.8650000000000002</v>
      </c>
      <c r="P32" s="1">
        <v>2.7555000000000001</v>
      </c>
      <c r="Q32" s="1">
        <v>0.45088548445680093</v>
      </c>
      <c r="R32" s="1">
        <v>0.48907257008126404</v>
      </c>
      <c r="S32" s="1">
        <v>0.29677136218382755</v>
      </c>
      <c r="T32" s="2">
        <v>11.497999999999999</v>
      </c>
      <c r="U32" s="2">
        <v>12.973000000000001</v>
      </c>
      <c r="V32" s="2">
        <v>13.561</v>
      </c>
      <c r="W32" s="29">
        <f t="shared" si="1"/>
        <v>0.1883</v>
      </c>
      <c r="X32" s="29">
        <f t="shared" si="2"/>
        <v>0.22600000000000001</v>
      </c>
      <c r="Y32" s="29">
        <f t="shared" si="3"/>
        <v>0.19950000000000001</v>
      </c>
      <c r="Z32" s="1">
        <v>24.29777</v>
      </c>
      <c r="AA32" s="1">
        <v>24.958677000000002</v>
      </c>
      <c r="AB32" s="1">
        <v>23.150372999999998</v>
      </c>
      <c r="AC32" s="2">
        <v>11.200181000000001</v>
      </c>
      <c r="AD32" s="2">
        <v>12.650838</v>
      </c>
      <c r="AE32" s="2">
        <v>12.231591999999999</v>
      </c>
      <c r="AF32" s="49">
        <f>(0.2396+0.35945)/2</f>
        <v>0.29952499999999999</v>
      </c>
      <c r="AG32" s="49">
        <f>(0.2407+0.36055)/2</f>
        <v>0.30062499999999998</v>
      </c>
      <c r="AH32" s="49">
        <f>(0.28145+0.35483)/2</f>
        <v>0.31813999999999998</v>
      </c>
      <c r="AI32" s="29">
        <v>5.1174999999999998E-2</v>
      </c>
      <c r="AJ32" s="29">
        <v>4.8707E-2</v>
      </c>
      <c r="AK32" s="29">
        <v>4.8557999999999997E-2</v>
      </c>
      <c r="AL32" s="10">
        <v>29.494623000000001</v>
      </c>
      <c r="AM32" s="10">
        <v>28.469766</v>
      </c>
      <c r="AN32" s="10">
        <v>27.914956</v>
      </c>
      <c r="AO32" s="68">
        <v>0.40124024000000003</v>
      </c>
      <c r="AP32" s="68">
        <v>0.40776792000000001</v>
      </c>
      <c r="AQ32" s="68">
        <v>0.42370116000000002</v>
      </c>
      <c r="AR32" s="72">
        <v>61.017142857142858</v>
      </c>
      <c r="AS32" s="72">
        <v>65.28</v>
      </c>
      <c r="AT32" s="72">
        <v>62.511428571428567</v>
      </c>
      <c r="AU32" s="68">
        <v>0.75171900000000003</v>
      </c>
      <c r="AV32" s="68">
        <v>0.72802100000000003</v>
      </c>
      <c r="AW32" s="68">
        <v>0.67560399999999998</v>
      </c>
      <c r="AX32" s="29">
        <v>0.46066476834933201</v>
      </c>
      <c r="AY32" s="29">
        <v>0.48531940630897902</v>
      </c>
      <c r="AZ32" s="29">
        <v>0.55531786322749099</v>
      </c>
      <c r="BA32" s="1">
        <f t="shared" si="4"/>
        <v>1.0173001740133414</v>
      </c>
      <c r="BB32" s="1">
        <f t="shared" si="5"/>
        <v>0.97240991630610663</v>
      </c>
      <c r="BC32" s="1">
        <f t="shared" si="6"/>
        <v>0.9710419419306453</v>
      </c>
      <c r="BD32" s="1">
        <f t="shared" si="7"/>
        <v>0.97409819098973749</v>
      </c>
      <c r="BE32" s="1">
        <f t="shared" si="8"/>
        <v>0.97516673090264394</v>
      </c>
      <c r="BF32" s="1">
        <f t="shared" si="9"/>
        <v>0.9019682914239362</v>
      </c>
      <c r="BG32" s="2">
        <v>93.4</v>
      </c>
      <c r="BH32" s="2">
        <v>69.3</v>
      </c>
      <c r="BI32" s="2">
        <v>9286</v>
      </c>
      <c r="BJ32" s="2">
        <v>37.4</v>
      </c>
      <c r="BK32" s="4" t="s">
        <v>868</v>
      </c>
      <c r="BL32" s="4">
        <v>1.19</v>
      </c>
      <c r="BN32" s="21" t="s">
        <v>932</v>
      </c>
      <c r="BO32" s="21" t="s">
        <v>924</v>
      </c>
      <c r="BP32" s="24" t="s">
        <v>946</v>
      </c>
      <c r="BQ32" s="24" t="s">
        <v>1070</v>
      </c>
      <c r="BR32" s="20" t="s">
        <v>1098</v>
      </c>
    </row>
    <row r="33" spans="1:73" x14ac:dyDescent="0.25">
      <c r="A33" t="s">
        <v>705</v>
      </c>
      <c r="B33" t="s">
        <v>707</v>
      </c>
      <c r="C33" s="13" t="s">
        <v>1216</v>
      </c>
      <c r="D33" s="13" t="s">
        <v>1572</v>
      </c>
      <c r="E33" s="1">
        <v>2.9710000000000001</v>
      </c>
      <c r="F33" s="1">
        <v>2.8715000000000002</v>
      </c>
      <c r="G33" s="1">
        <v>2.8849999999999998</v>
      </c>
      <c r="H33" s="1">
        <v>2.4620000000000002</v>
      </c>
      <c r="I33" s="1">
        <v>2.5554999999999999</v>
      </c>
      <c r="J33" s="1">
        <v>2.4409999999999998</v>
      </c>
      <c r="K33" s="1">
        <v>0.43719999999999998</v>
      </c>
      <c r="L33" s="1">
        <v>0.44740000000000002</v>
      </c>
      <c r="M33" s="1">
        <v>0.45700000000000002</v>
      </c>
      <c r="N33" s="1">
        <v>2.9212500000000001</v>
      </c>
      <c r="O33" s="1">
        <v>2.6734999999999998</v>
      </c>
      <c r="P33" s="1">
        <v>2.4982499999999996</v>
      </c>
      <c r="Q33" s="1">
        <v>0.25663048759145796</v>
      </c>
      <c r="R33" s="1">
        <v>0.52129007728623911</v>
      </c>
      <c r="S33" s="1">
        <v>0.29597825400378952</v>
      </c>
      <c r="T33" s="2">
        <v>11.827</v>
      </c>
      <c r="U33" s="2">
        <v>12.202999999999999</v>
      </c>
      <c r="V33" s="2">
        <v>11.673</v>
      </c>
      <c r="W33" s="29">
        <f t="shared" si="1"/>
        <v>0.21859999999999999</v>
      </c>
      <c r="X33" s="29">
        <f t="shared" si="2"/>
        <v>0.22370000000000001</v>
      </c>
      <c r="Y33" s="29">
        <f t="shared" si="3"/>
        <v>0.22850000000000001</v>
      </c>
      <c r="Z33" s="1">
        <v>25.633932999999999</v>
      </c>
      <c r="AA33" s="1">
        <v>20.666143999999999</v>
      </c>
      <c r="AB33" s="1">
        <v>19.420214000000001</v>
      </c>
      <c r="AC33" s="2">
        <v>10.938428</v>
      </c>
      <c r="AD33" s="2">
        <v>10.811021</v>
      </c>
      <c r="AE33" s="2">
        <v>10.851072</v>
      </c>
      <c r="AF33" s="2" t="s">
        <v>40</v>
      </c>
      <c r="AG33" s="2" t="s">
        <v>40</v>
      </c>
      <c r="AH33" s="2" t="s">
        <v>40</v>
      </c>
      <c r="AI33" s="29">
        <v>5.7806999999999997E-2</v>
      </c>
      <c r="AJ33" s="29">
        <v>6.0056999999999999E-2</v>
      </c>
      <c r="AK33" s="29">
        <v>5.7980999999999998E-2</v>
      </c>
      <c r="AL33" s="10">
        <v>29.381322999999998</v>
      </c>
      <c r="AM33" s="10">
        <v>28.68422</v>
      </c>
      <c r="AN33" s="10">
        <v>28.088723999999999</v>
      </c>
      <c r="AO33" s="68">
        <v>0.31522962399999999</v>
      </c>
      <c r="AP33" s="68">
        <v>0.34565588000000003</v>
      </c>
      <c r="AQ33" s="68">
        <v>0.34740575000000001</v>
      </c>
      <c r="AR33" s="72">
        <v>51.516000000000005</v>
      </c>
      <c r="AS33" s="72">
        <v>63.92</v>
      </c>
      <c r="AT33" s="72">
        <v>48.625</v>
      </c>
      <c r="AU33" s="68">
        <v>0.68827000000000005</v>
      </c>
      <c r="AV33" s="68">
        <v>0.68564800000000004</v>
      </c>
      <c r="AW33" s="68">
        <v>0.65632299999999999</v>
      </c>
      <c r="AX33" s="29">
        <v>0.50680233776934902</v>
      </c>
      <c r="AY33" s="29">
        <v>0.52888019413330201</v>
      </c>
      <c r="AZ33" s="29">
        <v>0.59032134476755005</v>
      </c>
      <c r="BA33" s="1">
        <f t="shared" si="4"/>
        <v>0.95643156299658849</v>
      </c>
      <c r="BB33" s="1">
        <f t="shared" si="5"/>
        <v>0.92613801808252549</v>
      </c>
      <c r="BC33" s="1">
        <f t="shared" si="6"/>
        <v>0.99096992413722373</v>
      </c>
      <c r="BD33" s="1">
        <f t="shared" si="7"/>
        <v>0.92486919759871478</v>
      </c>
      <c r="BE33" s="1">
        <f t="shared" si="8"/>
        <v>0.88593141030894051</v>
      </c>
      <c r="BF33" s="1">
        <f t="shared" si="9"/>
        <v>0.92958725263428421</v>
      </c>
      <c r="BG33" s="2">
        <v>117</v>
      </c>
      <c r="BH33" s="2">
        <v>78.7</v>
      </c>
      <c r="BI33" s="2">
        <v>4475</v>
      </c>
      <c r="BJ33" s="2">
        <v>37.6</v>
      </c>
      <c r="BK33" s="4" t="s">
        <v>868</v>
      </c>
      <c r="BL33" s="4">
        <v>1.19</v>
      </c>
      <c r="BN33" s="21" t="s">
        <v>925</v>
      </c>
      <c r="BO33" s="21" t="s">
        <v>924</v>
      </c>
      <c r="BP33" s="24" t="s">
        <v>946</v>
      </c>
      <c r="BQ33" s="24" t="s">
        <v>1071</v>
      </c>
      <c r="BR33" s="20" t="s">
        <v>1098</v>
      </c>
    </row>
    <row r="34" spans="1:73" x14ac:dyDescent="0.25">
      <c r="A34" t="s">
        <v>712</v>
      </c>
      <c r="B34" t="s">
        <v>713</v>
      </c>
      <c r="C34" s="13" t="s">
        <v>1217</v>
      </c>
      <c r="D34" s="13" t="s">
        <v>1572</v>
      </c>
      <c r="E34" s="1">
        <v>4.0585000000000004</v>
      </c>
      <c r="F34" s="1">
        <v>3.7719999999999998</v>
      </c>
      <c r="G34" s="1">
        <v>4.2895000000000003</v>
      </c>
      <c r="H34" s="1">
        <v>3.8085</v>
      </c>
      <c r="I34" s="1">
        <v>3.7995000000000001</v>
      </c>
      <c r="J34" s="1">
        <v>3.601</v>
      </c>
      <c r="K34" s="1">
        <v>0.72199999999999998</v>
      </c>
      <c r="L34" s="1">
        <v>0.81200000000000006</v>
      </c>
      <c r="M34" s="1">
        <v>0.745</v>
      </c>
      <c r="N34" s="1">
        <v>3.9152500000000003</v>
      </c>
      <c r="O34" s="1">
        <v>4.0490000000000004</v>
      </c>
      <c r="P34" s="1">
        <v>3.70025</v>
      </c>
      <c r="Q34" s="1">
        <v>0.36905535369789649</v>
      </c>
      <c r="R34" s="1">
        <v>0.46010266865980404</v>
      </c>
      <c r="S34" s="1">
        <v>0.31899533956835696</v>
      </c>
      <c r="T34" s="2">
        <v>15.425000000000001</v>
      </c>
      <c r="U34" s="2">
        <v>18.512</v>
      </c>
      <c r="V34" s="2">
        <v>15.8</v>
      </c>
      <c r="W34" s="29">
        <f t="shared" si="1"/>
        <v>0.36099999999999999</v>
      </c>
      <c r="X34" s="29">
        <f t="shared" si="2"/>
        <v>0.40600000000000003</v>
      </c>
      <c r="Y34" s="29">
        <f t="shared" si="3"/>
        <v>0.3725</v>
      </c>
      <c r="Z34" s="1">
        <v>46.363739000000002</v>
      </c>
      <c r="AA34" s="1">
        <v>50.639617999999999</v>
      </c>
      <c r="AB34" s="1">
        <v>41.050465000000003</v>
      </c>
      <c r="AC34" s="2">
        <v>15.489201</v>
      </c>
      <c r="AD34" s="2">
        <v>18.843637999999999</v>
      </c>
      <c r="AE34" s="2">
        <v>15.273282</v>
      </c>
      <c r="AF34" s="49">
        <f>(0.541+0.334)/2</f>
        <v>0.4375</v>
      </c>
      <c r="AG34" s="49">
        <f>(0.521+0.43)/2</f>
        <v>0.47550000000000003</v>
      </c>
      <c r="AH34" s="49">
        <f>(0.303+0.505)/2</f>
        <v>0.40400000000000003</v>
      </c>
      <c r="AI34" s="29">
        <v>0.10772900000000001</v>
      </c>
      <c r="AJ34" s="29">
        <v>0.115499</v>
      </c>
      <c r="AK34" s="29">
        <v>8.9922000000000002E-2</v>
      </c>
      <c r="AL34" s="10">
        <v>28.160653</v>
      </c>
      <c r="AM34" s="10">
        <v>27.901934000000001</v>
      </c>
      <c r="AN34" s="10">
        <v>28.636149</v>
      </c>
      <c r="AO34" s="68">
        <v>0.59626427800000004</v>
      </c>
      <c r="AP34" s="68">
        <v>0.51278307999999995</v>
      </c>
      <c r="AQ34" s="68">
        <v>0.61795354222222199</v>
      </c>
      <c r="AR34" s="72">
        <v>75.177000000000007</v>
      </c>
      <c r="AS34" s="72">
        <v>58.72</v>
      </c>
      <c r="AT34" s="72">
        <v>70.102222222222224</v>
      </c>
      <c r="AU34" s="68">
        <v>1.1257509999999999</v>
      </c>
      <c r="AV34" s="68">
        <v>1.0083470000000001</v>
      </c>
      <c r="AW34" s="68">
        <v>1.1470959999999999</v>
      </c>
      <c r="AX34" s="29">
        <v>0.27527178444058598</v>
      </c>
      <c r="AY34" s="29">
        <v>0.29939773205084402</v>
      </c>
      <c r="AZ34" s="29">
        <v>0.26974353644669502</v>
      </c>
      <c r="BA34" s="1">
        <f t="shared" si="4"/>
        <v>0.9640317673840455</v>
      </c>
      <c r="BB34" s="1">
        <f t="shared" si="5"/>
        <v>0.98668815845897295</v>
      </c>
      <c r="BC34" s="1">
        <f t="shared" si="6"/>
        <v>0.95503357107575426</v>
      </c>
      <c r="BD34" s="1">
        <f t="shared" si="7"/>
        <v>1.0041621393841167</v>
      </c>
      <c r="BE34" s="1">
        <f t="shared" si="8"/>
        <v>1.017914757994814</v>
      </c>
      <c r="BF34" s="1">
        <f t="shared" si="9"/>
        <v>0.96666341772151898</v>
      </c>
      <c r="BG34" s="2">
        <v>110</v>
      </c>
      <c r="BH34" s="2">
        <v>101.2</v>
      </c>
      <c r="BI34" s="2">
        <v>58313</v>
      </c>
      <c r="BJ34" s="2">
        <v>37</v>
      </c>
      <c r="BK34" s="4" t="s">
        <v>868</v>
      </c>
      <c r="BL34" s="4">
        <v>1.19</v>
      </c>
      <c r="BN34" s="21" t="s">
        <v>925</v>
      </c>
      <c r="BO34" s="21" t="s">
        <v>924</v>
      </c>
      <c r="BP34" s="24" t="s">
        <v>946</v>
      </c>
      <c r="BQ34" s="24" t="s">
        <v>1074</v>
      </c>
      <c r="BR34" s="20" t="s">
        <v>1098</v>
      </c>
    </row>
    <row r="35" spans="1:73" x14ac:dyDescent="0.25">
      <c r="A35" t="s">
        <v>727</v>
      </c>
      <c r="B35" t="s">
        <v>728</v>
      </c>
      <c r="C35" s="13" t="s">
        <v>1218</v>
      </c>
      <c r="D35" s="13" t="s">
        <v>1572</v>
      </c>
      <c r="E35" s="1">
        <v>0.98399999999999999</v>
      </c>
      <c r="F35" s="1">
        <v>0.94750000000000001</v>
      </c>
      <c r="G35" s="1">
        <v>0.94550000000000001</v>
      </c>
      <c r="H35" s="1">
        <v>0.79849999999999999</v>
      </c>
      <c r="I35" s="1">
        <v>0.95350000000000001</v>
      </c>
      <c r="J35" s="1">
        <v>0.72099999999999997</v>
      </c>
      <c r="K35" s="1">
        <v>0.16</v>
      </c>
      <c r="L35" s="1">
        <v>0.151</v>
      </c>
      <c r="M35" s="1">
        <v>0.16200000000000001</v>
      </c>
      <c r="N35" s="1">
        <v>0.96575</v>
      </c>
      <c r="O35" s="1">
        <v>0.872</v>
      </c>
      <c r="P35" s="1">
        <v>0.83725000000000005</v>
      </c>
      <c r="Q35" s="1">
        <v>0.26983525423717691</v>
      </c>
      <c r="R35" s="1">
        <v>0.53551343940846485</v>
      </c>
      <c r="S35" s="1">
        <v>0.65438503226580125</v>
      </c>
      <c r="T35" s="2">
        <v>3.3620000000000001</v>
      </c>
      <c r="U35" s="2">
        <v>3.6219999999999999</v>
      </c>
      <c r="V35" s="2">
        <v>3.53</v>
      </c>
      <c r="W35" s="29">
        <f t="shared" si="1"/>
        <v>0.08</v>
      </c>
      <c r="X35" s="29">
        <f t="shared" si="2"/>
        <v>7.5499999999999998E-2</v>
      </c>
      <c r="Y35" s="29">
        <f t="shared" si="3"/>
        <v>8.1000000000000003E-2</v>
      </c>
      <c r="Z35" s="1">
        <v>2.6554829999999998</v>
      </c>
      <c r="AA35" s="1">
        <v>2.2768229999999998</v>
      </c>
      <c r="AB35" s="1">
        <v>2.2571759999999998</v>
      </c>
      <c r="AC35" s="2">
        <v>3.3164500000000001</v>
      </c>
      <c r="AD35" s="2">
        <v>3.6719249999999999</v>
      </c>
      <c r="AE35" s="2">
        <v>3.4010739999999999</v>
      </c>
      <c r="AF35" s="49">
        <f>(0.15472+0.14769)/2</f>
        <v>0.15120499999999998</v>
      </c>
      <c r="AG35" s="49">
        <f>(0.13301+0.14313)/2</f>
        <v>0.13807</v>
      </c>
      <c r="AH35" s="49">
        <f>(0.12695+0.13875)/2</f>
        <v>0.13285000000000002</v>
      </c>
      <c r="AI35" s="29">
        <v>1.0834E-2</v>
      </c>
      <c r="AJ35" s="29">
        <v>8.6709999999999999E-3</v>
      </c>
      <c r="AK35" s="29">
        <v>1.2045E-2</v>
      </c>
      <c r="AL35" s="10">
        <v>26.574781000000002</v>
      </c>
      <c r="AM35" s="10">
        <v>27.538954</v>
      </c>
      <c r="AN35" s="10">
        <v>26.857427000000001</v>
      </c>
      <c r="AO35" s="68">
        <v>0.15899416</v>
      </c>
      <c r="AP35" s="68">
        <v>0.15978426400000001</v>
      </c>
      <c r="AQ35" s="68">
        <v>0.15390718249999999</v>
      </c>
      <c r="AR35" s="72">
        <v>19.654285714285713</v>
      </c>
      <c r="AS35" s="72">
        <v>22.276</v>
      </c>
      <c r="AT35" s="72">
        <v>24.423750000000002</v>
      </c>
      <c r="AU35" s="68">
        <v>9.7372E-2</v>
      </c>
      <c r="AV35" s="68">
        <v>8.8608000000000006E-2</v>
      </c>
      <c r="AW35" s="68">
        <v>0.10957500000000001</v>
      </c>
      <c r="AX35" s="29">
        <v>10.8109006660042</v>
      </c>
      <c r="AY35" s="29">
        <v>12.4215397512642</v>
      </c>
      <c r="AZ35" s="29">
        <v>8.3114876783671097</v>
      </c>
      <c r="BA35" s="1">
        <f t="shared" si="4"/>
        <v>0.90660755893020883</v>
      </c>
      <c r="BB35" s="1">
        <f t="shared" si="5"/>
        <v>0.95993746867475505</v>
      </c>
      <c r="BC35" s="1">
        <f t="shared" si="6"/>
        <v>1.0451041904259348</v>
      </c>
      <c r="BD35" s="1">
        <f t="shared" si="7"/>
        <v>0.98645151695419397</v>
      </c>
      <c r="BE35" s="1">
        <f t="shared" si="8"/>
        <v>1.0137838210933185</v>
      </c>
      <c r="BF35" s="1">
        <f t="shared" si="9"/>
        <v>0.96347705382436266</v>
      </c>
      <c r="BG35" s="2">
        <v>18.899999999999999</v>
      </c>
      <c r="BH35" s="2">
        <v>13.8</v>
      </c>
      <c r="BI35" s="2">
        <v>15</v>
      </c>
      <c r="BJ35" s="2">
        <v>36.4</v>
      </c>
      <c r="BK35" s="4" t="s">
        <v>868</v>
      </c>
      <c r="BL35" s="4">
        <v>1.19</v>
      </c>
      <c r="BN35" s="21" t="s">
        <v>925</v>
      </c>
      <c r="BO35" s="21" t="s">
        <v>924</v>
      </c>
      <c r="BP35" s="22" t="s">
        <v>1102</v>
      </c>
      <c r="BQ35" s="24" t="s">
        <v>1078</v>
      </c>
      <c r="BR35" s="20" t="s">
        <v>1098</v>
      </c>
    </row>
    <row r="36" spans="1:73" x14ac:dyDescent="0.25">
      <c r="A36" t="s">
        <v>732</v>
      </c>
      <c r="B36" t="s">
        <v>735</v>
      </c>
      <c r="C36" s="13" t="s">
        <v>1219</v>
      </c>
      <c r="D36" s="13" t="s">
        <v>1572</v>
      </c>
      <c r="E36" s="1">
        <v>1.534</v>
      </c>
      <c r="F36" s="1">
        <v>1.3865000000000001</v>
      </c>
      <c r="G36" s="1">
        <v>1.3645</v>
      </c>
      <c r="H36" s="1">
        <v>1.198</v>
      </c>
      <c r="I36" s="1">
        <v>1.3169999999999999</v>
      </c>
      <c r="J36" s="1">
        <v>1.2529999999999999</v>
      </c>
      <c r="K36" s="1">
        <v>0.192</v>
      </c>
      <c r="L36" s="1">
        <v>0.219</v>
      </c>
      <c r="M36" s="1">
        <v>0.28100000000000003</v>
      </c>
      <c r="N36" s="1">
        <v>1.46025</v>
      </c>
      <c r="O36" s="1">
        <v>1.28125</v>
      </c>
      <c r="P36" s="1">
        <v>1.2849999999999999</v>
      </c>
      <c r="Q36" s="1">
        <v>0.42785760502474984</v>
      </c>
      <c r="R36" s="1">
        <v>0.47870230201105923</v>
      </c>
      <c r="S36" s="1">
        <v>0.30794331008380477</v>
      </c>
      <c r="T36" s="2">
        <v>5.952</v>
      </c>
      <c r="U36" s="2">
        <v>5.7569999999999997</v>
      </c>
      <c r="V36" s="2">
        <v>6.63</v>
      </c>
      <c r="W36" s="29">
        <f t="shared" si="1"/>
        <v>9.6000000000000002E-2</v>
      </c>
      <c r="X36" s="29">
        <f t="shared" si="2"/>
        <v>0.1095</v>
      </c>
      <c r="Y36" s="29">
        <f t="shared" si="3"/>
        <v>0.14050000000000001</v>
      </c>
      <c r="Z36" s="1">
        <v>7.0328660000000003</v>
      </c>
      <c r="AA36" s="1">
        <v>4.8745310000000002</v>
      </c>
      <c r="AB36" s="1">
        <v>5.0476320000000001</v>
      </c>
      <c r="AC36" s="2">
        <v>5.1851399999999996</v>
      </c>
      <c r="AD36" s="2">
        <v>4.822139</v>
      </c>
      <c r="AE36" s="2">
        <v>5.0787399999999998</v>
      </c>
      <c r="AF36" s="49">
        <f>(0.18153+0.14358)/2</f>
        <v>0.16255500000000001</v>
      </c>
      <c r="AG36" s="49">
        <f>(0.16854+0.18593)/2</f>
        <v>0.177235</v>
      </c>
      <c r="AH36" s="49">
        <f>(0.18396+0.14083)/2</f>
        <v>0.16239500000000001</v>
      </c>
      <c r="AI36" s="29">
        <v>1.9838000000000001E-2</v>
      </c>
      <c r="AJ36" s="29">
        <v>2.197E-2</v>
      </c>
      <c r="AK36" s="29">
        <v>1.7964000000000001E-2</v>
      </c>
      <c r="AL36" s="10">
        <v>28.110296999999999</v>
      </c>
      <c r="AM36" s="10">
        <v>28.214956999999998</v>
      </c>
      <c r="AN36" s="10">
        <v>28.340388999999998</v>
      </c>
      <c r="AO36" s="68">
        <v>0.18568788444444401</v>
      </c>
      <c r="AP36" s="68">
        <v>0.17630291333333301</v>
      </c>
      <c r="AQ36" s="68">
        <v>0.17230811333333301</v>
      </c>
      <c r="AR36" s="72">
        <v>31.904444444444444</v>
      </c>
      <c r="AS36" s="72">
        <v>29.303333333333331</v>
      </c>
      <c r="AT36" s="72">
        <v>27.603333333333328</v>
      </c>
      <c r="AU36" s="68">
        <v>0.23916599999999999</v>
      </c>
      <c r="AV36" s="68">
        <v>0.19576299999999999</v>
      </c>
      <c r="AW36" s="68">
        <v>0.18842300000000001</v>
      </c>
      <c r="AX36" s="29">
        <v>2.5055135638072898</v>
      </c>
      <c r="AY36" s="29">
        <v>3.4167008069885498</v>
      </c>
      <c r="AZ36" s="29">
        <v>3.5409294578807602</v>
      </c>
      <c r="BA36" s="1">
        <f t="shared" si="4"/>
        <v>1.0525366725449734</v>
      </c>
      <c r="BB36" s="1">
        <f t="shared" si="5"/>
        <v>0.94918880178908138</v>
      </c>
      <c r="BC36" s="1">
        <f t="shared" si="6"/>
        <v>0.97364573613617966</v>
      </c>
      <c r="BD36" s="1">
        <f t="shared" si="7"/>
        <v>0.87115927419354833</v>
      </c>
      <c r="BE36" s="1">
        <f t="shared" si="8"/>
        <v>0.83761316657981588</v>
      </c>
      <c r="BF36" s="1">
        <f t="shared" si="9"/>
        <v>0.76602413273001502</v>
      </c>
      <c r="BG36" s="2">
        <v>51</v>
      </c>
      <c r="BH36" s="2">
        <v>35.200000000000003</v>
      </c>
      <c r="BI36" s="2">
        <v>254</v>
      </c>
      <c r="BJ36" s="2">
        <v>36.5</v>
      </c>
      <c r="BK36" s="4" t="s">
        <v>868</v>
      </c>
      <c r="BL36" s="4">
        <v>1.19</v>
      </c>
      <c r="BN36" s="21" t="s">
        <v>933</v>
      </c>
      <c r="BO36" s="21" t="s">
        <v>924</v>
      </c>
      <c r="BP36" s="22" t="s">
        <v>1103</v>
      </c>
      <c r="BQ36" s="24" t="s">
        <v>1080</v>
      </c>
      <c r="BR36" s="20" t="s">
        <v>1098</v>
      </c>
    </row>
    <row r="37" spans="1:73" x14ac:dyDescent="0.25">
      <c r="A37" t="s">
        <v>739</v>
      </c>
      <c r="B37" t="s">
        <v>740</v>
      </c>
      <c r="C37" s="13" t="s">
        <v>1220</v>
      </c>
      <c r="D37" s="13" t="s">
        <v>1572</v>
      </c>
      <c r="E37" s="1">
        <v>2.3184999999999998</v>
      </c>
      <c r="F37" s="1">
        <v>2.0225</v>
      </c>
      <c r="G37" s="1">
        <v>2.379</v>
      </c>
      <c r="H37" s="1">
        <v>1.9305000000000001</v>
      </c>
      <c r="I37" s="1">
        <v>2.1884999999999999</v>
      </c>
      <c r="J37" s="1">
        <v>1.833</v>
      </c>
      <c r="K37" s="1">
        <v>0.312</v>
      </c>
      <c r="L37" s="1">
        <v>0.32600000000000001</v>
      </c>
      <c r="M37" s="1">
        <v>0.32600000000000001</v>
      </c>
      <c r="N37" s="1">
        <v>2.1704999999999997</v>
      </c>
      <c r="O37" s="1">
        <v>2.1547499999999999</v>
      </c>
      <c r="P37" s="1">
        <v>2.0107499999999998</v>
      </c>
      <c r="Q37" s="1">
        <v>0.48891532255083614</v>
      </c>
      <c r="R37" s="1">
        <v>0.58438656660757471</v>
      </c>
      <c r="S37" s="1">
        <v>0.54634539654430458</v>
      </c>
      <c r="T37" s="27">
        <v>7.6239999999999997</v>
      </c>
      <c r="U37" s="27">
        <v>9.4380000000000006</v>
      </c>
      <c r="V37" s="27">
        <v>10.247999999999999</v>
      </c>
      <c r="W37" s="29">
        <f t="shared" si="1"/>
        <v>0.156</v>
      </c>
      <c r="X37" s="29">
        <f t="shared" si="2"/>
        <v>0.16300000000000001</v>
      </c>
      <c r="Y37" s="29">
        <f t="shared" si="3"/>
        <v>0.16300000000000001</v>
      </c>
      <c r="Z37" s="1">
        <v>12.568135</v>
      </c>
      <c r="AA37" s="1">
        <v>14.233641</v>
      </c>
      <c r="AB37" s="1">
        <v>11.864884999999999</v>
      </c>
      <c r="AC37" s="2">
        <v>7.2495089999999998</v>
      </c>
      <c r="AD37" s="2">
        <v>8.9502109999999995</v>
      </c>
      <c r="AE37" s="2">
        <v>9.0117799999999999</v>
      </c>
      <c r="AF37" s="2" t="s">
        <v>40</v>
      </c>
      <c r="AG37" s="2" t="s">
        <v>40</v>
      </c>
      <c r="AH37" s="2" t="s">
        <v>40</v>
      </c>
      <c r="AI37" s="29">
        <v>4.0342000000000003E-2</v>
      </c>
      <c r="AJ37" s="29">
        <v>4.7579999999999997E-2</v>
      </c>
      <c r="AK37" s="29">
        <v>3.4665000000000001E-2</v>
      </c>
      <c r="AL37" s="10">
        <v>27.458121999999999</v>
      </c>
      <c r="AM37" s="10">
        <v>27.360797999999999</v>
      </c>
      <c r="AN37" s="10">
        <v>27.630832999999999</v>
      </c>
      <c r="AO37" s="68">
        <v>0.30843310333333301</v>
      </c>
      <c r="AP37" s="68">
        <v>0.27083398333333297</v>
      </c>
      <c r="AQ37" s="68">
        <v>0.31958083749999999</v>
      </c>
      <c r="AR37" s="72">
        <v>50.388333333333328</v>
      </c>
      <c r="AS37" s="72">
        <v>50.308333333333337</v>
      </c>
      <c r="AT37" s="72">
        <v>49.006250000000001</v>
      </c>
      <c r="AU37" s="68">
        <v>0.37442599999999998</v>
      </c>
      <c r="AV37" s="68">
        <v>0.355101</v>
      </c>
      <c r="AW37" s="68">
        <v>0.36989699999999998</v>
      </c>
      <c r="AX37" s="29">
        <v>1.5051003188596599</v>
      </c>
      <c r="AY37" s="29">
        <v>1.5480368553949799</v>
      </c>
      <c r="AZ37" s="29">
        <v>1.39357423642182</v>
      </c>
      <c r="BA37" s="1">
        <f t="shared" si="4"/>
        <v>0.85314987955321842</v>
      </c>
      <c r="BB37" s="1">
        <f t="shared" si="5"/>
        <v>0.9865108978122451</v>
      </c>
      <c r="BC37" s="1">
        <f t="shared" si="6"/>
        <v>0.94146600869514829</v>
      </c>
      <c r="BD37" s="1">
        <f t="shared" si="7"/>
        <v>0.9508799842602309</v>
      </c>
      <c r="BE37" s="1">
        <f t="shared" si="8"/>
        <v>0.94831648654375911</v>
      </c>
      <c r="BF37" s="1">
        <f t="shared" si="9"/>
        <v>0.87936963309914129</v>
      </c>
      <c r="BG37" s="2">
        <v>47.3</v>
      </c>
      <c r="BH37" s="2">
        <v>35.5</v>
      </c>
      <c r="BI37" s="2">
        <v>860</v>
      </c>
      <c r="BJ37" s="2">
        <v>38.299999999999997</v>
      </c>
      <c r="BK37" s="4" t="s">
        <v>868</v>
      </c>
      <c r="BL37" s="4">
        <v>1.19</v>
      </c>
      <c r="BN37" s="21" t="s">
        <v>925</v>
      </c>
      <c r="BO37" s="21" t="s">
        <v>924</v>
      </c>
      <c r="BP37" s="24" t="s">
        <v>949</v>
      </c>
      <c r="BQ37" s="24" t="s">
        <v>1059</v>
      </c>
      <c r="BR37" s="20" t="s">
        <v>1098</v>
      </c>
    </row>
    <row r="38" spans="1:73" x14ac:dyDescent="0.25">
      <c r="A38" t="s">
        <v>741</v>
      </c>
      <c r="B38" t="s">
        <v>742</v>
      </c>
      <c r="C38" s="13" t="s">
        <v>1221</v>
      </c>
      <c r="D38" s="13" t="s">
        <v>1572</v>
      </c>
      <c r="E38" s="1">
        <v>2.1124999999999998</v>
      </c>
      <c r="F38" s="1">
        <v>1.7755000000000001</v>
      </c>
      <c r="G38" s="1">
        <v>1.9079999999999999</v>
      </c>
      <c r="H38" s="1">
        <v>1.9005000000000001</v>
      </c>
      <c r="I38" s="1">
        <v>1.7915000000000001</v>
      </c>
      <c r="J38" s="1">
        <v>1.762</v>
      </c>
      <c r="K38" s="1">
        <v>0.28999999999999998</v>
      </c>
      <c r="L38" s="1">
        <v>0.28000000000000003</v>
      </c>
      <c r="M38" s="1">
        <v>0.28999999999999998</v>
      </c>
      <c r="N38" s="1">
        <v>1.944</v>
      </c>
      <c r="O38" s="1">
        <v>1.90425</v>
      </c>
      <c r="P38" s="1">
        <v>1.7767500000000001</v>
      </c>
      <c r="Q38" s="1">
        <v>0.54185284870158312</v>
      </c>
      <c r="R38" s="1">
        <v>8.8578687578006854E-2</v>
      </c>
      <c r="S38" s="1">
        <v>0.1807267152975128</v>
      </c>
      <c r="T38" s="27">
        <v>6.8579999999999997</v>
      </c>
      <c r="U38" s="27">
        <v>8.2230000000000008</v>
      </c>
      <c r="V38" s="27">
        <v>7.1589999999999998</v>
      </c>
      <c r="W38" s="29">
        <f t="shared" si="1"/>
        <v>0.14499999999999999</v>
      </c>
      <c r="X38" s="29">
        <f t="shared" si="2"/>
        <v>0.14000000000000001</v>
      </c>
      <c r="Y38" s="29">
        <f t="shared" si="3"/>
        <v>0.14499999999999999</v>
      </c>
      <c r="Z38" s="1">
        <v>12.061524</v>
      </c>
      <c r="AA38" s="1">
        <v>11.427270999999999</v>
      </c>
      <c r="AB38" s="1">
        <v>9.9879949999999997</v>
      </c>
      <c r="AC38" s="2">
        <v>7.1993780000000003</v>
      </c>
      <c r="AD38" s="2">
        <v>7.8635200000000003</v>
      </c>
      <c r="AE38" s="2">
        <v>7.2132370000000003</v>
      </c>
      <c r="AF38" s="49">
        <f>(0.2447+0.20717)/2</f>
        <v>0.225935</v>
      </c>
      <c r="AG38" s="49">
        <f>(0.232+0.22089)/2</f>
        <v>0.22644500000000001</v>
      </c>
      <c r="AH38" s="49">
        <f>(0.285+0.271)/2</f>
        <v>0.27800000000000002</v>
      </c>
      <c r="AI38" s="29">
        <v>6.2116999999999999E-2</v>
      </c>
      <c r="AJ38" s="29">
        <v>5.2935000000000003E-2</v>
      </c>
      <c r="AK38" s="29">
        <v>5.3249999999999999E-2</v>
      </c>
      <c r="AL38" s="10">
        <v>25.162226</v>
      </c>
      <c r="AM38" s="10">
        <v>25.465844000000001</v>
      </c>
      <c r="AN38" s="10">
        <v>27.221191000000001</v>
      </c>
      <c r="AO38" s="68">
        <v>0.361514744</v>
      </c>
      <c r="AP38" s="68">
        <v>0.37041869599999999</v>
      </c>
      <c r="AQ38" s="68">
        <v>0.32671243999999999</v>
      </c>
      <c r="AR38" s="72">
        <v>55.596000000000004</v>
      </c>
      <c r="AS38" s="72">
        <v>60.364000000000011</v>
      </c>
      <c r="AT38" s="72">
        <v>52.46</v>
      </c>
      <c r="AU38" s="68">
        <v>0.56642899999999996</v>
      </c>
      <c r="AV38" s="68">
        <v>0.56406400000000001</v>
      </c>
      <c r="AW38" s="68">
        <v>0.55216299999999996</v>
      </c>
      <c r="AX38" s="29">
        <v>0.794644309491921</v>
      </c>
      <c r="AY38" s="29">
        <v>0.77543602065516004</v>
      </c>
      <c r="AZ38" s="29">
        <v>0.75923864560549403</v>
      </c>
      <c r="BA38" s="1">
        <f t="shared" si="4"/>
        <v>1.0236109389352606</v>
      </c>
      <c r="BB38" s="1">
        <f t="shared" si="5"/>
        <v>1.0031050339840317</v>
      </c>
      <c r="BC38" s="1">
        <f t="shared" si="6"/>
        <v>1.0071768315868794</v>
      </c>
      <c r="BD38" s="1">
        <f t="shared" si="7"/>
        <v>1.0497780694079908</v>
      </c>
      <c r="BE38" s="1">
        <f t="shared" si="8"/>
        <v>0.95628359479508684</v>
      </c>
      <c r="BF38" s="1">
        <f t="shared" si="9"/>
        <v>1.0075760581086746</v>
      </c>
      <c r="BG38" s="2">
        <v>89</v>
      </c>
      <c r="BH38" s="2">
        <v>71.5</v>
      </c>
      <c r="BI38" s="2">
        <v>3601</v>
      </c>
      <c r="BJ38" s="2">
        <v>38.65</v>
      </c>
      <c r="BK38" s="4" t="s">
        <v>868</v>
      </c>
      <c r="BL38" s="4">
        <v>1.19</v>
      </c>
      <c r="BN38" s="21" t="s">
        <v>878</v>
      </c>
      <c r="BO38" s="21" t="s">
        <v>924</v>
      </c>
      <c r="BP38" s="24" t="s">
        <v>946</v>
      </c>
      <c r="BQ38" s="24" t="s">
        <v>1081</v>
      </c>
      <c r="BR38" s="20" t="s">
        <v>1098</v>
      </c>
    </row>
    <row r="39" spans="1:73" x14ac:dyDescent="0.25">
      <c r="A39" t="s">
        <v>743</v>
      </c>
      <c r="B39" t="s">
        <v>1222</v>
      </c>
      <c r="C39" s="13" t="s">
        <v>1223</v>
      </c>
      <c r="D39" s="13" t="s">
        <v>1572</v>
      </c>
      <c r="E39" s="1">
        <v>3.9620000000000002</v>
      </c>
      <c r="F39" s="1">
        <v>3.3915000000000002</v>
      </c>
      <c r="G39" s="1">
        <v>3.5024999999999999</v>
      </c>
      <c r="H39" s="1">
        <v>3.0605000000000002</v>
      </c>
      <c r="I39" s="1">
        <v>3.7570000000000001</v>
      </c>
      <c r="J39" s="1">
        <v>2.9180000000000001</v>
      </c>
      <c r="K39" s="1">
        <v>0.44</v>
      </c>
      <c r="L39" s="1">
        <v>0.38719999999999999</v>
      </c>
      <c r="M39" s="1">
        <v>0.42880000000000001</v>
      </c>
      <c r="N39" s="1">
        <v>3.6767500000000002</v>
      </c>
      <c r="O39" s="1">
        <v>3.2815000000000003</v>
      </c>
      <c r="P39" s="1">
        <v>3.3375000000000004</v>
      </c>
      <c r="Q39" s="1">
        <v>0.51696411965447497</v>
      </c>
      <c r="R39" s="1">
        <v>0.48627751966666483</v>
      </c>
      <c r="S39" s="1">
        <v>0.62989102502708583</v>
      </c>
      <c r="T39" s="27">
        <v>14.955</v>
      </c>
      <c r="U39" s="27">
        <v>14.574999999999999</v>
      </c>
      <c r="V39" s="27">
        <v>15.779</v>
      </c>
      <c r="W39" s="29">
        <f t="shared" si="1"/>
        <v>0.22</v>
      </c>
      <c r="X39" s="29">
        <f t="shared" si="2"/>
        <v>0.19359999999999999</v>
      </c>
      <c r="Y39" s="29">
        <f t="shared" si="3"/>
        <v>0.21440000000000001</v>
      </c>
      <c r="Z39" s="1">
        <v>39.719937999999999</v>
      </c>
      <c r="AA39" s="1">
        <v>32.805664999999998</v>
      </c>
      <c r="AB39" s="1">
        <v>33.857681999999997</v>
      </c>
      <c r="AC39" s="2">
        <v>13.631223</v>
      </c>
      <c r="AD39" s="2">
        <v>13.691973000000001</v>
      </c>
      <c r="AE39" s="2">
        <v>15.799607</v>
      </c>
      <c r="AF39" s="2" t="s">
        <v>40</v>
      </c>
      <c r="AG39" s="2" t="s">
        <v>40</v>
      </c>
      <c r="AH39" s="2" t="s">
        <v>40</v>
      </c>
      <c r="AI39" s="29">
        <v>7.0583999999999994E-2</v>
      </c>
      <c r="AJ39" s="29">
        <v>5.2884E-2</v>
      </c>
      <c r="AK39" s="29">
        <v>5.9429999999999997E-2</v>
      </c>
      <c r="AL39" s="10">
        <v>27.116498</v>
      </c>
      <c r="AM39" s="10">
        <v>27.556685999999999</v>
      </c>
      <c r="AN39" s="10">
        <v>28.077325999999999</v>
      </c>
      <c r="AO39" s="68">
        <v>0.41538455800000001</v>
      </c>
      <c r="AP39" s="68">
        <v>0.43478620000000001</v>
      </c>
      <c r="AQ39" s="68">
        <v>0.40094147333333302</v>
      </c>
      <c r="AR39" s="72">
        <v>42.197000000000003</v>
      </c>
      <c r="AS39" s="72">
        <v>55.8</v>
      </c>
      <c r="AT39" s="72">
        <v>53.343333333333327</v>
      </c>
      <c r="AU39" s="68">
        <v>0.73235700000000004</v>
      </c>
      <c r="AV39" s="68">
        <v>0.66686400000000001</v>
      </c>
      <c r="AW39" s="68">
        <v>0.68503099999999995</v>
      </c>
      <c r="AX39" s="29">
        <v>0.56112509211704698</v>
      </c>
      <c r="AY39" s="29">
        <v>0.61923074832777203</v>
      </c>
      <c r="AZ39" s="29">
        <v>0.59483487899544196</v>
      </c>
      <c r="BA39" s="1">
        <f t="shared" si="4"/>
        <v>0.94091934292833534</v>
      </c>
      <c r="BB39" s="1">
        <f t="shared" si="5"/>
        <v>0.97415585523804915</v>
      </c>
      <c r="BC39" s="1">
        <f t="shared" si="6"/>
        <v>0.98306190371685231</v>
      </c>
      <c r="BD39" s="1">
        <f t="shared" si="7"/>
        <v>0.91148264794383149</v>
      </c>
      <c r="BE39" s="1">
        <f t="shared" si="8"/>
        <v>0.93941495711835343</v>
      </c>
      <c r="BF39" s="1">
        <f t="shared" si="9"/>
        <v>1.0013059762976106</v>
      </c>
      <c r="BG39" s="2">
        <v>176.6</v>
      </c>
      <c r="BH39" s="2">
        <v>100.4</v>
      </c>
      <c r="BI39" s="2">
        <v>62800</v>
      </c>
      <c r="BJ39" s="2">
        <v>37.799999999999997</v>
      </c>
      <c r="BK39" s="4" t="s">
        <v>868</v>
      </c>
      <c r="BL39" s="4">
        <v>1.19</v>
      </c>
      <c r="BN39" s="21" t="s">
        <v>1150</v>
      </c>
      <c r="BO39" s="21" t="s">
        <v>924</v>
      </c>
      <c r="BP39" s="22" t="s">
        <v>1257</v>
      </c>
      <c r="BQ39" s="24" t="s">
        <v>1054</v>
      </c>
      <c r="BR39" s="20" t="s">
        <v>1098</v>
      </c>
    </row>
    <row r="40" spans="1:73" x14ac:dyDescent="0.25">
      <c r="A40" t="s">
        <v>745</v>
      </c>
      <c r="B40" t="s">
        <v>746</v>
      </c>
      <c r="C40" s="13" t="s">
        <v>1224</v>
      </c>
      <c r="D40" s="13" t="s">
        <v>1572</v>
      </c>
      <c r="E40" s="1">
        <v>2.0779999999999998</v>
      </c>
      <c r="F40" s="1">
        <v>1.8845000000000001</v>
      </c>
      <c r="G40" s="1">
        <v>1.7725</v>
      </c>
      <c r="H40" s="1">
        <v>1.665</v>
      </c>
      <c r="I40" s="1">
        <v>1.7055</v>
      </c>
      <c r="J40" s="1">
        <v>1.67</v>
      </c>
      <c r="K40" s="1">
        <v>0.32600000000000001</v>
      </c>
      <c r="L40" s="1">
        <v>0.30180000000000001</v>
      </c>
      <c r="M40" s="1">
        <v>0.31659999999999999</v>
      </c>
      <c r="N40" s="1">
        <v>1.98125</v>
      </c>
      <c r="O40" s="1">
        <v>1.71875</v>
      </c>
      <c r="P40" s="1">
        <v>1.6877499999999999</v>
      </c>
      <c r="Q40" s="1">
        <v>0.42138549198737613</v>
      </c>
      <c r="R40" s="1">
        <v>0.34295673951446592</v>
      </c>
      <c r="S40" s="1">
        <v>0.20296983980305786</v>
      </c>
      <c r="T40" s="27">
        <v>7.63</v>
      </c>
      <c r="U40" s="27">
        <v>7.2190000000000003</v>
      </c>
      <c r="V40" s="27">
        <v>8.0980000000000008</v>
      </c>
      <c r="W40" s="29">
        <f t="shared" si="1"/>
        <v>0.16300000000000001</v>
      </c>
      <c r="X40" s="29">
        <f t="shared" si="2"/>
        <v>0.15090000000000001</v>
      </c>
      <c r="Y40" s="29">
        <f t="shared" si="3"/>
        <v>0.1583</v>
      </c>
      <c r="Z40" s="1">
        <v>11.598321</v>
      </c>
      <c r="AA40" s="1">
        <v>8.384055</v>
      </c>
      <c r="AB40" s="1">
        <v>9.5106610000000007</v>
      </c>
      <c r="AC40" s="2">
        <v>7.0731409999999997</v>
      </c>
      <c r="AD40" s="2">
        <v>6.6217560000000004</v>
      </c>
      <c r="AE40" s="2">
        <v>7.247312</v>
      </c>
      <c r="AF40" s="2" t="s">
        <v>40</v>
      </c>
      <c r="AG40" s="2" t="s">
        <v>40</v>
      </c>
      <c r="AH40" s="2" t="s">
        <v>40</v>
      </c>
      <c r="AI40" s="29">
        <v>3.5560000000000001E-2</v>
      </c>
      <c r="AJ40" s="29">
        <v>4.4448000000000001E-2</v>
      </c>
      <c r="AK40" s="29">
        <v>2.7764E-2</v>
      </c>
      <c r="AL40" s="10">
        <v>25.836825000000001</v>
      </c>
      <c r="AM40" s="10">
        <v>26.129000000000001</v>
      </c>
      <c r="AN40" s="10">
        <v>27.403807</v>
      </c>
      <c r="AO40" s="68">
        <v>0.2486343225</v>
      </c>
      <c r="AP40" s="68">
        <v>0.23970848</v>
      </c>
      <c r="AQ40" s="68">
        <v>0.291851188888889</v>
      </c>
      <c r="AR40" s="72">
        <v>52.433750000000003</v>
      </c>
      <c r="AS40" s="72">
        <v>44.32</v>
      </c>
      <c r="AT40" s="72">
        <v>50.338888888888889</v>
      </c>
      <c r="AU40" s="68">
        <v>0.39454299999999998</v>
      </c>
      <c r="AV40" s="68">
        <v>0.36009099999999999</v>
      </c>
      <c r="AW40" s="68">
        <v>0.33276800000000001</v>
      </c>
      <c r="AX40" s="29">
        <v>1.26847859202849</v>
      </c>
      <c r="AY40" s="29">
        <v>1.5153914376861899</v>
      </c>
      <c r="AZ40" s="29">
        <v>1.8090951415116601</v>
      </c>
      <c r="BA40" s="1">
        <f t="shared" si="4"/>
        <v>0.94276525084788732</v>
      </c>
      <c r="BB40" s="1">
        <f t="shared" si="5"/>
        <v>0.90428174616658108</v>
      </c>
      <c r="BC40" s="1">
        <f t="shared" si="6"/>
        <v>1.0629005561235023</v>
      </c>
      <c r="BD40" s="1">
        <f t="shared" si="7"/>
        <v>0.92701716906946263</v>
      </c>
      <c r="BE40" s="1">
        <f t="shared" si="8"/>
        <v>0.91726776561850676</v>
      </c>
      <c r="BF40" s="1">
        <f t="shared" si="9"/>
        <v>0.89495085206223746</v>
      </c>
      <c r="BG40" s="2">
        <v>115</v>
      </c>
      <c r="BH40" s="2">
        <v>68</v>
      </c>
      <c r="BI40" s="2">
        <v>3698</v>
      </c>
      <c r="BJ40" s="2">
        <v>36.4</v>
      </c>
      <c r="BK40" s="4" t="s">
        <v>868</v>
      </c>
      <c r="BL40" s="4">
        <v>1.19</v>
      </c>
      <c r="BN40" s="21" t="s">
        <v>925</v>
      </c>
      <c r="BO40" s="21" t="s">
        <v>924</v>
      </c>
      <c r="BP40" s="22" t="s">
        <v>1124</v>
      </c>
      <c r="BQ40" s="24" t="s">
        <v>1082</v>
      </c>
      <c r="BR40" s="20" t="s">
        <v>1098</v>
      </c>
    </row>
    <row r="41" spans="1:73" x14ac:dyDescent="0.25">
      <c r="A41" t="s">
        <v>752</v>
      </c>
      <c r="B41" t="s">
        <v>1225</v>
      </c>
      <c r="C41" s="13" t="s">
        <v>1226</v>
      </c>
      <c r="D41" s="13" t="s">
        <v>1572</v>
      </c>
      <c r="E41" s="1">
        <v>5.1665000000000001</v>
      </c>
      <c r="F41" s="1">
        <v>4.1379999999999999</v>
      </c>
      <c r="G41" s="1">
        <v>4.5709999999999997</v>
      </c>
      <c r="H41" s="1">
        <v>4.0294999999999996</v>
      </c>
      <c r="I41" s="1">
        <v>4.9390000000000001</v>
      </c>
      <c r="J41" s="1">
        <v>3.4529999999999998</v>
      </c>
      <c r="K41" s="1">
        <v>0.46</v>
      </c>
      <c r="L41" s="1">
        <v>0.44</v>
      </c>
      <c r="M41" s="1">
        <v>0.46</v>
      </c>
      <c r="N41" s="1">
        <v>4.6522500000000004</v>
      </c>
      <c r="O41" s="1">
        <v>4.3002500000000001</v>
      </c>
      <c r="P41" s="1">
        <v>4.1959999999999997</v>
      </c>
      <c r="Q41" s="1">
        <v>0.59875924817815951</v>
      </c>
      <c r="R41" s="1">
        <v>0.47211723968921504</v>
      </c>
      <c r="S41" s="1">
        <v>0.71499518336468648</v>
      </c>
      <c r="T41" s="27">
        <v>17.678999999999998</v>
      </c>
      <c r="U41" s="27">
        <v>19.106999999999999</v>
      </c>
      <c r="V41" s="27">
        <v>19.452000000000002</v>
      </c>
      <c r="W41" s="29">
        <f t="shared" si="1"/>
        <v>0.23</v>
      </c>
      <c r="X41" s="29">
        <f t="shared" si="2"/>
        <v>0.22</v>
      </c>
      <c r="Y41" s="29">
        <f t="shared" si="3"/>
        <v>0.23</v>
      </c>
      <c r="Z41" s="1">
        <v>63.230915000000003</v>
      </c>
      <c r="AA41" s="1">
        <v>56.577285000000003</v>
      </c>
      <c r="AB41" s="1">
        <v>49.953828999999999</v>
      </c>
      <c r="AC41" s="2">
        <v>17.485151999999999</v>
      </c>
      <c r="AD41" s="2">
        <v>18.890514</v>
      </c>
      <c r="AE41" s="2">
        <v>17.266214000000002</v>
      </c>
      <c r="AF41" s="2" t="s">
        <v>40</v>
      </c>
      <c r="AG41" s="2" t="s">
        <v>40</v>
      </c>
      <c r="AH41" s="2" t="s">
        <v>40</v>
      </c>
      <c r="AI41" s="29">
        <v>7.8937999999999994E-2</v>
      </c>
      <c r="AJ41" s="29">
        <v>9.3372999999999998E-2</v>
      </c>
      <c r="AK41" s="29">
        <v>8.2927000000000001E-2</v>
      </c>
      <c r="AL41" s="10">
        <v>26.447111</v>
      </c>
      <c r="AM41" s="10">
        <v>26.097649000000001</v>
      </c>
      <c r="AN41" s="10">
        <v>28.140065</v>
      </c>
      <c r="AO41" s="68">
        <v>0.616665778</v>
      </c>
      <c r="AP41" s="68">
        <v>0.53985106500000002</v>
      </c>
      <c r="AQ41" s="68">
        <v>0.51588429999999996</v>
      </c>
      <c r="AR41" s="72">
        <v>71.426999999999992</v>
      </c>
      <c r="AS41" s="72">
        <v>62.897500000000001</v>
      </c>
      <c r="AT41" s="72">
        <v>68.80714285714285</v>
      </c>
      <c r="AU41" s="68">
        <v>0.94933599999999996</v>
      </c>
      <c r="AV41" s="68">
        <v>0.83884099999999995</v>
      </c>
      <c r="AW41" s="68">
        <v>0.82649700000000004</v>
      </c>
      <c r="AX41" s="29">
        <v>0.36655729849429802</v>
      </c>
      <c r="AY41" s="29">
        <v>0.43512628401286202</v>
      </c>
      <c r="AZ41" s="29">
        <v>0.48291257216080002</v>
      </c>
      <c r="BA41" s="1">
        <f t="shared" si="4"/>
        <v>0.94144005847178491</v>
      </c>
      <c r="BB41" s="1">
        <f t="shared" si="5"/>
        <v>0.97775455723826166</v>
      </c>
      <c r="BC41" s="1">
        <f t="shared" si="6"/>
        <v>0.93235929679679952</v>
      </c>
      <c r="BD41" s="1">
        <f t="shared" si="7"/>
        <v>0.98903512642117775</v>
      </c>
      <c r="BE41" s="1">
        <f t="shared" si="8"/>
        <v>0.98866980687706074</v>
      </c>
      <c r="BF41" s="1">
        <f t="shared" si="9"/>
        <v>0.88763181163890603</v>
      </c>
      <c r="BG41" s="2">
        <v>525</v>
      </c>
      <c r="BH41" s="2">
        <v>235.2</v>
      </c>
      <c r="BI41" s="2">
        <v>250000</v>
      </c>
      <c r="BJ41" s="2">
        <v>38.299999999999997</v>
      </c>
      <c r="BK41" s="4" t="s">
        <v>868</v>
      </c>
      <c r="BL41" s="4">
        <v>1.19</v>
      </c>
      <c r="BN41" s="21" t="s">
        <v>879</v>
      </c>
      <c r="BO41" s="21" t="s">
        <v>924</v>
      </c>
      <c r="BP41" s="22" t="s">
        <v>955</v>
      </c>
      <c r="BQ41" s="24" t="s">
        <v>1085</v>
      </c>
      <c r="BR41" s="20" t="s">
        <v>1098</v>
      </c>
    </row>
    <row r="42" spans="1:73" x14ac:dyDescent="0.25">
      <c r="A42" t="s">
        <v>763</v>
      </c>
      <c r="B42" t="s">
        <v>764</v>
      </c>
      <c r="C42" s="13" t="s">
        <v>1227</v>
      </c>
      <c r="D42" s="13" t="s">
        <v>1572</v>
      </c>
      <c r="E42" s="1">
        <v>3.4205000000000001</v>
      </c>
      <c r="F42" s="1">
        <v>2.9685000000000001</v>
      </c>
      <c r="G42" s="1">
        <v>3.7694999999999999</v>
      </c>
      <c r="H42" s="1">
        <v>2.5185</v>
      </c>
      <c r="I42" s="1">
        <v>3.3010000000000002</v>
      </c>
      <c r="J42" s="1">
        <v>2.5030000000000001</v>
      </c>
      <c r="K42" s="44">
        <v>0.41</v>
      </c>
      <c r="L42" s="44">
        <v>0.4</v>
      </c>
      <c r="M42" s="44">
        <v>0.4</v>
      </c>
      <c r="N42" s="1">
        <v>3.1945000000000001</v>
      </c>
      <c r="O42" s="1">
        <v>3.1440000000000001</v>
      </c>
      <c r="P42" s="1">
        <v>2.9020000000000001</v>
      </c>
      <c r="Q42" s="1">
        <v>0.49681656377645789</v>
      </c>
      <c r="R42" s="1">
        <v>0.7440483770369769</v>
      </c>
      <c r="S42" s="1">
        <v>0.65195800663825232</v>
      </c>
      <c r="T42" s="27">
        <v>12.66</v>
      </c>
      <c r="U42" s="27">
        <v>14.153</v>
      </c>
      <c r="V42" s="27">
        <v>13.670999999999999</v>
      </c>
      <c r="W42" s="29">
        <f t="shared" si="1"/>
        <v>0.20499999999999999</v>
      </c>
      <c r="X42" s="29">
        <f t="shared" si="2"/>
        <v>0.2</v>
      </c>
      <c r="Y42" s="29">
        <f t="shared" si="3"/>
        <v>0.2</v>
      </c>
      <c r="Z42" s="1">
        <v>33.848512999999997</v>
      </c>
      <c r="AA42" s="1">
        <v>30.792655</v>
      </c>
      <c r="AB42" s="1">
        <v>25.83484</v>
      </c>
      <c r="AC42" s="2">
        <v>12.584395000000001</v>
      </c>
      <c r="AD42" s="2">
        <v>13.427705</v>
      </c>
      <c r="AE42" s="2">
        <v>11.775574000000001</v>
      </c>
      <c r="AF42" s="2" t="s">
        <v>40</v>
      </c>
      <c r="AG42" s="2" t="s">
        <v>40</v>
      </c>
      <c r="AH42" s="2" t="s">
        <v>40</v>
      </c>
      <c r="AI42" s="29">
        <v>8.4554000000000004E-2</v>
      </c>
      <c r="AJ42" s="29">
        <v>7.7266000000000001E-2</v>
      </c>
      <c r="AK42" s="29">
        <v>6.7290000000000003E-2</v>
      </c>
      <c r="AL42" s="10">
        <v>26.499027000000002</v>
      </c>
      <c r="AM42" s="10">
        <v>26.137650000000001</v>
      </c>
      <c r="AN42" s="10">
        <v>26.976261999999998</v>
      </c>
      <c r="AO42" s="68">
        <v>0.383790983333333</v>
      </c>
      <c r="AP42" s="68">
        <v>0.42976862666666699</v>
      </c>
      <c r="AQ42" s="68">
        <v>0.35660965999999999</v>
      </c>
      <c r="AR42" s="72">
        <v>50.308333333333337</v>
      </c>
      <c r="AS42" s="72">
        <v>44.806666666666665</v>
      </c>
      <c r="AT42" s="72">
        <v>43.118571428571428</v>
      </c>
      <c r="AU42" s="68">
        <v>0.80535900000000005</v>
      </c>
      <c r="AV42" s="68">
        <v>0.77255200000000002</v>
      </c>
      <c r="AW42" s="68">
        <v>0.83075500000000002</v>
      </c>
      <c r="AX42" s="29">
        <v>0.40016177322615798</v>
      </c>
      <c r="AY42" s="29">
        <v>0.45503769402757499</v>
      </c>
      <c r="AZ42" s="29">
        <v>0.37214034019734998</v>
      </c>
      <c r="BA42" s="1">
        <f t="shared" si="4"/>
        <v>1.0611165146645694</v>
      </c>
      <c r="BB42" s="1">
        <f t="shared" si="5"/>
        <v>1.0324560194706918</v>
      </c>
      <c r="BC42" s="1">
        <f t="shared" si="6"/>
        <v>0.99528974560747552</v>
      </c>
      <c r="BD42" s="1">
        <f t="shared" si="7"/>
        <v>0.99402804107424969</v>
      </c>
      <c r="BE42" s="1">
        <f t="shared" si="8"/>
        <v>0.94875326785840453</v>
      </c>
      <c r="BF42" s="1">
        <f t="shared" si="9"/>
        <v>0.86135425352936879</v>
      </c>
      <c r="BG42" s="2">
        <v>238</v>
      </c>
      <c r="BH42" s="2">
        <v>120.3</v>
      </c>
      <c r="BI42" s="2">
        <v>54325</v>
      </c>
      <c r="BJ42" s="2">
        <v>37.700000000000003</v>
      </c>
      <c r="BK42" s="4" t="s">
        <v>868</v>
      </c>
      <c r="BL42" s="4">
        <v>1.19</v>
      </c>
      <c r="BN42" s="21" t="s">
        <v>934</v>
      </c>
      <c r="BO42" s="21" t="s">
        <v>924</v>
      </c>
      <c r="BP42" s="24" t="s">
        <v>951</v>
      </c>
      <c r="BQ42" s="24" t="s">
        <v>1088</v>
      </c>
      <c r="BR42" s="20" t="s">
        <v>1098</v>
      </c>
    </row>
    <row r="43" spans="1:73" x14ac:dyDescent="0.25">
      <c r="A43" t="s">
        <v>774</v>
      </c>
      <c r="B43" t="s">
        <v>1228</v>
      </c>
      <c r="C43" s="13" t="s">
        <v>1229</v>
      </c>
      <c r="D43" s="13" t="s">
        <v>1572</v>
      </c>
      <c r="E43" s="44">
        <v>3.1915</v>
      </c>
      <c r="F43" s="44">
        <v>2.7745000000000002</v>
      </c>
      <c r="G43" s="44">
        <v>3.2094999999999998</v>
      </c>
      <c r="H43" s="44">
        <v>2.3330000000000002</v>
      </c>
      <c r="I43" s="44">
        <v>2.8214999999999999</v>
      </c>
      <c r="J43" s="44">
        <v>2.6004999999999998</v>
      </c>
      <c r="K43" s="44">
        <v>0.44940000000000002</v>
      </c>
      <c r="L43" s="44">
        <v>0.41</v>
      </c>
      <c r="M43" s="44">
        <v>0.4178</v>
      </c>
      <c r="N43" s="1">
        <v>2.9830000000000001</v>
      </c>
      <c r="O43" s="1">
        <v>2.7712500000000002</v>
      </c>
      <c r="P43" s="1">
        <v>2.7109999999999999</v>
      </c>
      <c r="Q43" s="1">
        <v>0.49421372618457121</v>
      </c>
      <c r="R43" s="1">
        <v>0.68673855621751234</v>
      </c>
      <c r="S43" s="1">
        <v>0.3879679400068991</v>
      </c>
      <c r="T43" s="27">
        <v>11.738</v>
      </c>
      <c r="U43" s="27">
        <v>11.821</v>
      </c>
      <c r="V43" s="27">
        <v>11.641999999999999</v>
      </c>
      <c r="W43" s="29">
        <f t="shared" si="1"/>
        <v>0.22470000000000001</v>
      </c>
      <c r="X43" s="29">
        <f t="shared" si="2"/>
        <v>0.20499999999999999</v>
      </c>
      <c r="Y43" s="29">
        <f t="shared" si="3"/>
        <v>0.2089</v>
      </c>
      <c r="Z43" s="1">
        <v>30.797611</v>
      </c>
      <c r="AA43" s="1">
        <v>22.022921</v>
      </c>
      <c r="AB43" s="1">
        <v>22.840229999999998</v>
      </c>
      <c r="AC43" s="2">
        <v>10.982711</v>
      </c>
      <c r="AD43" s="2">
        <v>10.166950999999999</v>
      </c>
      <c r="AE43" s="2">
        <v>10.660704000000001</v>
      </c>
      <c r="AF43" s="49">
        <f>(0.342+0.344)/2</f>
        <v>0.34299999999999997</v>
      </c>
      <c r="AG43" s="49">
        <f>(0.356+0.317)/2</f>
        <v>0.33650000000000002</v>
      </c>
      <c r="AH43" s="49">
        <f>(0.37+0.346)/2</f>
        <v>0.35799999999999998</v>
      </c>
      <c r="AI43" s="29">
        <v>7.5199000000000002E-2</v>
      </c>
      <c r="AJ43" s="29">
        <v>8.6666999999999994E-2</v>
      </c>
      <c r="AK43" s="29">
        <v>6.2578999999999996E-2</v>
      </c>
      <c r="AL43" s="10">
        <v>26.813929999999999</v>
      </c>
      <c r="AM43" s="10">
        <v>26.739720999999999</v>
      </c>
      <c r="AN43" s="10">
        <v>27.311160999999998</v>
      </c>
      <c r="AO43" s="68">
        <v>0.37394586000000002</v>
      </c>
      <c r="AP43" s="68">
        <v>0.39648339999999999</v>
      </c>
      <c r="AQ43" s="68">
        <v>0.411317322222222</v>
      </c>
      <c r="AR43" s="72">
        <v>48.70428571428571</v>
      </c>
      <c r="AS43" s="72">
        <v>66.314285714285717</v>
      </c>
      <c r="AT43" s="72">
        <v>54.872222222222227</v>
      </c>
      <c r="AU43" s="68">
        <v>0.80413000000000001</v>
      </c>
      <c r="AV43" s="68">
        <v>0.71675699999999998</v>
      </c>
      <c r="AW43" s="68">
        <v>0.70131699999999997</v>
      </c>
      <c r="AX43" s="29">
        <v>0.40756136226238199</v>
      </c>
      <c r="AY43" s="29">
        <v>0.49637143178172899</v>
      </c>
      <c r="AZ43" s="29">
        <v>0.58429390149044003</v>
      </c>
      <c r="BA43" s="1">
        <f t="shared" si="4"/>
        <v>1.1071018552860123</v>
      </c>
      <c r="BB43" s="1">
        <f t="shared" si="5"/>
        <v>0.93620925353005802</v>
      </c>
      <c r="BC43" s="1">
        <f t="shared" si="6"/>
        <v>0.9908631730926214</v>
      </c>
      <c r="BD43" s="1">
        <f t="shared" si="7"/>
        <v>0.93565437042085542</v>
      </c>
      <c r="BE43" s="1">
        <f t="shared" si="8"/>
        <v>0.86007537433381265</v>
      </c>
      <c r="BF43" s="1">
        <f t="shared" si="9"/>
        <v>0.91571070262841447</v>
      </c>
      <c r="BG43" s="2">
        <v>275</v>
      </c>
      <c r="BH43" s="2">
        <v>110.4</v>
      </c>
      <c r="BI43" s="2">
        <v>55000</v>
      </c>
      <c r="BJ43" s="2">
        <v>38.4</v>
      </c>
      <c r="BK43" s="4" t="s">
        <v>868</v>
      </c>
      <c r="BL43" s="4">
        <v>1.19</v>
      </c>
      <c r="BN43" s="21" t="s">
        <v>1152</v>
      </c>
      <c r="BO43" s="21" t="s">
        <v>924</v>
      </c>
      <c r="BP43" s="24" t="s">
        <v>946</v>
      </c>
      <c r="BQ43" s="24" t="s">
        <v>1054</v>
      </c>
      <c r="BR43" s="20" t="s">
        <v>1098</v>
      </c>
    </row>
    <row r="44" spans="1:73" x14ac:dyDescent="0.25">
      <c r="A44" t="s">
        <v>808</v>
      </c>
      <c r="B44" t="s">
        <v>1230</v>
      </c>
      <c r="C44" s="13" t="s">
        <v>1231</v>
      </c>
      <c r="D44" s="13" t="s">
        <v>1572</v>
      </c>
      <c r="E44" s="44">
        <v>4.6485000000000003</v>
      </c>
      <c r="F44" s="44">
        <v>3.5295000000000001</v>
      </c>
      <c r="G44" s="44">
        <v>4.5030000000000001</v>
      </c>
      <c r="H44" s="44">
        <v>3.2450000000000001</v>
      </c>
      <c r="I44" s="44">
        <v>3.9780000000000002</v>
      </c>
      <c r="J44" s="44">
        <v>3.0905</v>
      </c>
      <c r="K44" s="44">
        <v>0.46</v>
      </c>
      <c r="L44" s="44">
        <v>0.51</v>
      </c>
      <c r="M44" s="44">
        <v>0.5</v>
      </c>
      <c r="N44" s="1">
        <v>4.0890000000000004</v>
      </c>
      <c r="O44" s="1">
        <v>3.8740000000000001</v>
      </c>
      <c r="P44" s="1">
        <v>3.5342500000000001</v>
      </c>
      <c r="Q44" s="1">
        <v>0.65076735822625054</v>
      </c>
      <c r="R44" s="1">
        <v>0.69331912399149054</v>
      </c>
      <c r="S44" s="1">
        <v>0.62962655034689707</v>
      </c>
      <c r="T44" s="27">
        <v>15.516999999999999</v>
      </c>
      <c r="U44" s="27">
        <v>17.361999999999998</v>
      </c>
      <c r="V44" s="27">
        <v>15.547000000000001</v>
      </c>
      <c r="W44" s="29">
        <f t="shared" si="1"/>
        <v>0.23</v>
      </c>
      <c r="X44" s="29">
        <f t="shared" si="2"/>
        <v>0.255</v>
      </c>
      <c r="Y44" s="29">
        <f t="shared" si="3"/>
        <v>0.25</v>
      </c>
      <c r="Z44" s="1">
        <v>47.472228999999999</v>
      </c>
      <c r="AA44" s="1">
        <v>44.988916000000003</v>
      </c>
      <c r="AB44" s="1">
        <v>33.925389000000003</v>
      </c>
      <c r="AC44" s="2">
        <v>14.659901</v>
      </c>
      <c r="AD44" s="2">
        <v>16.391567999999999</v>
      </c>
      <c r="AE44" s="2">
        <v>14.012489</v>
      </c>
      <c r="AF44" s="49">
        <f>(0.35571+0.4017)/2</f>
        <v>0.37870500000000001</v>
      </c>
      <c r="AG44" s="49">
        <f>(0.45368+0.46659)/2</f>
        <v>0.46013500000000002</v>
      </c>
      <c r="AH44" s="49">
        <f>(0.43356+0.35613)/2</f>
        <v>0.394845</v>
      </c>
      <c r="AI44" s="29">
        <v>0.100244</v>
      </c>
      <c r="AJ44" s="29">
        <v>0.109583</v>
      </c>
      <c r="AK44" s="29">
        <v>0.104356</v>
      </c>
      <c r="AL44" s="10">
        <v>25.852229999999999</v>
      </c>
      <c r="AM44" s="10">
        <v>25.835046999999999</v>
      </c>
      <c r="AN44" s="10">
        <v>25.407515</v>
      </c>
      <c r="AO44" s="68">
        <v>0.49974546399999997</v>
      </c>
      <c r="AP44" s="68">
        <v>0.50035824444444399</v>
      </c>
      <c r="AQ44" s="68">
        <v>0.51635427090909103</v>
      </c>
      <c r="AR44" s="72">
        <v>60.576000000000001</v>
      </c>
      <c r="AS44" s="72">
        <v>70.644444444444446</v>
      </c>
      <c r="AT44" s="72">
        <v>60.551818181818184</v>
      </c>
      <c r="AU44" s="68">
        <v>1.0149889999999999</v>
      </c>
      <c r="AV44" s="68">
        <v>1.0043200000000001</v>
      </c>
      <c r="AW44" s="68">
        <v>0.937361</v>
      </c>
      <c r="AX44" s="29">
        <v>0.30326645060267299</v>
      </c>
      <c r="AY44" s="29">
        <v>0.327439835965322</v>
      </c>
      <c r="AZ44" s="29">
        <v>0.36204769275635401</v>
      </c>
      <c r="BA44" s="1">
        <f t="shared" si="4"/>
        <v>0.92100869386040041</v>
      </c>
      <c r="BB44" s="1">
        <f t="shared" si="5"/>
        <v>0.98002918318054133</v>
      </c>
      <c r="BC44" s="1">
        <f t="shared" si="6"/>
        <v>0.8783779734772299</v>
      </c>
      <c r="BD44" s="1">
        <f t="shared" si="7"/>
        <v>0.94476387188245148</v>
      </c>
      <c r="BE44" s="1">
        <f t="shared" si="8"/>
        <v>0.94410597857389711</v>
      </c>
      <c r="BF44" s="1">
        <f t="shared" si="9"/>
        <v>0.90129857850389139</v>
      </c>
      <c r="BG44" s="2">
        <v>436.5</v>
      </c>
      <c r="BH44" s="2">
        <v>232.3</v>
      </c>
      <c r="BI44" s="2">
        <v>290000</v>
      </c>
      <c r="BJ44" s="2">
        <v>38.5</v>
      </c>
      <c r="BK44" s="4" t="s">
        <v>868</v>
      </c>
      <c r="BL44" s="4">
        <v>1.19</v>
      </c>
      <c r="BN44" s="21" t="s">
        <v>925</v>
      </c>
      <c r="BO44" s="21" t="s">
        <v>924</v>
      </c>
      <c r="BP44" s="24" t="s">
        <v>946</v>
      </c>
      <c r="BQ44" s="24" t="s">
        <v>1097</v>
      </c>
      <c r="BR44" s="20" t="s">
        <v>1098</v>
      </c>
    </row>
    <row r="45" spans="1:73" x14ac:dyDescent="0.25">
      <c r="A45" s="22" t="s">
        <v>1164</v>
      </c>
      <c r="B45" s="22" t="s">
        <v>1165</v>
      </c>
      <c r="C45" s="32" t="s">
        <v>1500</v>
      </c>
      <c r="D45" t="s">
        <v>1612</v>
      </c>
      <c r="E45" s="44">
        <v>1.20885</v>
      </c>
      <c r="F45" s="44">
        <v>0.69350000000000001</v>
      </c>
      <c r="G45" s="44">
        <v>0.74</v>
      </c>
      <c r="H45" s="44">
        <v>0.45800000000000002</v>
      </c>
      <c r="I45" s="44">
        <v>0.47499999999999998</v>
      </c>
      <c r="J45" s="44">
        <v>0.52200000000000002</v>
      </c>
      <c r="K45" s="27" t="s">
        <v>40</v>
      </c>
      <c r="L45" s="27" t="s">
        <v>40</v>
      </c>
      <c r="M45" s="27" t="s">
        <v>40</v>
      </c>
      <c r="N45" s="1">
        <f t="shared" ref="N45:N51" si="11">(E45+F45)/2</f>
        <v>0.95117499999999999</v>
      </c>
      <c r="O45" s="1">
        <f t="shared" ref="O45:O51" si="12">(G45+H45)/2</f>
        <v>0.59899999999999998</v>
      </c>
      <c r="P45" s="1">
        <f t="shared" ref="P45:P51" si="13">(I45+J45)/2</f>
        <v>0.4985</v>
      </c>
      <c r="Q45" s="1">
        <f t="shared" ref="Q45:Q51" si="14">(1-((MIN(E45:F45)/MAX(E45:F45))^2))^0.5</f>
        <v>0.81907550212045499</v>
      </c>
      <c r="R45" s="1">
        <f t="shared" ref="R45:R51" si="15">(1-((MIN(G45:H45)/MAX(G45:H45))^2))^0.5</f>
        <v>0.78545488209332348</v>
      </c>
      <c r="S45" s="1">
        <f t="shared" ref="S45:S51" si="16">(1-((MIN(I45:J45)/MAX(I45:J45))^2))^0.5</f>
        <v>0.41469233213647727</v>
      </c>
      <c r="T45" s="27">
        <v>2.83</v>
      </c>
      <c r="U45" s="27">
        <v>1.9650000000000001</v>
      </c>
      <c r="V45" s="27">
        <v>1.954</v>
      </c>
      <c r="W45" s="91">
        <v>0.20524810717186587</v>
      </c>
      <c r="X45" s="91">
        <v>0.1998022435650286</v>
      </c>
      <c r="Y45" s="91">
        <v>0.17188268228446177</v>
      </c>
      <c r="Z45" s="1">
        <v>2.3934788738034936</v>
      </c>
      <c r="AA45" s="1">
        <v>1.193870964421883</v>
      </c>
      <c r="AB45" s="1">
        <v>0.8464944022130898</v>
      </c>
      <c r="AC45" s="2">
        <v>2.9903357123237115</v>
      </c>
      <c r="AD45" s="2">
        <v>1.9977676640994713</v>
      </c>
      <c r="AE45" s="2">
        <v>2.1418240650639375</v>
      </c>
      <c r="AF45" s="76">
        <v>0.30554154986827503</v>
      </c>
      <c r="AG45" s="76">
        <v>0.28558439581755501</v>
      </c>
      <c r="AH45" s="76">
        <v>0.24178439767683554</v>
      </c>
      <c r="AI45" s="29">
        <v>5.148128397944067E-2</v>
      </c>
      <c r="AJ45" s="29">
        <v>5.0019377025528083E-2</v>
      </c>
      <c r="AK45" s="29">
        <v>3.7638734238788892E-2</v>
      </c>
      <c r="AL45" s="10">
        <v>26.142715635044588</v>
      </c>
      <c r="AM45" s="10">
        <v>25.046327666817849</v>
      </c>
      <c r="AN45" s="10">
        <v>26.228923736186456</v>
      </c>
      <c r="AO45" s="68">
        <v>0.13235152766619135</v>
      </c>
      <c r="AP45" s="68">
        <v>0.14598376142951652</v>
      </c>
      <c r="AQ45" s="68">
        <v>0.16517218427559141</v>
      </c>
      <c r="AR45" s="75">
        <v>25.352329796929304</v>
      </c>
      <c r="AS45" s="75">
        <v>27.591061831341253</v>
      </c>
      <c r="AT45" s="75">
        <v>29.117527776231558</v>
      </c>
      <c r="AU45" s="68">
        <f>0.1689</f>
        <v>0.16889999999999999</v>
      </c>
      <c r="AV45" s="68">
        <v>9.2728000000000005E-2</v>
      </c>
      <c r="AW45" s="68">
        <v>0.1769</v>
      </c>
      <c r="AX45" s="76">
        <f>10^(-0.431+0.422*LOG10(AO45)-1.718*LOG10(AU45))</f>
        <v>3.3519835799582087</v>
      </c>
      <c r="AY45" s="76">
        <f>10^(-0.408+0.479*LOG10(AP45)-1.739*LOG10(AV45))</f>
        <v>9.7212505516075112</v>
      </c>
      <c r="AZ45" s="76">
        <f>10^(-0.417+0.364*LOG10(AQ45)-1.655*LOG10(AW45))</f>
        <v>3.4941333270751951</v>
      </c>
      <c r="BA45" s="1">
        <f t="shared" ref="BA45:BA51" si="17">Z45/(PI()*E45*F45)</f>
        <v>0.90878436265025309</v>
      </c>
      <c r="BB45" s="1">
        <f t="shared" ref="BB45:BB51" si="18">AA45/(PI()*G45*H45)</f>
        <v>1.1212703021458219</v>
      </c>
      <c r="BC45" s="1">
        <f t="shared" ref="BC45:BC51" si="19">AB45/(PI()*I45*J45)</f>
        <v>1.0867010962841885</v>
      </c>
      <c r="BD45" s="1">
        <f t="shared" ref="BD45:BD51" si="20">AC45/T45</f>
        <v>1.0566557287362939</v>
      </c>
      <c r="BE45" s="1">
        <f t="shared" ref="BE45:BE51" si="21">AD45/U45</f>
        <v>1.0166756560302652</v>
      </c>
      <c r="BF45" s="1">
        <f t="shared" ref="BF45:BF51" si="22">AE45/V45</f>
        <v>1.09612285827223</v>
      </c>
      <c r="BG45" s="2">
        <v>8.08</v>
      </c>
      <c r="BH45" s="2">
        <v>5.1100000000000003</v>
      </c>
      <c r="BI45" s="2">
        <v>0.79</v>
      </c>
      <c r="BJ45" s="23">
        <v>22.5</v>
      </c>
      <c r="BK45" s="36" t="s">
        <v>866</v>
      </c>
      <c r="BL45" s="4">
        <v>1.19</v>
      </c>
      <c r="BN45" s="21" t="s">
        <v>1412</v>
      </c>
      <c r="BO45" s="21" t="s">
        <v>924</v>
      </c>
      <c r="BP45" s="24" t="s">
        <v>1394</v>
      </c>
      <c r="BQ45" t="s">
        <v>1338</v>
      </c>
      <c r="BR45" s="20" t="s">
        <v>1098</v>
      </c>
      <c r="BS45" s="29"/>
      <c r="BT45" s="29"/>
      <c r="BU45" s="29"/>
    </row>
    <row r="46" spans="1:73" x14ac:dyDescent="0.25">
      <c r="A46" s="22" t="s">
        <v>1279</v>
      </c>
      <c r="B46" s="22" t="s">
        <v>1280</v>
      </c>
      <c r="C46" s="24" t="s">
        <v>1501</v>
      </c>
      <c r="D46" t="s">
        <v>1612</v>
      </c>
      <c r="E46" s="44">
        <v>0.91149999999999998</v>
      </c>
      <c r="F46" s="44">
        <v>0.46800000000000003</v>
      </c>
      <c r="G46" s="44">
        <v>0.64349999999999996</v>
      </c>
      <c r="H46" s="44">
        <v>0.36599999999999999</v>
      </c>
      <c r="I46" s="44">
        <v>0.60699999999999998</v>
      </c>
      <c r="J46" s="44">
        <v>0.61599999999999999</v>
      </c>
      <c r="K46" s="27" t="s">
        <v>40</v>
      </c>
      <c r="L46" s="27" t="s">
        <v>40</v>
      </c>
      <c r="M46" s="27" t="s">
        <v>40</v>
      </c>
      <c r="N46" s="1">
        <f t="shared" si="11"/>
        <v>0.68974999999999997</v>
      </c>
      <c r="O46" s="1">
        <f t="shared" si="12"/>
        <v>0.50475000000000003</v>
      </c>
      <c r="P46" s="1">
        <f t="shared" si="13"/>
        <v>0.61149999999999993</v>
      </c>
      <c r="Q46" s="1">
        <f t="shared" si="14"/>
        <v>0.85812586331251783</v>
      </c>
      <c r="R46" s="1">
        <f t="shared" si="15"/>
        <v>0.82250037405344323</v>
      </c>
      <c r="S46" s="1">
        <f t="shared" si="16"/>
        <v>0.17031534204589982</v>
      </c>
      <c r="T46" s="27">
        <v>2.0910000000000002</v>
      </c>
      <c r="U46" s="27">
        <v>1.4079999999999999</v>
      </c>
      <c r="V46" s="27">
        <v>2.536</v>
      </c>
      <c r="W46" s="91">
        <v>0.16487319278595977</v>
      </c>
      <c r="X46" s="91">
        <v>0.16690843832403796</v>
      </c>
      <c r="Y46" s="91">
        <v>0.11411651152749831</v>
      </c>
      <c r="Z46" s="1">
        <v>1.4515871151629289</v>
      </c>
      <c r="AA46" s="1">
        <v>0.74683934269403918</v>
      </c>
      <c r="AB46" s="1">
        <v>1.2696923251994454</v>
      </c>
      <c r="AC46" s="2">
        <v>2.0509891802216549</v>
      </c>
      <c r="AD46" s="2">
        <v>1.3299704984017759</v>
      </c>
      <c r="AE46" s="2">
        <v>2.3239604932998184</v>
      </c>
      <c r="AF46" s="76">
        <v>0.25785995374431409</v>
      </c>
      <c r="AG46" s="76">
        <v>0.24907265963545058</v>
      </c>
      <c r="AH46" s="76">
        <v>0.17583489740677755</v>
      </c>
      <c r="AI46" s="29">
        <v>3.7687425533686335E-2</v>
      </c>
      <c r="AJ46" s="29">
        <v>3.8678384266280133E-2</v>
      </c>
      <c r="AK46" s="29">
        <v>2.0958703878362159E-2</v>
      </c>
      <c r="AL46" s="10">
        <v>25.216915071393057</v>
      </c>
      <c r="AM46" s="28">
        <v>24.795903725982502</v>
      </c>
      <c r="AN46" s="10">
        <v>25.589232745833186</v>
      </c>
      <c r="AO46" s="68">
        <v>0.16709201021153963</v>
      </c>
      <c r="AP46" s="68">
        <v>0.1289082394838707</v>
      </c>
      <c r="AQ46" s="68">
        <v>0.15724538666518006</v>
      </c>
      <c r="AR46" s="75">
        <v>28.212171295289693</v>
      </c>
      <c r="AS46" s="75">
        <v>26.102008121549275</v>
      </c>
      <c r="AT46" s="75">
        <v>26.576181045624757</v>
      </c>
      <c r="AU46" s="68">
        <v>0.101717</v>
      </c>
      <c r="AV46" s="68">
        <v>8.3004999999999995E-2</v>
      </c>
      <c r="AW46" s="68">
        <v>0.101192</v>
      </c>
      <c r="AX46" s="76">
        <f t="shared" ref="AX46:AX51" si="23">10^(-0.431+0.422*LOG10(AO46)-1.718*LOG10(AU46))</f>
        <v>8.8386348458062631</v>
      </c>
      <c r="AY46" s="76">
        <f t="shared" ref="AY46:AY51" si="24">10^(-0.408+0.479*LOG10(AP46)-1.739*LOG10(AV46))</f>
        <v>11.104580246522554</v>
      </c>
      <c r="AZ46" s="76">
        <f t="shared" ref="AZ46:AZ51" si="25">10^(-0.417+0.364*LOG10(AQ46)-1.655*LOG10(AW46))</f>
        <v>8.6504247601753974</v>
      </c>
      <c r="BA46" s="1">
        <f t="shared" si="17"/>
        <v>1.0831552419309043</v>
      </c>
      <c r="BB46" s="1">
        <f t="shared" si="18"/>
        <v>1.0093636922844105</v>
      </c>
      <c r="BC46" s="1">
        <f t="shared" si="19"/>
        <v>1.0808843244471107</v>
      </c>
      <c r="BD46" s="1">
        <f t="shared" si="20"/>
        <v>0.98086522248763974</v>
      </c>
      <c r="BE46" s="1">
        <f t="shared" si="21"/>
        <v>0.94458131988762506</v>
      </c>
      <c r="BF46" s="1">
        <f t="shared" si="22"/>
        <v>0.9163882071371523</v>
      </c>
      <c r="BG46" s="2">
        <v>7.05</v>
      </c>
      <c r="BH46" s="2">
        <v>4.84</v>
      </c>
      <c r="BI46" s="2">
        <v>0.54</v>
      </c>
      <c r="BJ46" s="23">
        <v>23</v>
      </c>
      <c r="BK46" s="36" t="s">
        <v>866</v>
      </c>
      <c r="BL46" s="4">
        <v>1.19</v>
      </c>
      <c r="BN46" s="21" t="s">
        <v>1412</v>
      </c>
      <c r="BO46" s="21" t="s">
        <v>924</v>
      </c>
      <c r="BP46" s="24" t="s">
        <v>1400</v>
      </c>
      <c r="BQ46" t="s">
        <v>1339</v>
      </c>
      <c r="BR46" s="20" t="s">
        <v>1098</v>
      </c>
      <c r="BS46" s="29"/>
      <c r="BT46" s="29"/>
      <c r="BU46" s="29"/>
    </row>
    <row r="47" spans="1:73" x14ac:dyDescent="0.25">
      <c r="A47" s="22" t="s">
        <v>1282</v>
      </c>
      <c r="B47" s="22" t="s">
        <v>1281</v>
      </c>
      <c r="C47" s="24" t="s">
        <v>1501</v>
      </c>
      <c r="D47" t="s">
        <v>1612</v>
      </c>
      <c r="E47" s="44">
        <f>1.68/2</f>
        <v>0.84</v>
      </c>
      <c r="F47" s="44">
        <v>0.47099999999999997</v>
      </c>
      <c r="G47" s="44">
        <f>1.1/2</f>
        <v>0.55000000000000004</v>
      </c>
      <c r="H47" s="44">
        <v>0.36599999999999999</v>
      </c>
      <c r="I47" s="44">
        <v>0.496</v>
      </c>
      <c r="J47" s="44">
        <v>0.439</v>
      </c>
      <c r="K47" s="27" t="s">
        <v>40</v>
      </c>
      <c r="L47" s="27" t="s">
        <v>40</v>
      </c>
      <c r="M47" s="27" t="s">
        <v>40</v>
      </c>
      <c r="N47" s="44">
        <f t="shared" si="11"/>
        <v>0.65549999999999997</v>
      </c>
      <c r="O47" s="1">
        <f t="shared" si="12"/>
        <v>0.45800000000000002</v>
      </c>
      <c r="P47" s="1">
        <f t="shared" si="13"/>
        <v>0.46750000000000003</v>
      </c>
      <c r="Q47" s="1">
        <f t="shared" si="14"/>
        <v>0.82800935368866357</v>
      </c>
      <c r="R47" s="1">
        <f t="shared" si="15"/>
        <v>0.74643837517499356</v>
      </c>
      <c r="S47" s="1">
        <f t="shared" si="16"/>
        <v>0.46543769890381026</v>
      </c>
      <c r="T47" s="27">
        <v>2.1389999999999998</v>
      </c>
      <c r="U47" s="27">
        <v>1.669</v>
      </c>
      <c r="V47" s="27">
        <v>1.8240000000000001</v>
      </c>
      <c r="W47" s="91">
        <v>0.15762668738871019</v>
      </c>
      <c r="X47" s="91">
        <v>0.1845766921603422</v>
      </c>
      <c r="Y47" s="91">
        <v>0.14821476362946803</v>
      </c>
      <c r="Z47" s="1">
        <v>1.2582026689660017</v>
      </c>
      <c r="AA47" s="1">
        <v>0.62586863815292049</v>
      </c>
      <c r="AB47" s="1">
        <v>0.69762223895740227</v>
      </c>
      <c r="AC47" s="2">
        <v>1.9782322867210487</v>
      </c>
      <c r="AD47" s="2">
        <v>1.5611699734995914</v>
      </c>
      <c r="AE47" s="2">
        <v>1.6204122862635402</v>
      </c>
      <c r="AF47" s="76">
        <v>0.24903684544664409</v>
      </c>
      <c r="AG47" s="76">
        <v>0.268879013526926</v>
      </c>
      <c r="AH47" s="76">
        <v>0.21547488502821244</v>
      </c>
      <c r="AI47" s="29">
        <v>3.5351008945077471E-2</v>
      </c>
      <c r="AJ47" s="29">
        <v>4.4661399048148462E-2</v>
      </c>
      <c r="AK47" s="29">
        <v>3.0455457643765848E-2</v>
      </c>
      <c r="AL47" s="28">
        <v>24.790824878082404</v>
      </c>
      <c r="AM47" s="28">
        <v>24.344389678184083</v>
      </c>
      <c r="AN47" s="10">
        <v>26.038685257471084</v>
      </c>
      <c r="AO47" s="68">
        <v>0.15195345169350685</v>
      </c>
      <c r="AP47" s="68">
        <v>0.12718563887139156</v>
      </c>
      <c r="AQ47" s="68">
        <v>0.16980015461877418</v>
      </c>
      <c r="AR47" s="75">
        <v>27.01799978324388</v>
      </c>
      <c r="AS47" s="75">
        <v>25.944581945821476</v>
      </c>
      <c r="AT47" s="75">
        <v>26.874225331523476</v>
      </c>
      <c r="AU47" s="68">
        <v>8.7096999999999994E-2</v>
      </c>
      <c r="AV47" s="68">
        <v>0.102741</v>
      </c>
      <c r="AW47" s="68">
        <v>8.4956000000000004E-2</v>
      </c>
      <c r="AX47" s="76">
        <f t="shared" si="23"/>
        <v>11.085527642296698</v>
      </c>
      <c r="AY47" s="76">
        <f t="shared" si="24"/>
        <v>7.6138337587143665</v>
      </c>
      <c r="AZ47" s="76">
        <f t="shared" si="25"/>
        <v>11.881774301226374</v>
      </c>
      <c r="BA47" s="1">
        <f t="shared" si="17"/>
        <v>1.0122797198329536</v>
      </c>
      <c r="BB47" s="1">
        <f t="shared" si="18"/>
        <v>0.9896680326699463</v>
      </c>
      <c r="BC47" s="1">
        <f t="shared" si="19"/>
        <v>1.0198216964959401</v>
      </c>
      <c r="BD47" s="1">
        <f t="shared" si="20"/>
        <v>0.92483977873821821</v>
      </c>
      <c r="BE47" s="1">
        <f t="shared" si="21"/>
        <v>0.93539243469118716</v>
      </c>
      <c r="BF47" s="1">
        <f t="shared" si="22"/>
        <v>0.88838392887255491</v>
      </c>
      <c r="BG47" s="2">
        <v>12.75</v>
      </c>
      <c r="BH47" s="2">
        <v>6.68</v>
      </c>
      <c r="BI47" s="2">
        <v>2.81</v>
      </c>
      <c r="BJ47" s="23">
        <v>26</v>
      </c>
      <c r="BK47" s="36" t="s">
        <v>866</v>
      </c>
      <c r="BL47" s="4">
        <v>1.19</v>
      </c>
      <c r="BN47" s="62" t="s">
        <v>1532</v>
      </c>
      <c r="BO47" s="62" t="s">
        <v>1532</v>
      </c>
      <c r="BP47" s="62" t="s">
        <v>1533</v>
      </c>
      <c r="BQ47" t="s">
        <v>1340</v>
      </c>
      <c r="BR47" s="20" t="s">
        <v>1098</v>
      </c>
    </row>
    <row r="48" spans="1:73" x14ac:dyDescent="0.25">
      <c r="A48" s="33" t="s">
        <v>1324</v>
      </c>
      <c r="B48" s="34" t="s">
        <v>1325</v>
      </c>
      <c r="C48" s="34" t="s">
        <v>1408</v>
      </c>
      <c r="D48" s="34" t="s">
        <v>1567</v>
      </c>
      <c r="E48" s="44">
        <v>1.6016400000000002</v>
      </c>
      <c r="F48" s="44">
        <v>0.94284000000000001</v>
      </c>
      <c r="G48" s="44">
        <v>1.3959000000000001</v>
      </c>
      <c r="H48" s="44">
        <v>1.10727</v>
      </c>
      <c r="I48" s="44">
        <v>2.1227400000000003</v>
      </c>
      <c r="J48" s="44">
        <v>2.0898000000000003</v>
      </c>
      <c r="K48" s="44">
        <v>0.55620000000000003</v>
      </c>
      <c r="L48" s="44">
        <v>0.59940000000000004</v>
      </c>
      <c r="M48" s="44">
        <v>0.51300000000000001</v>
      </c>
      <c r="N48" s="44">
        <f t="shared" si="11"/>
        <v>1.27224</v>
      </c>
      <c r="O48" s="1">
        <f t="shared" si="12"/>
        <v>1.2515849999999999</v>
      </c>
      <c r="P48" s="1">
        <f t="shared" si="13"/>
        <v>2.1062700000000003</v>
      </c>
      <c r="Q48" s="1">
        <f t="shared" si="14"/>
        <v>0.80837227420198032</v>
      </c>
      <c r="R48" s="1">
        <f t="shared" si="15"/>
        <v>0.60892190872643848</v>
      </c>
      <c r="S48" s="1">
        <f t="shared" si="16"/>
        <v>0.17548379289081673</v>
      </c>
      <c r="T48" s="27">
        <v>4.2913800000000002</v>
      </c>
      <c r="U48" s="27">
        <v>4.6494000000000009</v>
      </c>
      <c r="V48" s="27">
        <v>6.7262399999999998</v>
      </c>
      <c r="W48" s="29">
        <f t="shared" ref="W48:W51" si="26">K48/2</f>
        <v>0.27810000000000001</v>
      </c>
      <c r="X48" s="29">
        <f t="shared" ref="X48:X51" si="27">L48/2</f>
        <v>0.29970000000000002</v>
      </c>
      <c r="Y48" s="29">
        <f t="shared" ref="Y48:Y51" si="28">M48/2</f>
        <v>0.25650000000000001</v>
      </c>
      <c r="Z48" s="1">
        <v>5.7754605194144961</v>
      </c>
      <c r="AA48" s="1">
        <v>5.717237177897446</v>
      </c>
      <c r="AB48" s="1">
        <v>8.5003851496490448</v>
      </c>
      <c r="AC48" s="2">
        <v>4.2186293029965718</v>
      </c>
      <c r="AD48" s="2">
        <v>4.6809087603167621</v>
      </c>
      <c r="AE48" s="2">
        <v>6.1684005919817446</v>
      </c>
      <c r="AF48" s="2" t="s">
        <v>40</v>
      </c>
      <c r="AG48" s="2" t="s">
        <v>40</v>
      </c>
      <c r="AH48" s="2" t="s">
        <v>40</v>
      </c>
      <c r="AI48" s="29">
        <v>5.744171122783219E-2</v>
      </c>
      <c r="AJ48" s="29">
        <v>5.70844196804891E-2</v>
      </c>
      <c r="AK48" s="29">
        <v>5.5084569708666813E-2</v>
      </c>
      <c r="AL48" s="28">
        <v>26.251402676502604</v>
      </c>
      <c r="AM48" s="10">
        <v>25.203588713348999</v>
      </c>
      <c r="AN48" s="28">
        <v>25.705209006426507</v>
      </c>
      <c r="AO48" s="68">
        <v>0.29100246423814063</v>
      </c>
      <c r="AP48" s="68">
        <v>0.31409530845524469</v>
      </c>
      <c r="AQ48" s="68">
        <v>0.31672355969118338</v>
      </c>
      <c r="AR48" s="75">
        <v>36.069635246209806</v>
      </c>
      <c r="AS48" s="75">
        <v>38.256936672733161</v>
      </c>
      <c r="AT48" s="75">
        <v>40.115671634500245</v>
      </c>
      <c r="AU48" s="69">
        <v>0.29364119999999999</v>
      </c>
      <c r="AV48" s="69">
        <v>0.26156520000000005</v>
      </c>
      <c r="AW48" s="69">
        <v>0.24786000000000002</v>
      </c>
      <c r="AX48" s="76">
        <f t="shared" si="23"/>
        <v>1.8074021899635531</v>
      </c>
      <c r="AY48" s="76">
        <f t="shared" si="24"/>
        <v>2.3116436111107177</v>
      </c>
      <c r="AZ48" s="76">
        <f t="shared" si="25"/>
        <v>2.5341714133176212</v>
      </c>
      <c r="BA48" s="1">
        <f t="shared" si="17"/>
        <v>1.217401523744394</v>
      </c>
      <c r="BB48" s="1">
        <f t="shared" si="18"/>
        <v>1.1774121030550082</v>
      </c>
      <c r="BC48" s="1">
        <f t="shared" si="19"/>
        <v>0.6099401226090575</v>
      </c>
      <c r="BD48" s="1">
        <f>AC48/T48</f>
        <v>0.98304724890281714</v>
      </c>
      <c r="BE48" s="1">
        <f t="shared" si="21"/>
        <v>1.0067769519328862</v>
      </c>
      <c r="BF48" s="1">
        <f t="shared" si="22"/>
        <v>0.91706519422169663</v>
      </c>
      <c r="BG48" s="2">
        <v>22.74</v>
      </c>
      <c r="BH48" s="2">
        <v>17.91</v>
      </c>
      <c r="BI48" s="2">
        <v>45</v>
      </c>
      <c r="BJ48" s="37">
        <v>25</v>
      </c>
      <c r="BK48" s="36" t="s">
        <v>866</v>
      </c>
      <c r="BL48" s="4">
        <v>1.19</v>
      </c>
      <c r="BN48" s="21" t="s">
        <v>1410</v>
      </c>
      <c r="BO48" s="21" t="s">
        <v>924</v>
      </c>
      <c r="BP48" s="24" t="s">
        <v>1330</v>
      </c>
      <c r="BQ48" s="24" t="s">
        <v>1401</v>
      </c>
      <c r="BR48" s="20" t="s">
        <v>1098</v>
      </c>
    </row>
    <row r="49" spans="1:76" x14ac:dyDescent="0.25">
      <c r="A49" s="33" t="s">
        <v>1326</v>
      </c>
      <c r="B49" s="34" t="s">
        <v>1327</v>
      </c>
      <c r="C49" s="34" t="s">
        <v>1408</v>
      </c>
      <c r="D49" s="34" t="s">
        <v>1567</v>
      </c>
      <c r="E49" s="44">
        <v>0.4602</v>
      </c>
      <c r="F49" s="44">
        <v>0.25480000000000003</v>
      </c>
      <c r="G49" s="44">
        <v>0.39780000000000004</v>
      </c>
      <c r="H49" s="44">
        <v>0.21840000000000001</v>
      </c>
      <c r="I49" s="44">
        <v>0.44980000000000003</v>
      </c>
      <c r="J49" s="44">
        <v>0.3926</v>
      </c>
      <c r="K49" s="44">
        <v>0.1716</v>
      </c>
      <c r="L49" s="44">
        <v>0.18720000000000001</v>
      </c>
      <c r="M49" s="44">
        <v>0.22359999999999999</v>
      </c>
      <c r="N49" s="44">
        <f t="shared" si="11"/>
        <v>0.35750000000000004</v>
      </c>
      <c r="O49" s="1">
        <f t="shared" si="12"/>
        <v>0.30810000000000004</v>
      </c>
      <c r="P49" s="1">
        <f t="shared" si="13"/>
        <v>0.42120000000000002</v>
      </c>
      <c r="Q49" s="1">
        <f t="shared" si="14"/>
        <v>0.83273463124201552</v>
      </c>
      <c r="R49" s="1">
        <f t="shared" si="15"/>
        <v>0.8358094700371419</v>
      </c>
      <c r="S49" s="1">
        <f t="shared" si="16"/>
        <v>0.48802013686024126</v>
      </c>
      <c r="T49" s="27">
        <v>0.90792000000000006</v>
      </c>
      <c r="U49" s="27">
        <v>0.81952000000000003</v>
      </c>
      <c r="V49" s="27">
        <v>1.4196</v>
      </c>
      <c r="W49" s="29">
        <f t="shared" si="26"/>
        <v>8.5800000000000001E-2</v>
      </c>
      <c r="X49" s="29">
        <f t="shared" si="27"/>
        <v>9.3600000000000003E-2</v>
      </c>
      <c r="Y49" s="29">
        <f t="shared" si="28"/>
        <v>0.1118</v>
      </c>
      <c r="Z49" s="1">
        <v>0.31423269528267511</v>
      </c>
      <c r="AA49" s="1">
        <v>0.25455332855960744</v>
      </c>
      <c r="AB49" s="1">
        <v>0.41834140517067703</v>
      </c>
      <c r="AC49" s="2">
        <v>1.0086983043164512</v>
      </c>
      <c r="AD49" s="2">
        <v>0.92450388264486161</v>
      </c>
      <c r="AE49" s="2">
        <v>1.0325728264050249</v>
      </c>
      <c r="AF49" s="2" t="s">
        <v>40</v>
      </c>
      <c r="AG49" s="2" t="s">
        <v>40</v>
      </c>
      <c r="AH49" s="2" t="s">
        <v>40</v>
      </c>
      <c r="AI49" s="29">
        <v>1.8498618633690189E-2</v>
      </c>
      <c r="AJ49" s="29">
        <v>1.8556679977287008E-2</v>
      </c>
      <c r="AK49" s="29">
        <v>2.6251738735343592E-2</v>
      </c>
      <c r="AL49" s="10">
        <v>25.990156855176171</v>
      </c>
      <c r="AM49" s="10">
        <v>25.406321492292907</v>
      </c>
      <c r="AN49" s="10">
        <v>26.331560877777164</v>
      </c>
      <c r="AO49" s="68">
        <v>9.2206819001088083E-2</v>
      </c>
      <c r="AP49" s="68">
        <v>0.1127328342044311</v>
      </c>
      <c r="AQ49" s="68">
        <v>9.5399264089407743E-2</v>
      </c>
      <c r="AR49" s="75">
        <v>21.362672560882661</v>
      </c>
      <c r="AS49" s="75">
        <v>24.563531969187483</v>
      </c>
      <c r="AT49" s="75">
        <v>19.377131604955967</v>
      </c>
      <c r="AU49" s="68">
        <v>4.8000000000000001E-2</v>
      </c>
      <c r="AV49" s="68">
        <v>0.05</v>
      </c>
      <c r="AW49" s="68">
        <v>4.7E-2</v>
      </c>
      <c r="AX49" s="76">
        <f t="shared" si="23"/>
        <v>24.989499441555193</v>
      </c>
      <c r="AY49" s="76">
        <f t="shared" si="24"/>
        <v>25.143360159962352</v>
      </c>
      <c r="AZ49" s="76">
        <f t="shared" si="25"/>
        <v>25.658569136666799</v>
      </c>
      <c r="BA49" s="1">
        <f t="shared" si="17"/>
        <v>0.85301262667393674</v>
      </c>
      <c r="BB49" s="1">
        <f t="shared" si="18"/>
        <v>0.9326345385139525</v>
      </c>
      <c r="BC49" s="1">
        <f t="shared" si="19"/>
        <v>0.75406925105245881</v>
      </c>
      <c r="BD49" s="1">
        <f t="shared" si="20"/>
        <v>1.1109991015909455</v>
      </c>
      <c r="BE49" s="1">
        <f t="shared" si="21"/>
        <v>1.1281041129500946</v>
      </c>
      <c r="BF49" s="1">
        <f t="shared" si="22"/>
        <v>0.72736885489224068</v>
      </c>
      <c r="BG49" s="2">
        <v>4.2</v>
      </c>
      <c r="BH49" s="2">
        <v>3.6</v>
      </c>
      <c r="BI49" s="2">
        <v>0.2</v>
      </c>
      <c r="BJ49" s="37">
        <v>25.2</v>
      </c>
      <c r="BK49" s="36" t="s">
        <v>866</v>
      </c>
      <c r="BL49" s="4">
        <v>1.19</v>
      </c>
      <c r="BN49" s="21" t="s">
        <v>1410</v>
      </c>
      <c r="BO49" s="21" t="s">
        <v>924</v>
      </c>
      <c r="BP49" s="24" t="s">
        <v>1330</v>
      </c>
      <c r="BQ49" s="24" t="s">
        <v>1402</v>
      </c>
      <c r="BR49" s="20" t="s">
        <v>1098</v>
      </c>
    </row>
    <row r="50" spans="1:76" x14ac:dyDescent="0.25">
      <c r="A50" s="33" t="s">
        <v>1328</v>
      </c>
      <c r="B50" s="34" t="s">
        <v>1329</v>
      </c>
      <c r="C50" s="34" t="s">
        <v>1408</v>
      </c>
      <c r="D50" s="34" t="s">
        <v>1567</v>
      </c>
      <c r="E50" s="44">
        <v>1.1552500000000001</v>
      </c>
      <c r="F50" s="44">
        <v>0.64049999999999996</v>
      </c>
      <c r="G50" s="44">
        <v>0.95</v>
      </c>
      <c r="H50" s="44">
        <v>0.5595</v>
      </c>
      <c r="I50" s="44">
        <v>1.3585</v>
      </c>
      <c r="J50" s="44">
        <v>1.006</v>
      </c>
      <c r="K50" s="44">
        <v>0.3</v>
      </c>
      <c r="L50" s="44">
        <v>0.33</v>
      </c>
      <c r="M50" s="44">
        <v>0.28499999999999998</v>
      </c>
      <c r="N50" s="44">
        <f t="shared" si="11"/>
        <v>0.89787499999999998</v>
      </c>
      <c r="O50" s="1">
        <f t="shared" si="12"/>
        <v>0.75475000000000003</v>
      </c>
      <c r="P50" s="1">
        <f t="shared" si="13"/>
        <v>1.18225</v>
      </c>
      <c r="Q50" s="1">
        <f t="shared" si="14"/>
        <v>0.83223339362231519</v>
      </c>
      <c r="R50" s="1">
        <f t="shared" si="15"/>
        <v>0.80817139099940738</v>
      </c>
      <c r="S50" s="1">
        <f t="shared" si="16"/>
        <v>0.67203141791761423</v>
      </c>
      <c r="T50" s="27">
        <v>2.7654999999999998</v>
      </c>
      <c r="U50" s="27">
        <v>2.4039999999999999</v>
      </c>
      <c r="V50" s="27">
        <v>4.7370000000000001</v>
      </c>
      <c r="W50" s="29">
        <f t="shared" si="26"/>
        <v>0.15</v>
      </c>
      <c r="X50" s="29">
        <f t="shared" si="27"/>
        <v>0.16500000000000001</v>
      </c>
      <c r="Y50" s="29">
        <f t="shared" si="28"/>
        <v>0.14249999999999999</v>
      </c>
      <c r="Z50" s="1">
        <v>1.8360073562141099</v>
      </c>
      <c r="AA50" s="1">
        <v>1.5414914219807332</v>
      </c>
      <c r="AB50" s="1">
        <v>3.2112067095944763</v>
      </c>
      <c r="AC50" s="2">
        <v>2.6842367927093247</v>
      </c>
      <c r="AD50" s="2">
        <v>2.6359389929243204</v>
      </c>
      <c r="AE50" s="2">
        <v>4.0362865917176647</v>
      </c>
      <c r="AF50" s="2" t="s">
        <v>40</v>
      </c>
      <c r="AG50" s="2" t="s">
        <v>40</v>
      </c>
      <c r="AH50" s="2" t="s">
        <v>40</v>
      </c>
      <c r="AI50" s="29">
        <v>3.6727478837846245E-2</v>
      </c>
      <c r="AJ50" s="29">
        <v>4.1675186829012459E-2</v>
      </c>
      <c r="AK50" s="29">
        <v>3.5684006010759224E-2</v>
      </c>
      <c r="AL50" s="10">
        <v>26.393661344301741</v>
      </c>
      <c r="AM50" s="10">
        <v>26.243201609763464</v>
      </c>
      <c r="AN50" s="10">
        <v>26.149653200440152</v>
      </c>
      <c r="AO50" s="68">
        <v>0.1567496466205</v>
      </c>
      <c r="AP50" s="68">
        <v>0.16967759770445351</v>
      </c>
      <c r="AQ50" s="68">
        <v>0.1619541839292829</v>
      </c>
      <c r="AR50" s="75">
        <v>27.404276252121655</v>
      </c>
      <c r="AS50" s="75">
        <v>29.474963015879435</v>
      </c>
      <c r="AT50" s="75">
        <v>28.256141392703615</v>
      </c>
      <c r="AU50" s="68">
        <v>0.13400000000000001</v>
      </c>
      <c r="AV50" s="68">
        <v>0.16400000000000001</v>
      </c>
      <c r="AW50" s="68">
        <v>0.14899999999999999</v>
      </c>
      <c r="AX50" s="76">
        <f t="shared" si="23"/>
        <v>5.358103878871737</v>
      </c>
      <c r="AY50" s="76">
        <f t="shared" si="24"/>
        <v>3.8759368005508303</v>
      </c>
      <c r="AZ50" s="76">
        <f t="shared" si="25"/>
        <v>4.6088808036870255</v>
      </c>
      <c r="BA50" s="1">
        <f t="shared" si="17"/>
        <v>0.78982237535105171</v>
      </c>
      <c r="BB50" s="1">
        <f t="shared" si="18"/>
        <v>0.92313994465731031</v>
      </c>
      <c r="BC50" s="1">
        <f t="shared" si="19"/>
        <v>0.74792967790872922</v>
      </c>
      <c r="BD50" s="1">
        <f t="shared" si="20"/>
        <v>0.97061536528993853</v>
      </c>
      <c r="BE50" s="1">
        <f t="shared" si="21"/>
        <v>1.0964804463079536</v>
      </c>
      <c r="BF50" s="1">
        <f t="shared" si="22"/>
        <v>0.85207654458890958</v>
      </c>
      <c r="BG50" s="27">
        <v>22.86</v>
      </c>
      <c r="BH50" s="2">
        <v>15.9</v>
      </c>
      <c r="BI50" s="2">
        <v>57.5</v>
      </c>
      <c r="BJ50" s="37">
        <v>22</v>
      </c>
      <c r="BK50" s="36" t="s">
        <v>866</v>
      </c>
      <c r="BL50" s="4">
        <v>1.19</v>
      </c>
      <c r="BN50" s="21" t="s">
        <v>1410</v>
      </c>
      <c r="BO50" s="21" t="s">
        <v>924</v>
      </c>
      <c r="BP50" s="24" t="s">
        <v>1406</v>
      </c>
      <c r="BQ50" s="24" t="s">
        <v>1403</v>
      </c>
      <c r="BR50" s="20" t="s">
        <v>1098</v>
      </c>
    </row>
    <row r="51" spans="1:76" x14ac:dyDescent="0.25">
      <c r="A51" s="33" t="s">
        <v>1336</v>
      </c>
      <c r="B51" s="34" t="s">
        <v>1335</v>
      </c>
      <c r="C51" s="18" t="s">
        <v>1409</v>
      </c>
      <c r="D51" s="18" t="s">
        <v>1568</v>
      </c>
      <c r="E51" s="44">
        <f>6.74/2</f>
        <v>3.37</v>
      </c>
      <c r="F51" s="44">
        <f>2.83/2</f>
        <v>1.415</v>
      </c>
      <c r="G51" s="44">
        <f>5.88/2</f>
        <v>2.94</v>
      </c>
      <c r="H51" s="44">
        <f>2.83/2</f>
        <v>1.415</v>
      </c>
      <c r="I51" s="44">
        <f>5.25/2</f>
        <v>2.625</v>
      </c>
      <c r="J51" s="44">
        <f>3.68/2</f>
        <v>1.84</v>
      </c>
      <c r="K51" s="44">
        <v>0.89</v>
      </c>
      <c r="L51" s="44">
        <v>1.0900000000000001</v>
      </c>
      <c r="M51" s="44">
        <v>1.01</v>
      </c>
      <c r="N51" s="44">
        <f t="shared" si="11"/>
        <v>2.3925000000000001</v>
      </c>
      <c r="O51" s="1">
        <f t="shared" si="12"/>
        <v>2.1775000000000002</v>
      </c>
      <c r="P51" s="1">
        <f t="shared" si="13"/>
        <v>2.2324999999999999</v>
      </c>
      <c r="Q51" s="1">
        <f t="shared" si="14"/>
        <v>0.90757902640802768</v>
      </c>
      <c r="R51" s="1">
        <f t="shared" si="15"/>
        <v>0.8765600453324669</v>
      </c>
      <c r="S51" s="1">
        <f t="shared" si="16"/>
        <v>0.71320807597586011</v>
      </c>
      <c r="T51" s="27">
        <f>0.53+0.77+0.8+0.85+0.94+0.9+0.79+0.71+0.68+0.57+0.55</f>
        <v>8.09</v>
      </c>
      <c r="U51" s="27">
        <f>0.66+0.52+0.83+0.92+1.1+0.83+0.73+0.63+0.63+0.49+0.82</f>
        <v>8.16</v>
      </c>
      <c r="V51" s="27">
        <f>0.81+1.09+0.79+0.88+0.76+0.86+0.76+0.74+0.72+0.62+0.48</f>
        <v>8.51</v>
      </c>
      <c r="W51" s="29">
        <f t="shared" si="26"/>
        <v>0.44500000000000001</v>
      </c>
      <c r="X51" s="29">
        <f t="shared" si="27"/>
        <v>0.54500000000000004</v>
      </c>
      <c r="Y51" s="29">
        <f t="shared" si="28"/>
        <v>0.505</v>
      </c>
      <c r="Z51" s="1">
        <v>14.882560670469537</v>
      </c>
      <c r="AA51" s="1">
        <v>13.456450337968668</v>
      </c>
      <c r="AB51" s="1">
        <v>14.430145412577405</v>
      </c>
      <c r="AC51" s="2">
        <v>8.5983071215206621</v>
      </c>
      <c r="AD51" s="2">
        <v>8.8492820553104448</v>
      </c>
      <c r="AE51" s="2">
        <v>7.9255213694808573</v>
      </c>
      <c r="AF51" s="2" t="s">
        <v>40</v>
      </c>
      <c r="AG51" s="2" t="s">
        <v>40</v>
      </c>
      <c r="AH51" s="2" t="s">
        <v>40</v>
      </c>
      <c r="AI51" s="50">
        <v>0.19</v>
      </c>
      <c r="AJ51" s="50">
        <v>0.16</v>
      </c>
      <c r="AK51" s="50">
        <v>0.17</v>
      </c>
      <c r="AL51" s="10">
        <v>27.706088058654924</v>
      </c>
      <c r="AM51" s="10">
        <v>26.540555593566161</v>
      </c>
      <c r="AN51" s="10">
        <v>27.186978431689326</v>
      </c>
      <c r="AO51" s="68">
        <v>0.42179565482905862</v>
      </c>
      <c r="AP51" s="68">
        <v>0.48453646131321582</v>
      </c>
      <c r="AQ51" s="68">
        <v>0.34031158557165997</v>
      </c>
      <c r="AR51" s="75">
        <v>42.288299030451654</v>
      </c>
      <c r="AS51" s="75">
        <v>45.641061749091726</v>
      </c>
      <c r="AT51" s="75">
        <v>47.957274095940583</v>
      </c>
      <c r="AU51" s="68">
        <v>0.98799999999999999</v>
      </c>
      <c r="AV51" s="68">
        <v>0.89</v>
      </c>
      <c r="AW51" s="68">
        <v>0.78400000000000003</v>
      </c>
      <c r="AX51" s="76">
        <f t="shared" si="23"/>
        <v>0.26290609589540387</v>
      </c>
      <c r="AY51" s="76">
        <f t="shared" si="24"/>
        <v>0.33828454300305172</v>
      </c>
      <c r="AZ51" s="76">
        <f t="shared" si="25"/>
        <v>0.38682100381421536</v>
      </c>
      <c r="BA51" s="1">
        <f t="shared" si="17"/>
        <v>0.99343955565958575</v>
      </c>
      <c r="BB51" s="1">
        <f t="shared" si="18"/>
        <v>1.0296197628702768</v>
      </c>
      <c r="BC51" s="1">
        <f t="shared" si="19"/>
        <v>0.95098508155135875</v>
      </c>
      <c r="BD51" s="1">
        <f t="shared" si="20"/>
        <v>1.0628315354166455</v>
      </c>
      <c r="BE51" s="1">
        <f t="shared" si="21"/>
        <v>1.0844708401115741</v>
      </c>
      <c r="BF51" s="1">
        <f t="shared" si="22"/>
        <v>0.93131860980973646</v>
      </c>
      <c r="BG51" s="2">
        <v>52.56315789473684</v>
      </c>
      <c r="BH51" s="2">
        <v>33.299999999999997</v>
      </c>
      <c r="BI51" s="2">
        <v>2500</v>
      </c>
      <c r="BJ51" s="38">
        <v>25.6</v>
      </c>
      <c r="BK51" s="36" t="s">
        <v>866</v>
      </c>
      <c r="BL51" s="4">
        <v>1.19</v>
      </c>
      <c r="BN51" s="21" t="s">
        <v>1617</v>
      </c>
      <c r="BO51" s="21" t="s">
        <v>1616</v>
      </c>
      <c r="BP51" s="24" t="s">
        <v>1411</v>
      </c>
      <c r="BQ51" s="24" t="s">
        <v>1404</v>
      </c>
      <c r="BR51" s="20" t="s">
        <v>1098</v>
      </c>
    </row>
    <row r="52" spans="1:76" x14ac:dyDescent="0.25">
      <c r="E52" s="1"/>
      <c r="F52" s="1"/>
      <c r="G52" s="1"/>
      <c r="H52" s="1"/>
      <c r="I52" s="1"/>
      <c r="J52" s="1"/>
      <c r="K52" s="1"/>
      <c r="L52" s="1"/>
      <c r="M52" s="1"/>
      <c r="N52" s="1"/>
      <c r="O52" s="1"/>
      <c r="P52" s="1"/>
      <c r="Q52" s="1"/>
      <c r="R52" s="1"/>
      <c r="S52" s="1"/>
      <c r="T52" s="2"/>
      <c r="U52" s="2"/>
      <c r="V52" s="2"/>
      <c r="W52" s="29"/>
      <c r="X52" s="29"/>
      <c r="Y52" s="29"/>
      <c r="Z52" s="1"/>
      <c r="AB52" s="1"/>
      <c r="AC52" s="2"/>
      <c r="AD52" s="2"/>
      <c r="AE52" s="2"/>
      <c r="AF52" s="2"/>
      <c r="AG52" s="2"/>
      <c r="AH52" s="2"/>
      <c r="AI52" s="1"/>
      <c r="AJ52" s="1"/>
      <c r="AK52" s="1"/>
      <c r="AL52" s="10"/>
      <c r="AM52" s="10"/>
      <c r="AN52" s="10"/>
      <c r="AO52" s="68"/>
      <c r="AP52" s="68"/>
      <c r="AQ52" s="68"/>
      <c r="AR52" s="72"/>
      <c r="AS52" s="72"/>
      <c r="AT52" s="72"/>
      <c r="AU52" s="1"/>
      <c r="AV52" s="1"/>
      <c r="AW52" s="1"/>
      <c r="AX52" s="29"/>
      <c r="AY52" s="29"/>
      <c r="AZ52" s="29"/>
      <c r="BI52" s="2"/>
    </row>
    <row r="53" spans="1:76" x14ac:dyDescent="0.25">
      <c r="E53" s="1"/>
      <c r="F53" s="1"/>
      <c r="G53" s="1"/>
      <c r="H53" s="1"/>
      <c r="I53" s="1"/>
      <c r="J53" s="1"/>
      <c r="K53" s="44"/>
      <c r="L53" s="44"/>
      <c r="M53" s="44"/>
      <c r="N53" s="1"/>
      <c r="O53" s="1"/>
      <c r="P53" s="1"/>
      <c r="Q53" s="1"/>
      <c r="R53" s="1"/>
      <c r="S53" s="1"/>
      <c r="T53" s="2"/>
      <c r="U53" s="2"/>
      <c r="V53" s="2"/>
      <c r="W53" s="29"/>
      <c r="X53" s="29"/>
      <c r="Y53" s="29"/>
      <c r="Z53" s="1"/>
      <c r="AB53" s="1"/>
      <c r="AC53" s="2"/>
      <c r="AD53" s="2"/>
      <c r="AE53" s="2"/>
      <c r="AF53" s="2"/>
      <c r="AG53" s="2"/>
      <c r="AH53" s="2"/>
      <c r="AI53" s="29"/>
      <c r="AJ53" s="29"/>
      <c r="AK53" s="29"/>
      <c r="AL53" s="10"/>
      <c r="AM53" s="10"/>
      <c r="AN53" s="10"/>
      <c r="AO53" s="68"/>
      <c r="AP53" s="68"/>
      <c r="AQ53" s="68"/>
      <c r="AR53" s="73"/>
      <c r="AS53" s="73"/>
      <c r="AT53" s="73"/>
      <c r="AV53" s="68"/>
      <c r="AW53" s="68"/>
      <c r="AX53" s="29"/>
      <c r="AY53" s="29"/>
      <c r="AZ53" s="29"/>
      <c r="BI53" s="2"/>
    </row>
    <row r="54" spans="1:76" x14ac:dyDescent="0.25">
      <c r="A54" t="s">
        <v>1498</v>
      </c>
      <c r="E54" s="1"/>
      <c r="F54" s="1"/>
      <c r="G54" s="1"/>
      <c r="H54" s="1"/>
      <c r="I54" s="1"/>
      <c r="J54" s="1"/>
      <c r="K54" s="1"/>
      <c r="L54" s="1"/>
      <c r="M54" s="1"/>
      <c r="N54" s="1"/>
      <c r="O54" s="1"/>
      <c r="P54" s="1"/>
      <c r="Q54" s="1"/>
      <c r="R54" s="1"/>
      <c r="S54" s="1"/>
      <c r="T54" s="2"/>
      <c r="U54" s="2"/>
      <c r="V54" s="2"/>
      <c r="W54" s="1"/>
      <c r="X54" s="1"/>
      <c r="Y54" s="1"/>
      <c r="AO54" s="68"/>
      <c r="AP54" s="68"/>
      <c r="AQ54" s="68"/>
      <c r="AR54" s="72"/>
      <c r="AS54" s="72"/>
      <c r="AT54" s="72"/>
      <c r="BG54" s="2"/>
      <c r="BH54" s="2"/>
      <c r="BI54" s="2"/>
      <c r="BJ54" s="2"/>
      <c r="BK54" s="4"/>
      <c r="BL54" s="4"/>
      <c r="BN54" s="21"/>
      <c r="BR54" s="2"/>
      <c r="BS54" s="29"/>
      <c r="BT54" s="29"/>
      <c r="BU54" s="29"/>
      <c r="BX54" s="2"/>
    </row>
    <row r="55" spans="1:76" x14ac:dyDescent="0.25">
      <c r="A55" s="5" t="s">
        <v>810</v>
      </c>
      <c r="B55" s="6" t="s">
        <v>811</v>
      </c>
      <c r="W55" s="1"/>
      <c r="AI55" s="71"/>
      <c r="AJ55" s="71"/>
      <c r="AK55" s="71"/>
      <c r="AL55" s="10"/>
      <c r="AM55" s="10"/>
      <c r="AN55" s="10"/>
      <c r="AO55" s="68"/>
      <c r="AP55" s="68"/>
      <c r="AQ55" s="68"/>
      <c r="AR55" s="72"/>
      <c r="AS55" s="72"/>
      <c r="AT55" s="72"/>
      <c r="AU55" s="68"/>
      <c r="AV55" s="68"/>
      <c r="AW55" s="68"/>
    </row>
    <row r="56" spans="1:76" x14ac:dyDescent="0.25">
      <c r="A56" s="5" t="s">
        <v>812</v>
      </c>
      <c r="B56" s="6" t="s">
        <v>813</v>
      </c>
      <c r="N56" s="6"/>
      <c r="O56" s="6"/>
      <c r="P56" s="6"/>
      <c r="Q56" s="6"/>
      <c r="R56" s="6"/>
      <c r="S56" s="6"/>
      <c r="T56" s="6"/>
      <c r="U56" s="6"/>
      <c r="V56" s="6"/>
      <c r="W56" s="6"/>
      <c r="X56" s="6"/>
      <c r="Y56" s="6"/>
      <c r="AI56" s="71"/>
      <c r="AJ56" s="71"/>
      <c r="AK56" s="71"/>
      <c r="AL56" s="10"/>
      <c r="AM56" s="10"/>
      <c r="AN56" s="10"/>
      <c r="AO56" s="68"/>
      <c r="AP56" s="68"/>
      <c r="AQ56" s="68"/>
      <c r="AR56" s="72"/>
      <c r="AS56" s="72"/>
      <c r="AT56" s="72"/>
      <c r="AU56" s="68"/>
      <c r="AV56" s="68"/>
      <c r="AW56" s="68"/>
      <c r="BO56" s="21"/>
      <c r="BP56" s="24"/>
      <c r="BQ56" s="24"/>
    </row>
    <row r="57" spans="1:76" x14ac:dyDescent="0.25">
      <c r="A57" s="5" t="s">
        <v>817</v>
      </c>
      <c r="B57" s="6" t="s">
        <v>818</v>
      </c>
      <c r="AI57" s="71"/>
      <c r="AJ57" s="71"/>
      <c r="AK57" s="71"/>
      <c r="AL57" s="10"/>
      <c r="AM57" s="10"/>
      <c r="AN57" s="10"/>
      <c r="AO57" s="68"/>
      <c r="AP57" s="68"/>
      <c r="AQ57" s="68"/>
      <c r="AR57" s="72"/>
      <c r="AS57" s="72"/>
      <c r="AT57" s="72"/>
      <c r="AU57" s="68"/>
      <c r="AV57" s="68"/>
      <c r="AW57" s="68"/>
    </row>
    <row r="58" spans="1:76" x14ac:dyDescent="0.25">
      <c r="A58" s="5" t="s">
        <v>819</v>
      </c>
      <c r="B58" s="6" t="s">
        <v>820</v>
      </c>
      <c r="AL58" s="10"/>
    </row>
    <row r="59" spans="1:76" x14ac:dyDescent="0.25">
      <c r="A59" s="5" t="s">
        <v>824</v>
      </c>
      <c r="B59" s="6" t="s">
        <v>825</v>
      </c>
      <c r="AL59" s="10"/>
      <c r="AM59" s="10"/>
      <c r="AN59" s="10"/>
      <c r="AO59" s="68"/>
      <c r="AP59" s="68"/>
      <c r="AQ59" s="68"/>
      <c r="AR59" s="72"/>
      <c r="AS59" s="72"/>
      <c r="AT59" s="72"/>
      <c r="AU59" s="68"/>
      <c r="AV59" s="68"/>
      <c r="AW59" s="68"/>
    </row>
    <row r="60" spans="1:76" x14ac:dyDescent="0.25">
      <c r="A60" s="5" t="s">
        <v>826</v>
      </c>
      <c r="B60" s="6" t="s">
        <v>827</v>
      </c>
      <c r="AL60" s="10"/>
      <c r="AM60" s="10"/>
      <c r="AN60" s="10"/>
      <c r="AO60" s="68"/>
      <c r="AP60" s="68"/>
      <c r="AQ60" s="68"/>
      <c r="AR60" s="72"/>
      <c r="AS60" s="72"/>
      <c r="AT60" s="72"/>
      <c r="AU60" s="68"/>
      <c r="AV60" s="68"/>
      <c r="AW60" s="68"/>
    </row>
    <row r="61" spans="1:76" x14ac:dyDescent="0.25">
      <c r="A61" s="5" t="s">
        <v>837</v>
      </c>
      <c r="B61" s="6" t="s">
        <v>838</v>
      </c>
      <c r="AH61" s="22"/>
      <c r="AI61" s="6"/>
      <c r="AJ61" s="6"/>
      <c r="AK61" s="6"/>
      <c r="AL61" s="6"/>
      <c r="AM61" s="6"/>
      <c r="AN61" s="6"/>
      <c r="AO61" s="9"/>
      <c r="AP61" s="9"/>
      <c r="AQ61" s="9"/>
      <c r="AR61" s="72"/>
      <c r="AS61" s="72"/>
      <c r="AT61" s="72"/>
      <c r="AU61" s="68"/>
      <c r="AV61" s="68"/>
      <c r="AW61" s="68"/>
    </row>
    <row r="62" spans="1:76" x14ac:dyDescent="0.25">
      <c r="A62" s="5" t="s">
        <v>839</v>
      </c>
      <c r="B62" s="6" t="s">
        <v>840</v>
      </c>
      <c r="AD62" s="2"/>
      <c r="AH62" s="22"/>
      <c r="AI62" s="6"/>
      <c r="AJ62" s="6"/>
      <c r="AK62" s="6"/>
      <c r="AL62" s="6"/>
      <c r="AM62" s="6"/>
      <c r="AN62" s="6"/>
      <c r="AO62" s="9"/>
      <c r="AP62" s="9"/>
      <c r="AQ62" s="9"/>
      <c r="AR62" s="72"/>
      <c r="AS62" s="72"/>
      <c r="AT62" s="72"/>
      <c r="AU62" s="68"/>
      <c r="AV62" s="68"/>
      <c r="AW62" s="68"/>
    </row>
    <row r="63" spans="1:76" x14ac:dyDescent="0.25">
      <c r="A63" s="5" t="s">
        <v>841</v>
      </c>
      <c r="B63" s="6" t="s">
        <v>842</v>
      </c>
      <c r="AD63" s="2"/>
      <c r="AH63" s="22"/>
      <c r="AI63" s="6"/>
      <c r="AJ63" s="6"/>
      <c r="AK63" s="6"/>
      <c r="AL63" s="6"/>
      <c r="AM63" s="6"/>
      <c r="AN63" s="6"/>
      <c r="AO63" s="9"/>
      <c r="AP63" s="9"/>
      <c r="AQ63" s="9"/>
      <c r="AR63" s="72"/>
      <c r="AS63" s="72"/>
      <c r="AT63" s="72"/>
      <c r="AU63" s="68"/>
      <c r="AV63" s="68"/>
      <c r="AW63" s="68"/>
    </row>
    <row r="64" spans="1:76" x14ac:dyDescent="0.25">
      <c r="A64" s="5" t="s">
        <v>814</v>
      </c>
      <c r="B64" s="6" t="s">
        <v>815</v>
      </c>
      <c r="AD64" s="2"/>
      <c r="AL64" s="10"/>
      <c r="AM64" s="10"/>
      <c r="AN64" s="10"/>
      <c r="AO64" s="68"/>
      <c r="AP64" s="68"/>
      <c r="AQ64" s="68"/>
      <c r="AR64" s="72"/>
      <c r="AS64" s="72"/>
      <c r="AT64" s="72"/>
      <c r="AU64" s="68"/>
      <c r="AV64" s="68"/>
      <c r="AW64" s="68"/>
    </row>
    <row r="65" spans="1:49" x14ac:dyDescent="0.25">
      <c r="A65" s="5" t="s">
        <v>821</v>
      </c>
      <c r="B65" s="6" t="s">
        <v>822</v>
      </c>
      <c r="AD65" s="2"/>
      <c r="AL65" s="10"/>
      <c r="AM65" s="10"/>
      <c r="AN65" s="10"/>
      <c r="AO65" s="68"/>
      <c r="AP65" s="68"/>
      <c r="AQ65" s="68"/>
      <c r="AR65" s="72"/>
      <c r="AS65" s="72"/>
      <c r="AT65" s="72"/>
      <c r="AU65" s="68"/>
      <c r="AV65" s="68"/>
      <c r="AW65" s="68"/>
    </row>
    <row r="66" spans="1:49" x14ac:dyDescent="0.25">
      <c r="A66" s="5" t="s">
        <v>828</v>
      </c>
      <c r="B66" s="6" t="s">
        <v>829</v>
      </c>
      <c r="AD66" s="2"/>
      <c r="AL66" s="10"/>
      <c r="AM66" s="10"/>
      <c r="AN66" s="10"/>
      <c r="AO66" s="68"/>
      <c r="AP66" s="68"/>
      <c r="AQ66" s="68"/>
      <c r="AR66" s="72"/>
      <c r="AS66" s="72"/>
      <c r="AT66" s="72"/>
      <c r="AU66" s="68"/>
      <c r="AV66" s="68"/>
      <c r="AW66" s="68"/>
    </row>
    <row r="67" spans="1:49" x14ac:dyDescent="0.25">
      <c r="A67" s="5" t="s">
        <v>6</v>
      </c>
      <c r="B67" s="6" t="s">
        <v>816</v>
      </c>
      <c r="AD67" s="2"/>
      <c r="AL67" s="10"/>
      <c r="AM67" s="10"/>
      <c r="AN67" s="10"/>
      <c r="AO67" s="68"/>
      <c r="AP67" s="68"/>
      <c r="AQ67" s="68"/>
      <c r="AR67" s="72"/>
      <c r="AS67" s="72"/>
      <c r="AT67" s="72"/>
      <c r="AU67" s="68"/>
      <c r="AV67" s="68"/>
      <c r="AW67" s="68"/>
    </row>
    <row r="68" spans="1:49" x14ac:dyDescent="0.25">
      <c r="A68" s="5" t="s">
        <v>10</v>
      </c>
      <c r="B68" s="6" t="s">
        <v>823</v>
      </c>
      <c r="AD68" s="2"/>
      <c r="AL68" s="10"/>
      <c r="AM68" s="10"/>
      <c r="AN68" s="10"/>
      <c r="AO68" s="68"/>
      <c r="AP68" s="68"/>
      <c r="AQ68" s="68"/>
      <c r="AR68" s="72"/>
      <c r="AS68" s="72"/>
      <c r="AT68" s="72"/>
      <c r="AU68" s="68"/>
      <c r="AV68" s="68"/>
      <c r="AW68" s="68"/>
    </row>
    <row r="69" spans="1:49" x14ac:dyDescent="0.25">
      <c r="A69" s="5" t="s">
        <v>14</v>
      </c>
      <c r="B69" s="6" t="s">
        <v>830</v>
      </c>
      <c r="AL69" s="10"/>
      <c r="AM69" s="10"/>
      <c r="AN69" s="10"/>
      <c r="AO69" s="68"/>
      <c r="AP69" s="68"/>
      <c r="AQ69" s="68"/>
      <c r="AR69" s="72"/>
      <c r="AS69" s="72"/>
      <c r="AT69" s="72"/>
      <c r="AU69" s="68"/>
      <c r="AV69" s="68"/>
      <c r="AW69" s="68"/>
    </row>
    <row r="70" spans="1:49" x14ac:dyDescent="0.25">
      <c r="A70" s="7" t="s">
        <v>831</v>
      </c>
      <c r="B70" s="6" t="s">
        <v>832</v>
      </c>
      <c r="AL70" s="10"/>
      <c r="AM70" s="10"/>
      <c r="AN70" s="10"/>
      <c r="AO70" s="68"/>
      <c r="AP70" s="68"/>
      <c r="AQ70" s="68"/>
      <c r="AR70" s="72"/>
      <c r="AS70" s="72"/>
      <c r="AT70" s="72"/>
      <c r="AU70" s="68"/>
      <c r="AV70" s="68"/>
      <c r="AW70" s="68"/>
    </row>
    <row r="71" spans="1:49" x14ac:dyDescent="0.25">
      <c r="A71" s="7" t="s">
        <v>833</v>
      </c>
      <c r="B71" s="6" t="s">
        <v>834</v>
      </c>
    </row>
    <row r="72" spans="1:49" x14ac:dyDescent="0.25">
      <c r="A72" s="7" t="s">
        <v>835</v>
      </c>
      <c r="B72" s="6" t="s">
        <v>836</v>
      </c>
    </row>
    <row r="73" spans="1:49" x14ac:dyDescent="0.25">
      <c r="A73" s="5" t="s">
        <v>851</v>
      </c>
      <c r="B73" s="6" t="s">
        <v>854</v>
      </c>
    </row>
    <row r="74" spans="1:49" x14ac:dyDescent="0.25">
      <c r="A74" s="5" t="s">
        <v>852</v>
      </c>
      <c r="B74" s="6" t="s">
        <v>855</v>
      </c>
    </row>
    <row r="75" spans="1:49" x14ac:dyDescent="0.25">
      <c r="A75" s="5" t="s">
        <v>853</v>
      </c>
      <c r="B75" s="6" t="s">
        <v>856</v>
      </c>
    </row>
    <row r="76" spans="1:49" x14ac:dyDescent="0.25">
      <c r="A76" s="5"/>
      <c r="B76" s="6"/>
    </row>
    <row r="77" spans="1:49" x14ac:dyDescent="0.25">
      <c r="A77" s="5" t="s">
        <v>1499</v>
      </c>
      <c r="B77" s="6"/>
    </row>
    <row r="78" spans="1:49" x14ac:dyDescent="0.25">
      <c r="A78" t="s">
        <v>1247</v>
      </c>
      <c r="B78" s="7" t="s">
        <v>1248</v>
      </c>
    </row>
    <row r="79" spans="1:49" x14ac:dyDescent="0.25">
      <c r="A79" t="s">
        <v>1249</v>
      </c>
      <c r="B79" s="7" t="s">
        <v>1250</v>
      </c>
    </row>
    <row r="80" spans="1:49" x14ac:dyDescent="0.25">
      <c r="A80" t="s">
        <v>1251</v>
      </c>
      <c r="B80" s="7" t="s">
        <v>1252</v>
      </c>
    </row>
    <row r="81" spans="1:2" x14ac:dyDescent="0.25">
      <c r="A81" s="7" t="s">
        <v>1241</v>
      </c>
      <c r="B81" s="6" t="s">
        <v>1242</v>
      </c>
    </row>
    <row r="82" spans="1:2" x14ac:dyDescent="0.25">
      <c r="A82" s="7" t="s">
        <v>1243</v>
      </c>
      <c r="B82" s="6" t="s">
        <v>1244</v>
      </c>
    </row>
    <row r="83" spans="1:2" x14ac:dyDescent="0.25">
      <c r="A83" s="7" t="s">
        <v>1245</v>
      </c>
      <c r="B83" s="6" t="s">
        <v>1246</v>
      </c>
    </row>
    <row r="84" spans="1:2" x14ac:dyDescent="0.25">
      <c r="A84" s="5" t="s">
        <v>1502</v>
      </c>
      <c r="B84" s="6" t="s">
        <v>1536</v>
      </c>
    </row>
    <row r="85" spans="1:2" x14ac:dyDescent="0.25">
      <c r="A85" s="5" t="s">
        <v>1503</v>
      </c>
      <c r="B85" s="6" t="s">
        <v>1537</v>
      </c>
    </row>
    <row r="86" spans="1:2" x14ac:dyDescent="0.25">
      <c r="A86" s="5" t="s">
        <v>1504</v>
      </c>
      <c r="B86" s="6" t="s">
        <v>1538</v>
      </c>
    </row>
    <row r="87" spans="1:2" x14ac:dyDescent="0.25">
      <c r="A87" s="31" t="s">
        <v>1235</v>
      </c>
      <c r="B87" s="7" t="s">
        <v>1236</v>
      </c>
    </row>
    <row r="88" spans="1:2" x14ac:dyDescent="0.25">
      <c r="A88" s="31" t="s">
        <v>1237</v>
      </c>
      <c r="B88" s="7" t="s">
        <v>1238</v>
      </c>
    </row>
    <row r="89" spans="1:2" x14ac:dyDescent="0.25">
      <c r="A89" s="31" t="s">
        <v>1239</v>
      </c>
      <c r="B89" s="7" t="s">
        <v>1240</v>
      </c>
    </row>
    <row r="90" spans="1:2" x14ac:dyDescent="0.25">
      <c r="A90" s="7" t="s">
        <v>1177</v>
      </c>
      <c r="B90" s="7" t="s">
        <v>1232</v>
      </c>
    </row>
    <row r="91" spans="1:2" x14ac:dyDescent="0.25">
      <c r="A91" s="7" t="s">
        <v>1178</v>
      </c>
      <c r="B91" s="7" t="s">
        <v>1233</v>
      </c>
    </row>
    <row r="92" spans="1:2" x14ac:dyDescent="0.25">
      <c r="A92" s="7" t="s">
        <v>1179</v>
      </c>
      <c r="B92" s="7" t="s">
        <v>1234</v>
      </c>
    </row>
    <row r="93" spans="1:2" x14ac:dyDescent="0.25">
      <c r="A93" s="7" t="s">
        <v>1505</v>
      </c>
      <c r="B93" s="7" t="s">
        <v>1517</v>
      </c>
    </row>
    <row r="94" spans="1:2" x14ac:dyDescent="0.25">
      <c r="A94" s="7" t="s">
        <v>1506</v>
      </c>
      <c r="B94" s="7" t="s">
        <v>1518</v>
      </c>
    </row>
    <row r="95" spans="1:2" x14ac:dyDescent="0.25">
      <c r="A95" s="7" t="s">
        <v>1507</v>
      </c>
      <c r="B95" s="7" t="s">
        <v>1519</v>
      </c>
    </row>
    <row r="96" spans="1:2" x14ac:dyDescent="0.25">
      <c r="A96" s="7" t="s">
        <v>1511</v>
      </c>
      <c r="B96" s="7" t="s">
        <v>1526</v>
      </c>
    </row>
    <row r="97" spans="1:2" x14ac:dyDescent="0.25">
      <c r="A97" s="7" t="s">
        <v>1512</v>
      </c>
      <c r="B97" s="7" t="s">
        <v>1527</v>
      </c>
    </row>
    <row r="98" spans="1:2" x14ac:dyDescent="0.25">
      <c r="A98" s="7" t="s">
        <v>1513</v>
      </c>
      <c r="B98" s="7" t="s">
        <v>1528</v>
      </c>
    </row>
    <row r="99" spans="1:2" x14ac:dyDescent="0.25">
      <c r="A99" s="7" t="s">
        <v>1520</v>
      </c>
      <c r="B99" s="7" t="s">
        <v>1529</v>
      </c>
    </row>
    <row r="100" spans="1:2" x14ac:dyDescent="0.25">
      <c r="A100" s="7" t="s">
        <v>1521</v>
      </c>
      <c r="B100" s="7" t="s">
        <v>1530</v>
      </c>
    </row>
    <row r="101" spans="1:2" x14ac:dyDescent="0.25">
      <c r="A101" s="7" t="s">
        <v>1522</v>
      </c>
      <c r="B101" s="7" t="s">
        <v>1531</v>
      </c>
    </row>
    <row r="102" spans="1:2" x14ac:dyDescent="0.25">
      <c r="A102" t="s">
        <v>1253</v>
      </c>
      <c r="B102" s="7" t="s">
        <v>1618</v>
      </c>
    </row>
    <row r="103" spans="1:2" x14ac:dyDescent="0.25">
      <c r="A103" t="s">
        <v>1254</v>
      </c>
      <c r="B103" s="7" t="s">
        <v>1619</v>
      </c>
    </row>
    <row r="104" spans="1:2" x14ac:dyDescent="0.25">
      <c r="A104" t="s">
        <v>1255</v>
      </c>
      <c r="B104" s="7" t="s">
        <v>1620</v>
      </c>
    </row>
    <row r="105" spans="1:2" x14ac:dyDescent="0.25">
      <c r="A105" s="7" t="s">
        <v>1267</v>
      </c>
      <c r="B105" s="7" t="s">
        <v>1276</v>
      </c>
    </row>
    <row r="106" spans="1:2" x14ac:dyDescent="0.25">
      <c r="A106" s="7" t="s">
        <v>1268</v>
      </c>
      <c r="B106" s="7" t="s">
        <v>1277</v>
      </c>
    </row>
    <row r="107" spans="1:2" x14ac:dyDescent="0.25">
      <c r="A107" s="7" t="s">
        <v>1269</v>
      </c>
      <c r="B107" s="7" t="s">
        <v>1278</v>
      </c>
    </row>
    <row r="108" spans="1:2" x14ac:dyDescent="0.25">
      <c r="A108" s="7" t="s">
        <v>1270</v>
      </c>
      <c r="B108" s="7" t="s">
        <v>1273</v>
      </c>
    </row>
    <row r="109" spans="1:2" x14ac:dyDescent="0.25">
      <c r="A109" s="7" t="s">
        <v>1271</v>
      </c>
      <c r="B109" s="7" t="s">
        <v>1274</v>
      </c>
    </row>
    <row r="110" spans="1:2" x14ac:dyDescent="0.25">
      <c r="A110" s="7" t="s">
        <v>1272</v>
      </c>
      <c r="B110" s="7" t="s">
        <v>1275</v>
      </c>
    </row>
    <row r="111" spans="1:2" x14ac:dyDescent="0.25">
      <c r="A111" s="7"/>
      <c r="B111" s="7"/>
    </row>
    <row r="112" spans="1:2" x14ac:dyDescent="0.25">
      <c r="A112" s="7" t="s">
        <v>843</v>
      </c>
      <c r="B112" s="6" t="s">
        <v>857</v>
      </c>
    </row>
    <row r="113" spans="1:2" x14ac:dyDescent="0.25">
      <c r="A113" s="7" t="s">
        <v>858</v>
      </c>
      <c r="B113" s="6" t="s">
        <v>859</v>
      </c>
    </row>
    <row r="114" spans="1:2" x14ac:dyDescent="0.25">
      <c r="A114" s="7" t="s">
        <v>860</v>
      </c>
      <c r="B114" s="6" t="s">
        <v>861</v>
      </c>
    </row>
    <row r="115" spans="1:2" x14ac:dyDescent="0.25">
      <c r="A115" s="7" t="s">
        <v>862</v>
      </c>
      <c r="B115" s="6" t="s">
        <v>863</v>
      </c>
    </row>
    <row r="116" spans="1:2" x14ac:dyDescent="0.25">
      <c r="A116" s="7" t="s">
        <v>846</v>
      </c>
      <c r="B116" s="6" t="s">
        <v>864</v>
      </c>
    </row>
    <row r="117" spans="1:2" x14ac:dyDescent="0.25">
      <c r="A117" s="7" t="s">
        <v>847</v>
      </c>
      <c r="B117" s="6" t="s">
        <v>865</v>
      </c>
    </row>
    <row r="119" spans="1:2" x14ac:dyDescent="0.25">
      <c r="A119" s="77" t="s">
        <v>844</v>
      </c>
    </row>
  </sheetData>
  <pageMargins left="0.7" right="0.7" top="0.75" bottom="0.75" header="0.3" footer="0.3"/>
  <pageSetup paperSize="9" orientation="portrait" r:id="rId1"/>
  <ignoredErrors>
    <ignoredError sqref="G5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
  <sheetViews>
    <sheetView zoomScale="70" zoomScaleNormal="70" workbookViewId="0">
      <pane xSplit="2" ySplit="1" topLeftCell="AD2" activePane="bottomRight" state="frozen"/>
      <selection pane="topRight" activeCell="D1" sqref="D1"/>
      <selection pane="bottomLeft" activeCell="A2" sqref="A2"/>
      <selection pane="bottomRight" activeCell="A44" sqref="A44:B44"/>
    </sheetView>
  </sheetViews>
  <sheetFormatPr defaultColWidth="11.42578125" defaultRowHeight="15" x14ac:dyDescent="0.25"/>
  <cols>
    <col min="1" max="1" width="20.7109375" bestFit="1" customWidth="1"/>
    <col min="2" max="2" width="21" bestFit="1" customWidth="1"/>
    <col min="3" max="4" width="21" customWidth="1"/>
    <col min="5" max="5" width="14.5703125" style="1" bestFit="1" customWidth="1"/>
    <col min="6" max="8" width="15" style="1" bestFit="1" customWidth="1"/>
    <col min="9" max="9" width="14.28515625" style="1" bestFit="1" customWidth="1"/>
    <col min="10" max="10" width="13.85546875" style="1" bestFit="1" customWidth="1"/>
    <col min="11" max="12" width="12.85546875" style="1" bestFit="1" customWidth="1"/>
    <col min="13" max="13" width="12" style="1" bestFit="1" customWidth="1"/>
    <col min="14" max="14" width="10.28515625" style="1" bestFit="1" customWidth="1"/>
    <col min="15" max="16" width="7.7109375" style="1" bestFit="1" customWidth="1"/>
    <col min="17" max="17" width="6.85546875" style="1" bestFit="1" customWidth="1"/>
    <col min="18" max="19" width="14" style="2" bestFit="1" customWidth="1"/>
    <col min="20" max="20" width="13.140625" style="2" bestFit="1" customWidth="1"/>
    <col min="21" max="22" width="13.42578125" style="29" bestFit="1" customWidth="1"/>
    <col min="23" max="23" width="12.5703125" style="29" bestFit="1" customWidth="1"/>
    <col min="24" max="25" width="14.28515625" style="1" bestFit="1" customWidth="1"/>
    <col min="26" max="26" width="13.42578125" style="1" bestFit="1" customWidth="1"/>
    <col min="27" max="28" width="16" style="29" bestFit="1" customWidth="1"/>
    <col min="29" max="29" width="15.28515625" style="29" bestFit="1" customWidth="1"/>
    <col min="30" max="30" width="12.140625" style="71" bestFit="1" customWidth="1"/>
    <col min="31" max="31" width="12.5703125" style="71" bestFit="1" customWidth="1"/>
    <col min="32" max="32" width="12" style="71" bestFit="1" customWidth="1"/>
    <col min="33" max="33" width="11.7109375" style="29" bestFit="1" customWidth="1"/>
    <col min="34" max="34" width="10.140625" style="29" bestFit="1" customWidth="1"/>
    <col min="35" max="36" width="8.28515625" style="2" bestFit="1" customWidth="1"/>
    <col min="37" max="37" width="8.28515625" style="10" bestFit="1" customWidth="1"/>
    <col min="38" max="40" width="6.85546875" style="43" bestFit="1" customWidth="1"/>
    <col min="41" max="42" width="7.7109375" style="1" bestFit="1" customWidth="1"/>
    <col min="43" max="43" width="6.85546875" style="1" bestFit="1" customWidth="1"/>
    <col min="44" max="45" width="10.28515625" style="1" bestFit="1" customWidth="1"/>
    <col min="46" max="46" width="9.5703125" style="1" bestFit="1" customWidth="1"/>
    <col min="47" max="47" width="10.28515625" bestFit="1" customWidth="1"/>
    <col min="48" max="48" width="12" bestFit="1" customWidth="1"/>
    <col min="49" max="49" width="10" style="4" bestFit="1" customWidth="1"/>
    <col min="50" max="50" width="7.42578125" customWidth="1"/>
    <col min="51" max="51" width="11" bestFit="1" customWidth="1"/>
    <col min="52" max="52" width="6.28515625" bestFit="1" customWidth="1"/>
    <col min="53" max="53" width="4.28515625" customWidth="1"/>
    <col min="54" max="54" width="19.28515625" customWidth="1"/>
    <col min="55" max="55" width="28.85546875" bestFit="1" customWidth="1"/>
    <col min="56" max="56" width="15" bestFit="1" customWidth="1"/>
    <col min="57" max="57" width="16.7109375" bestFit="1" customWidth="1"/>
    <col min="58" max="58" width="14" bestFit="1" customWidth="1"/>
    <col min="59" max="59" width="13.5703125" bestFit="1" customWidth="1"/>
  </cols>
  <sheetData>
    <row r="1" spans="1:60" ht="17.25" x14ac:dyDescent="0.25">
      <c r="A1" s="24" t="s">
        <v>0</v>
      </c>
      <c r="B1" s="24" t="s">
        <v>1</v>
      </c>
      <c r="C1" s="24" t="s">
        <v>1614</v>
      </c>
      <c r="D1" s="24" t="s">
        <v>1559</v>
      </c>
      <c r="E1" s="1" t="s">
        <v>3</v>
      </c>
      <c r="F1" s="1" t="s">
        <v>4</v>
      </c>
      <c r="G1" s="1" t="s">
        <v>7</v>
      </c>
      <c r="H1" s="1" t="s">
        <v>8</v>
      </c>
      <c r="I1" s="1" t="s">
        <v>11</v>
      </c>
      <c r="J1" s="1" t="s">
        <v>12</v>
      </c>
      <c r="K1" s="1" t="s">
        <v>5</v>
      </c>
      <c r="L1" s="1" t="s">
        <v>9</v>
      </c>
      <c r="M1" s="1" t="s">
        <v>13</v>
      </c>
      <c r="N1" s="1" t="s">
        <v>1386</v>
      </c>
      <c r="O1" s="1" t="s">
        <v>6</v>
      </c>
      <c r="P1" s="1" t="s">
        <v>10</v>
      </c>
      <c r="Q1" s="1" t="s">
        <v>14</v>
      </c>
      <c r="R1" s="2" t="s">
        <v>15</v>
      </c>
      <c r="S1" s="2" t="s">
        <v>16</v>
      </c>
      <c r="T1" s="2" t="s">
        <v>17</v>
      </c>
      <c r="U1" s="29" t="s">
        <v>848</v>
      </c>
      <c r="V1" s="29" t="s">
        <v>849</v>
      </c>
      <c r="W1" s="29" t="s">
        <v>850</v>
      </c>
      <c r="X1" s="1" t="s">
        <v>1183</v>
      </c>
      <c r="Y1" s="1" t="s">
        <v>1184</v>
      </c>
      <c r="Z1" s="1" t="s">
        <v>1185</v>
      </c>
      <c r="AA1" s="29" t="s">
        <v>1417</v>
      </c>
      <c r="AB1" s="29" t="s">
        <v>1418</v>
      </c>
      <c r="AC1" s="29" t="s">
        <v>1419</v>
      </c>
      <c r="AD1" s="29" t="s">
        <v>1180</v>
      </c>
      <c r="AE1" s="29" t="s">
        <v>1181</v>
      </c>
      <c r="AF1" s="29" t="s">
        <v>1535</v>
      </c>
      <c r="AG1" s="29" t="s">
        <v>1182</v>
      </c>
      <c r="AH1" s="29" t="s">
        <v>1534</v>
      </c>
      <c r="AI1" s="2" t="s">
        <v>1177</v>
      </c>
      <c r="AJ1" s="2" t="s">
        <v>1178</v>
      </c>
      <c r="AK1" s="10" t="s">
        <v>1179</v>
      </c>
      <c r="AL1" s="86" t="s">
        <v>1382</v>
      </c>
      <c r="AM1" s="87" t="s">
        <v>1383</v>
      </c>
      <c r="AN1" s="87" t="s">
        <v>1384</v>
      </c>
      <c r="AO1" s="44" t="s">
        <v>1267</v>
      </c>
      <c r="AP1" s="44" t="s">
        <v>1268</v>
      </c>
      <c r="AQ1" s="44" t="s">
        <v>1269</v>
      </c>
      <c r="AR1" s="1" t="s">
        <v>1270</v>
      </c>
      <c r="AS1" s="1" t="s">
        <v>1271</v>
      </c>
      <c r="AT1" s="1" t="s">
        <v>1272</v>
      </c>
      <c r="AU1" s="2" t="s">
        <v>21</v>
      </c>
      <c r="AV1" s="2" t="s">
        <v>22</v>
      </c>
      <c r="AW1" s="2" t="s">
        <v>23</v>
      </c>
      <c r="AX1" s="2" t="s">
        <v>24</v>
      </c>
      <c r="AY1" s="2" t="s">
        <v>846</v>
      </c>
      <c r="AZ1" s="2" t="s">
        <v>847</v>
      </c>
      <c r="BA1" s="2"/>
      <c r="BB1" s="37" t="s">
        <v>1166</v>
      </c>
      <c r="BC1" s="37" t="s">
        <v>1381</v>
      </c>
      <c r="BD1" s="62" t="s">
        <v>871</v>
      </c>
      <c r="BE1" s="62" t="s">
        <v>880</v>
      </c>
      <c r="BF1" s="18" t="s">
        <v>881</v>
      </c>
      <c r="BG1" s="18" t="s">
        <v>957</v>
      </c>
      <c r="BH1" s="18"/>
    </row>
    <row r="2" spans="1:60" x14ac:dyDescent="0.25">
      <c r="A2" t="s">
        <v>1169</v>
      </c>
      <c r="B2" t="s">
        <v>1170</v>
      </c>
      <c r="C2" t="s">
        <v>1612</v>
      </c>
      <c r="D2" t="s">
        <v>1613</v>
      </c>
      <c r="E2" s="44">
        <f>9.627/2</f>
        <v>4.8135000000000003</v>
      </c>
      <c r="F2" s="44">
        <f>4.231/2</f>
        <v>2.1154999999999999</v>
      </c>
      <c r="G2" s="44">
        <f>6.247/2</f>
        <v>3.1234999999999999</v>
      </c>
      <c r="H2" s="44">
        <f>5.727/2</f>
        <v>2.8635000000000002</v>
      </c>
      <c r="I2" s="44">
        <f>9.892/2</f>
        <v>4.9459999999999997</v>
      </c>
      <c r="J2" s="44">
        <f>6.927/2</f>
        <v>3.4634999999999998</v>
      </c>
      <c r="K2" s="44">
        <v>3.4645000000000001</v>
      </c>
      <c r="L2" s="44">
        <v>2.9935</v>
      </c>
      <c r="M2" s="44">
        <v>4.2047499999999998</v>
      </c>
      <c r="N2" s="44">
        <f>AVERAGEA(K2:M2)</f>
        <v>3.5542499999999997</v>
      </c>
      <c r="O2" s="44">
        <v>0.89824596953257441</v>
      </c>
      <c r="P2" s="44">
        <v>0.39943838100369738</v>
      </c>
      <c r="Q2" s="44">
        <v>0.71388511456349801</v>
      </c>
      <c r="R2" s="27">
        <v>11.452</v>
      </c>
      <c r="S2" s="27">
        <v>9.1530000000000005</v>
      </c>
      <c r="T2" s="27">
        <v>14.135999999999999</v>
      </c>
      <c r="U2" s="83">
        <v>0.65877914198414023</v>
      </c>
      <c r="V2" s="83">
        <v>0.55608846040709037</v>
      </c>
      <c r="W2" s="83">
        <v>0.42296614606847494</v>
      </c>
      <c r="X2" s="44">
        <f>32.533</f>
        <v>32.533000000000001</v>
      </c>
      <c r="Y2" s="44">
        <v>25.036999999999999</v>
      </c>
      <c r="Z2" s="44">
        <f>50.824</f>
        <v>50.823999999999998</v>
      </c>
      <c r="AA2" s="61">
        <v>0.754</v>
      </c>
      <c r="AB2" s="61">
        <v>0.622</v>
      </c>
      <c r="AC2" s="61">
        <v>0.48699999999999999</v>
      </c>
      <c r="AD2" s="29">
        <v>0.24233333333333332</v>
      </c>
      <c r="AE2" s="29">
        <v>0.30633333333333335</v>
      </c>
      <c r="AF2" s="29">
        <f>AVERAGEA(AD2:AE2)</f>
        <v>0.27433333333333332</v>
      </c>
      <c r="AG2" s="29">
        <v>0.18566666666666667</v>
      </c>
      <c r="AH2" s="50">
        <f t="shared" ref="AH2:AH40" si="0">AVERAGEA(AD2:AG2)</f>
        <v>0.25216666666666665</v>
      </c>
      <c r="AI2" s="78">
        <v>25.593039999999998</v>
      </c>
      <c r="AJ2" s="78">
        <v>25.00506</v>
      </c>
      <c r="AK2" s="78">
        <v>26.099530000000001</v>
      </c>
      <c r="AL2" s="78">
        <v>0.59170710000000004</v>
      </c>
      <c r="AM2" s="78">
        <v>0.486983</v>
      </c>
      <c r="AN2" s="78">
        <v>0.45832719999999999</v>
      </c>
      <c r="AO2" s="44">
        <f>X2/(PI()*E2*F2)</f>
        <v>1.0169514846302916</v>
      </c>
      <c r="AP2" s="44">
        <f>Y2/(PI()*G2*H2)</f>
        <v>0.8910328567709852</v>
      </c>
      <c r="AQ2" s="44">
        <f>Z2/(PI()*I2*J2)</f>
        <v>0.944386272590227</v>
      </c>
      <c r="AR2" s="78">
        <v>0.98512630000000001</v>
      </c>
      <c r="AS2" s="78">
        <v>0.96429860000000001</v>
      </c>
      <c r="AT2" s="78">
        <v>0.95570829999999996</v>
      </c>
      <c r="AU2" s="58">
        <v>186.00332498681686</v>
      </c>
      <c r="AV2" s="58">
        <v>140.91124613697201</v>
      </c>
      <c r="AW2" s="58">
        <v>807</v>
      </c>
      <c r="AX2" s="36">
        <v>20.7</v>
      </c>
      <c r="AY2" s="36" t="s">
        <v>866</v>
      </c>
      <c r="AZ2" s="4">
        <v>1.19</v>
      </c>
      <c r="BB2" s="63" t="s">
        <v>1337</v>
      </c>
      <c r="BC2" s="65" t="s">
        <v>1539</v>
      </c>
      <c r="BD2" s="59" t="s">
        <v>1465</v>
      </c>
      <c r="BE2" s="59" t="s">
        <v>1465</v>
      </c>
      <c r="BF2" s="67" t="s">
        <v>1337</v>
      </c>
      <c r="BG2" s="18" t="s">
        <v>1420</v>
      </c>
      <c r="BH2" s="64" t="s">
        <v>1098</v>
      </c>
    </row>
    <row r="3" spans="1:60" x14ac:dyDescent="0.25">
      <c r="A3" s="52" t="s">
        <v>1346</v>
      </c>
      <c r="B3" s="53" t="s">
        <v>1347</v>
      </c>
      <c r="C3" t="s">
        <v>1612</v>
      </c>
      <c r="D3" t="s">
        <v>1560</v>
      </c>
      <c r="E3" s="80">
        <f>(2*K3)/(((1-(O3^2))^0.5)+1)</f>
        <v>4.3015179123793139</v>
      </c>
      <c r="F3" s="80">
        <f>2*K3-E3</f>
        <v>2.4257089676206869</v>
      </c>
      <c r="G3" s="80">
        <f>(2*L3)/(((1-(P3^2))^0.5)+1)</f>
        <v>3.4245849193088764</v>
      </c>
      <c r="H3" s="80">
        <f>2*L3-G3</f>
        <v>2.4735405206911238</v>
      </c>
      <c r="I3" s="80">
        <f>(2*M3)/(((1-(Q3^2))^0.5)+1)</f>
        <v>3.7034112189486699</v>
      </c>
      <c r="J3" s="80">
        <f>2*M3-I3</f>
        <v>2.8848831810513298</v>
      </c>
      <c r="K3" s="78">
        <v>3.3636134400000004</v>
      </c>
      <c r="L3" s="78">
        <v>2.9490627200000001</v>
      </c>
      <c r="M3" s="78">
        <v>3.2941471999999998</v>
      </c>
      <c r="N3" s="35">
        <v>3.2</v>
      </c>
      <c r="O3" s="78">
        <v>0.82582990000000001</v>
      </c>
      <c r="P3" s="78">
        <v>0.69159119999999996</v>
      </c>
      <c r="Q3" s="78">
        <v>0.62704879999999996</v>
      </c>
      <c r="R3" s="79">
        <v>8.1721312000000008</v>
      </c>
      <c r="S3" s="79">
        <v>8.0150623999999997</v>
      </c>
      <c r="T3" s="79">
        <v>10.9696192</v>
      </c>
      <c r="U3" s="84">
        <v>0.29866801667805454</v>
      </c>
      <c r="V3" s="84">
        <v>0.30807111525441516</v>
      </c>
      <c r="W3" s="84">
        <v>0.24708575992025136</v>
      </c>
      <c r="X3" s="80">
        <f>PI()*E3*F3*AO3</f>
        <v>33.098757491215338</v>
      </c>
      <c r="Y3" s="80">
        <f>PI()*G3*H3*AP3</f>
        <v>25.937050214023447</v>
      </c>
      <c r="Z3" s="80">
        <f>PI()*I3*J3*AQ3</f>
        <v>33.803434801755827</v>
      </c>
      <c r="AA3" s="84">
        <v>0.40856290719132293</v>
      </c>
      <c r="AB3" s="84">
        <v>0.39695268881407786</v>
      </c>
      <c r="AC3" s="84">
        <v>0.32062024606327771</v>
      </c>
      <c r="AD3" s="83">
        <v>8.9137670023912874E-2</v>
      </c>
      <c r="AE3" s="83">
        <v>8.6243745455487367E-2</v>
      </c>
      <c r="AF3" s="84">
        <f>AVERAGEA(AD3:AE3)</f>
        <v>8.7690707739700113E-2</v>
      </c>
      <c r="AG3" s="83">
        <v>6.0184414344387233E-2</v>
      </c>
      <c r="AH3" s="29">
        <f>PI()*0.16^2</f>
        <v>8.0424771931898703E-2</v>
      </c>
      <c r="AI3" s="78">
        <v>26.01248</v>
      </c>
      <c r="AJ3" s="78">
        <v>25.52345</v>
      </c>
      <c r="AK3" s="78">
        <v>26.42381</v>
      </c>
      <c r="AL3" s="78">
        <v>0.64378990000000003</v>
      </c>
      <c r="AM3" s="78">
        <v>0.56818389999999996</v>
      </c>
      <c r="AN3" s="78">
        <v>0.61223179999999999</v>
      </c>
      <c r="AO3" s="78">
        <v>1.0097210000000001</v>
      </c>
      <c r="AP3" s="78">
        <v>0.97463889999999997</v>
      </c>
      <c r="AQ3" s="78">
        <v>1.0071190000000001</v>
      </c>
      <c r="AR3" s="78">
        <v>0.98148120000000005</v>
      </c>
      <c r="AS3" s="78">
        <v>0.96443140000000005</v>
      </c>
      <c r="AT3" s="78">
        <v>0.9403243</v>
      </c>
      <c r="AU3" s="2">
        <v>19.5</v>
      </c>
      <c r="AV3" s="2">
        <v>14.4</v>
      </c>
      <c r="AW3" s="2">
        <v>37.24</v>
      </c>
      <c r="AX3" s="23">
        <v>13</v>
      </c>
      <c r="AY3" s="36" t="s">
        <v>866</v>
      </c>
      <c r="AZ3" s="4">
        <v>1.19</v>
      </c>
      <c r="BB3" s="34" t="s">
        <v>1348</v>
      </c>
      <c r="BC3" s="62" t="s">
        <v>1540</v>
      </c>
      <c r="BD3" s="18" t="s">
        <v>1463</v>
      </c>
      <c r="BE3" s="18" t="s">
        <v>1463</v>
      </c>
      <c r="BF3" s="18" t="s">
        <v>1387</v>
      </c>
      <c r="BG3" s="18" t="s">
        <v>1456</v>
      </c>
      <c r="BH3" s="64" t="s">
        <v>1098</v>
      </c>
    </row>
    <row r="4" spans="1:60" x14ac:dyDescent="0.25">
      <c r="A4" s="22" t="s">
        <v>1349</v>
      </c>
      <c r="B4" s="22" t="s">
        <v>1350</v>
      </c>
      <c r="C4" t="s">
        <v>1612</v>
      </c>
      <c r="D4" t="s">
        <v>1560</v>
      </c>
      <c r="E4" s="80">
        <f>(2*K4)/(((1-(O4^2))^0.5)+1)</f>
        <v>4.3015179123793139</v>
      </c>
      <c r="F4" s="80">
        <f>2*K4-E4</f>
        <v>2.4257089676206869</v>
      </c>
      <c r="G4" s="80">
        <f>(2*L4)/(((1-(P4^2))^0.5)+1)</f>
        <v>3.4245849193088764</v>
      </c>
      <c r="H4" s="80">
        <f>2*L4-G4</f>
        <v>2.4735405206911238</v>
      </c>
      <c r="I4" s="80">
        <f>(2*M4)/(((1-(Q4^2))^0.5)+1)</f>
        <v>3.7034112189486699</v>
      </c>
      <c r="J4" s="80">
        <f>2*M4-I4</f>
        <v>2.8848831810513298</v>
      </c>
      <c r="K4" s="78">
        <v>3.3636134400000004</v>
      </c>
      <c r="L4" s="78">
        <v>2.9490627200000001</v>
      </c>
      <c r="M4" s="78">
        <v>3.2941471999999998</v>
      </c>
      <c r="N4" s="35">
        <v>3.2</v>
      </c>
      <c r="O4" s="78">
        <v>0.82582990000000001</v>
      </c>
      <c r="P4" s="78">
        <v>0.69159119999999996</v>
      </c>
      <c r="Q4" s="78">
        <v>0.62704879999999996</v>
      </c>
      <c r="R4" s="79">
        <v>8.1721312000000008</v>
      </c>
      <c r="S4" s="79">
        <v>8.0150623999999997</v>
      </c>
      <c r="T4" s="79">
        <v>10.9696192</v>
      </c>
      <c r="U4" s="84">
        <v>0.38020663836931728</v>
      </c>
      <c r="V4" s="84">
        <v>0.3918098538844933</v>
      </c>
      <c r="W4" s="84">
        <v>0.31424811932431701</v>
      </c>
      <c r="X4" s="80">
        <f t="shared" ref="X4:X5" si="1">PI()*E4*F4*AO4</f>
        <v>33.098757491215338</v>
      </c>
      <c r="Y4" s="80">
        <f t="shared" ref="Y4:Y5" si="2">PI()*G4*H4*AP4</f>
        <v>25.937050214023447</v>
      </c>
      <c r="Z4" s="80">
        <f t="shared" ref="Z4:Z5" si="3">PI()*I4*J4*AQ4</f>
        <v>33.803434801755827</v>
      </c>
      <c r="AA4" s="84">
        <v>0.49256132841128691</v>
      </c>
      <c r="AB4" s="84">
        <v>0.47659438117555331</v>
      </c>
      <c r="AC4" s="84">
        <v>0.38653811086802392</v>
      </c>
      <c r="AD4" s="83">
        <v>0.12569804249465841</v>
      </c>
      <c r="AE4" s="83">
        <v>0.1216171566774646</v>
      </c>
      <c r="AF4" s="84">
        <f>AVERAGEA(AD4:AE4)</f>
        <v>0.12365759958606151</v>
      </c>
      <c r="AG4" s="83">
        <v>8.4869428040327308E-2</v>
      </c>
      <c r="AH4" s="29">
        <f>PI()*0.19^2</f>
        <v>0.11341149479459153</v>
      </c>
      <c r="AI4" s="78">
        <v>26.01248</v>
      </c>
      <c r="AJ4" s="78">
        <v>25.52345</v>
      </c>
      <c r="AK4" s="78">
        <v>26.42381</v>
      </c>
      <c r="AL4" s="78">
        <v>0.64378990000000003</v>
      </c>
      <c r="AM4" s="78">
        <v>0.56818389999999996</v>
      </c>
      <c r="AN4" s="78">
        <v>0.61223179999999999</v>
      </c>
      <c r="AO4" s="78">
        <v>1.0097210000000001</v>
      </c>
      <c r="AP4" s="78">
        <v>0.97463889999999997</v>
      </c>
      <c r="AQ4" s="78">
        <v>1.0071190000000001</v>
      </c>
      <c r="AR4" s="78">
        <v>0.98148120000000005</v>
      </c>
      <c r="AS4" s="78">
        <v>0.96443140000000005</v>
      </c>
      <c r="AT4" s="78">
        <v>0.9403243</v>
      </c>
      <c r="AU4" s="36">
        <v>40.706494523834266</v>
      </c>
      <c r="AV4" s="36">
        <v>25.794454174314801</v>
      </c>
      <c r="AW4" s="36">
        <v>95.302313586662933</v>
      </c>
      <c r="AX4" s="23">
        <v>14</v>
      </c>
      <c r="AY4" s="36" t="s">
        <v>866</v>
      </c>
      <c r="AZ4" s="4">
        <v>1.19</v>
      </c>
      <c r="BB4" s="34" t="s">
        <v>1348</v>
      </c>
      <c r="BC4" s="62" t="s">
        <v>1540</v>
      </c>
      <c r="BD4" s="18" t="s">
        <v>1464</v>
      </c>
      <c r="BE4" s="18" t="s">
        <v>1464</v>
      </c>
      <c r="BF4" s="18" t="s">
        <v>1388</v>
      </c>
      <c r="BG4" s="18" t="s">
        <v>1457</v>
      </c>
      <c r="BH4" s="64" t="s">
        <v>1098</v>
      </c>
    </row>
    <row r="5" spans="1:60" x14ac:dyDescent="0.25">
      <c r="A5" s="22" t="s">
        <v>1351</v>
      </c>
      <c r="B5" s="22" t="s">
        <v>1352</v>
      </c>
      <c r="C5" t="s">
        <v>1612</v>
      </c>
      <c r="D5" t="s">
        <v>1562</v>
      </c>
      <c r="E5" s="80">
        <f>(2*K5)/(((1-(O5^2))^0.5)+1)</f>
        <v>7.4914729833907012</v>
      </c>
      <c r="F5" s="80">
        <f>2*K5-E5</f>
        <v>4.8015782566092993</v>
      </c>
      <c r="G5" s="80">
        <f>(2*L5)/(((1-(P5^2))^0.5)+1)</f>
        <v>7.3436099499633931</v>
      </c>
      <c r="H5" s="80">
        <f>2*L5-G5</f>
        <v>4.4296283300366062</v>
      </c>
      <c r="I5" s="80">
        <f>(2*M5)/(((1-(Q5^2))^0.5)+1)</f>
        <v>8.0241696941421186</v>
      </c>
      <c r="J5" s="80">
        <f>2*M5-I5</f>
        <v>5.1121175058578814</v>
      </c>
      <c r="K5" s="78">
        <v>6.1465256200000002</v>
      </c>
      <c r="L5" s="78">
        <v>5.8866191399999996</v>
      </c>
      <c r="M5" s="78">
        <v>6.5681436</v>
      </c>
      <c r="N5" s="35">
        <v>6.2</v>
      </c>
      <c r="O5" s="78">
        <v>0.76759169999999999</v>
      </c>
      <c r="P5" s="78">
        <v>0.79759380000000002</v>
      </c>
      <c r="Q5" s="78">
        <v>0.77078950000000002</v>
      </c>
      <c r="R5" s="79">
        <v>14.762745600000001</v>
      </c>
      <c r="S5" s="79">
        <v>15.575714399999999</v>
      </c>
      <c r="T5" s="79">
        <v>23.815371800000001</v>
      </c>
      <c r="U5" s="84">
        <v>0.35304141640973635</v>
      </c>
      <c r="V5" s="84">
        <v>0.3936239565461469</v>
      </c>
      <c r="W5" s="84">
        <v>0.29423803800884357</v>
      </c>
      <c r="X5" s="80">
        <f t="shared" si="1"/>
        <v>116.43886786699518</v>
      </c>
      <c r="Y5" s="80">
        <f t="shared" si="2"/>
        <v>99.545791638817931</v>
      </c>
      <c r="Z5" s="80">
        <f t="shared" si="3"/>
        <v>133.06079656827657</v>
      </c>
      <c r="AA5" s="84">
        <v>0.46507503144092688</v>
      </c>
      <c r="AB5" s="84">
        <v>0.47827152082440938</v>
      </c>
      <c r="AC5" s="84">
        <v>0.36725958176719209</v>
      </c>
      <c r="AD5" s="83">
        <v>0.12202849569231505</v>
      </c>
      <c r="AE5" s="83">
        <v>0.10950262075703937</v>
      </c>
      <c r="AF5" s="84">
        <f>AVERAGEA(AD5:AE5)</f>
        <v>0.11576555822467721</v>
      </c>
      <c r="AG5" s="83">
        <v>8.5150370311936063E-2</v>
      </c>
      <c r="AH5" s="29">
        <f>PI()*0.185^2</f>
        <v>0.10752100856911066</v>
      </c>
      <c r="AI5" s="78">
        <v>25.675619999999999</v>
      </c>
      <c r="AJ5" s="78">
        <v>25.107109999999999</v>
      </c>
      <c r="AK5" s="78">
        <v>26.16337</v>
      </c>
      <c r="AL5" s="78">
        <v>0.60196039999999995</v>
      </c>
      <c r="AM5" s="78">
        <v>0.50296870000000005</v>
      </c>
      <c r="AN5" s="78">
        <v>0.4886258</v>
      </c>
      <c r="AO5" s="78">
        <v>1.0303787</v>
      </c>
      <c r="AP5" s="78">
        <v>0.97408340000000004</v>
      </c>
      <c r="AQ5" s="78">
        <v>1.0325219999999999</v>
      </c>
      <c r="AR5" s="78">
        <v>0.98440870000000003</v>
      </c>
      <c r="AS5" s="78">
        <v>0.96432479999999998</v>
      </c>
      <c r="AT5" s="78">
        <v>0.95267970000000002</v>
      </c>
      <c r="AU5" s="2">
        <v>94.77</v>
      </c>
      <c r="AV5" s="2">
        <v>58.54</v>
      </c>
      <c r="AW5" s="2">
        <v>592.84</v>
      </c>
      <c r="AX5" s="23">
        <v>10.199999999999999</v>
      </c>
      <c r="AY5" s="36" t="s">
        <v>866</v>
      </c>
      <c r="AZ5" s="4">
        <v>1.19</v>
      </c>
      <c r="BB5" s="34" t="s">
        <v>1348</v>
      </c>
      <c r="BC5" s="62" t="s">
        <v>1540</v>
      </c>
      <c r="BD5" s="18" t="s">
        <v>1466</v>
      </c>
      <c r="BE5" s="18" t="s">
        <v>1466</v>
      </c>
      <c r="BF5" s="18" t="s">
        <v>1389</v>
      </c>
      <c r="BG5" s="18" t="s">
        <v>1421</v>
      </c>
      <c r="BH5" s="64" t="s">
        <v>1098</v>
      </c>
    </row>
    <row r="6" spans="1:60" x14ac:dyDescent="0.25">
      <c r="A6" s="22" t="s">
        <v>1353</v>
      </c>
      <c r="B6" s="22" t="s">
        <v>1171</v>
      </c>
      <c r="C6" t="s">
        <v>1612</v>
      </c>
      <c r="D6" t="s">
        <v>1613</v>
      </c>
      <c r="E6" s="35">
        <v>6.862884613065428</v>
      </c>
      <c r="F6" s="35">
        <v>4.7038005561185265</v>
      </c>
      <c r="G6" s="35">
        <v>4.6068204211729205</v>
      </c>
      <c r="H6" s="35">
        <v>3.4919008843073343</v>
      </c>
      <c r="I6" s="35">
        <v>3.6588440022672377</v>
      </c>
      <c r="J6" s="78">
        <v>3.6757495230685544</v>
      </c>
      <c r="K6" s="35">
        <f>AVERAGEA(E6:F6)</f>
        <v>5.7833425845919777</v>
      </c>
      <c r="L6" s="35">
        <f>AVERAGEA(G6:H6)</f>
        <v>4.0493606527401269</v>
      </c>
      <c r="M6" s="78">
        <f>AVERAGEA(I6:J6)</f>
        <v>3.6672967626678963</v>
      </c>
      <c r="N6" s="78">
        <f>AVERAGEA(K6:M6)</f>
        <v>4.5</v>
      </c>
      <c r="O6" s="44">
        <f>(1-((MIN(E6:F6)/MAX(E6:F6))^2))^0.5</f>
        <v>0.72816958615667504</v>
      </c>
      <c r="P6" s="44">
        <f>(1-((MIN(G6:H6)/MAX(G6:H6))^2))^0.5</f>
        <v>0.65227195589298015</v>
      </c>
      <c r="Q6" s="78">
        <f>(1-((MIN(I6:J6)/MAX(I6:J6))^2))^0.5</f>
        <v>9.5797989135327929E-2</v>
      </c>
      <c r="R6" s="36">
        <v>20.494489824321697</v>
      </c>
      <c r="S6" s="36">
        <v>14.776534027628616</v>
      </c>
      <c r="T6" s="79">
        <v>13.871278150200244</v>
      </c>
      <c r="U6" s="84">
        <v>0.38240558310257305</v>
      </c>
      <c r="V6" s="84">
        <v>0.37836347020188404</v>
      </c>
      <c r="W6" s="84">
        <v>0.2392809308725837</v>
      </c>
      <c r="X6" s="44">
        <v>100.44424920374765</v>
      </c>
      <c r="Y6" s="44">
        <v>55.904490366022834</v>
      </c>
      <c r="Z6" s="78">
        <v>39.811718257245289</v>
      </c>
      <c r="AA6" s="84">
        <v>0.49476651924716902</v>
      </c>
      <c r="AB6" s="84">
        <v>0.46410443741238511</v>
      </c>
      <c r="AC6" s="83">
        <v>0.31271694848225218</v>
      </c>
      <c r="AD6" s="83">
        <v>0.12402278946876871</v>
      </c>
      <c r="AE6" s="83">
        <v>0.12730462281841476</v>
      </c>
      <c r="AF6" s="29">
        <f>PI()*0.2^2</f>
        <v>0.12566370614359174</v>
      </c>
      <c r="AG6" s="29">
        <f>PI()*0.14^2</f>
        <v>6.1575216010359951E-2</v>
      </c>
      <c r="AH6" s="29">
        <f>PI()*0.18^2</f>
        <v>0.10178760197630929</v>
      </c>
      <c r="AI6" s="78">
        <v>25.593039999999998</v>
      </c>
      <c r="AJ6" s="78">
        <v>25.00506</v>
      </c>
      <c r="AK6" s="78">
        <v>26.099530000000001</v>
      </c>
      <c r="AL6" s="78">
        <v>0.59170710000000004</v>
      </c>
      <c r="AM6" s="78">
        <v>0.486983</v>
      </c>
      <c r="AN6" s="78">
        <v>0.45832719999999999</v>
      </c>
      <c r="AO6" s="44">
        <f>X6/(PI()*E6*F6)</f>
        <v>0.99042047048256265</v>
      </c>
      <c r="AP6" s="44">
        <f>Y6/(PI()*G6*H6)</f>
        <v>1.1061999352815732</v>
      </c>
      <c r="AQ6" s="80">
        <f>Z6/(PI()*I6*J6)</f>
        <v>0.94226106551092481</v>
      </c>
      <c r="AR6" s="78">
        <v>0.98512630000000001</v>
      </c>
      <c r="AS6" s="78">
        <v>0.96429860000000001</v>
      </c>
      <c r="AT6" s="78">
        <v>0.95570829999999996</v>
      </c>
      <c r="AU6" s="36">
        <v>37.784999999999997</v>
      </c>
      <c r="AV6" s="36">
        <v>24.562000000000001</v>
      </c>
      <c r="AW6" s="36">
        <v>202.14138020843538</v>
      </c>
      <c r="AX6" s="23">
        <v>16</v>
      </c>
      <c r="AY6" s="36" t="s">
        <v>866</v>
      </c>
      <c r="AZ6" s="4">
        <v>1.19</v>
      </c>
      <c r="BB6" s="34" t="s">
        <v>1385</v>
      </c>
      <c r="BC6" s="18" t="s">
        <v>1541</v>
      </c>
      <c r="BD6" s="18" t="s">
        <v>1467</v>
      </c>
      <c r="BE6" s="18" t="s">
        <v>1467</v>
      </c>
      <c r="BF6" s="18" t="s">
        <v>1372</v>
      </c>
      <c r="BG6" s="18" t="s">
        <v>1458</v>
      </c>
      <c r="BH6" s="64" t="s">
        <v>1098</v>
      </c>
    </row>
    <row r="7" spans="1:60" x14ac:dyDescent="0.25">
      <c r="A7" s="22" t="s">
        <v>1355</v>
      </c>
      <c r="B7" s="22" t="s">
        <v>1356</v>
      </c>
      <c r="C7" t="s">
        <v>1612</v>
      </c>
      <c r="D7" t="s">
        <v>1562</v>
      </c>
      <c r="E7" s="80">
        <f>(2*K7)/(((1-(O7^2))^0.5)+1)</f>
        <v>9.4247563339431384</v>
      </c>
      <c r="F7" s="80">
        <f>2*K7-E7</f>
        <v>6.0406952260568598</v>
      </c>
      <c r="G7" s="80">
        <f>(2*L7)/(((1-(P7^2))^0.5)+1)</f>
        <v>9.2387350983410439</v>
      </c>
      <c r="H7" s="80">
        <f>2*L7-G7</f>
        <v>5.5727582216589564</v>
      </c>
      <c r="I7" s="80">
        <f>(2*M7)/(((1-(Q7^2))^0.5)+1)</f>
        <v>10.094923163598148</v>
      </c>
      <c r="J7" s="80">
        <f>2*M7-I7</f>
        <v>6.4313736364018492</v>
      </c>
      <c r="K7" s="78">
        <v>7.7327257799999991</v>
      </c>
      <c r="L7" s="78">
        <v>7.4057466600000001</v>
      </c>
      <c r="M7" s="78">
        <v>8.2631483999999986</v>
      </c>
      <c r="N7" s="35">
        <v>7.8</v>
      </c>
      <c r="O7" s="78">
        <v>0.76759169999999999</v>
      </c>
      <c r="P7" s="78">
        <v>0.79759380000000002</v>
      </c>
      <c r="Q7" s="78">
        <v>0.77078950000000002</v>
      </c>
      <c r="R7" s="79">
        <v>18.572486399999999</v>
      </c>
      <c r="S7" s="79">
        <v>19.595253599999999</v>
      </c>
      <c r="T7" s="79">
        <v>29.961274199999998</v>
      </c>
      <c r="U7" s="84">
        <v>0.85436874636932669</v>
      </c>
      <c r="V7" s="84">
        <v>0.94822207453127916</v>
      </c>
      <c r="W7" s="84">
        <v>0.527883657989211</v>
      </c>
      <c r="X7" s="80">
        <f t="shared" ref="X7:X9" si="4">PI()*E7*F7*AO7</f>
        <v>184.29086162924</v>
      </c>
      <c r="Y7" s="80">
        <f t="shared" ref="Y7:Y9" si="5">PI()*G7*H7*AP7</f>
        <v>157.55374514322799</v>
      </c>
      <c r="Z7" s="80">
        <f t="shared" ref="Z7:Z9" si="6">PI()*I7*J7*AQ7</f>
        <v>210.59882578600269</v>
      </c>
      <c r="AA7" s="84">
        <v>0.92220442971484795</v>
      </c>
      <c r="AB7" s="84">
        <v>0.93333688476572929</v>
      </c>
      <c r="AC7" s="83">
        <v>0.57857533726246901</v>
      </c>
      <c r="AD7" s="83">
        <v>0.42951298119926917</v>
      </c>
      <c r="AE7" s="83">
        <v>0.38478783461120519</v>
      </c>
      <c r="AF7" s="29">
        <f>PI()*0.36^2</f>
        <v>0.40715040790523715</v>
      </c>
      <c r="AG7" s="29">
        <f>PI()*0.25^2</f>
        <v>0.19634954084936207</v>
      </c>
      <c r="AH7" s="29">
        <f>PI()*0.325^2</f>
        <v>0.33183072403542191</v>
      </c>
      <c r="AI7" s="78">
        <v>25.675619999999999</v>
      </c>
      <c r="AJ7" s="78">
        <v>25.107109999999999</v>
      </c>
      <c r="AK7" s="78">
        <v>26.16337</v>
      </c>
      <c r="AL7" s="78">
        <v>0.60196039999999995</v>
      </c>
      <c r="AM7" s="78">
        <v>0.50296870000000005</v>
      </c>
      <c r="AN7" s="78">
        <v>0.4886258</v>
      </c>
      <c r="AO7" s="78">
        <v>1.0303787</v>
      </c>
      <c r="AP7" s="78">
        <v>0.97408340000000004</v>
      </c>
      <c r="AQ7" s="78">
        <v>1.0325219999999999</v>
      </c>
      <c r="AR7" s="78">
        <v>0.98440870000000003</v>
      </c>
      <c r="AS7" s="78">
        <v>0.96432479999999998</v>
      </c>
      <c r="AT7" s="78">
        <v>0.95267970000000002</v>
      </c>
      <c r="AU7" s="2">
        <v>158.5</v>
      </c>
      <c r="AV7" s="2">
        <v>111.19499999999999</v>
      </c>
      <c r="AW7" s="2">
        <v>2370.9699999999998</v>
      </c>
      <c r="AX7" s="23">
        <v>6.3</v>
      </c>
      <c r="AY7" s="36" t="s">
        <v>866</v>
      </c>
      <c r="AZ7" s="4">
        <v>1.19</v>
      </c>
      <c r="BB7" s="34" t="s">
        <v>1348</v>
      </c>
      <c r="BC7" s="18" t="s">
        <v>1542</v>
      </c>
      <c r="BD7" s="18" t="s">
        <v>1468</v>
      </c>
      <c r="BE7" s="18" t="s">
        <v>1468</v>
      </c>
      <c r="BF7" s="18" t="s">
        <v>1390</v>
      </c>
      <c r="BG7" s="18" t="s">
        <v>1422</v>
      </c>
      <c r="BH7" s="64" t="s">
        <v>1098</v>
      </c>
    </row>
    <row r="8" spans="1:60" x14ac:dyDescent="0.25">
      <c r="A8" s="22" t="s">
        <v>1357</v>
      </c>
      <c r="B8" s="22" t="s">
        <v>1358</v>
      </c>
      <c r="C8" t="s">
        <v>1612</v>
      </c>
      <c r="D8" t="s">
        <v>1613</v>
      </c>
      <c r="E8" s="80">
        <f>(2*K8)/(((1-(O8^2))^0.5)+1)</f>
        <v>6.1641950534697418</v>
      </c>
      <c r="F8" s="80">
        <f>2*K8-E8</f>
        <v>3.3977682665302584</v>
      </c>
      <c r="G8" s="80">
        <f>(2*L8)/(((1-(P8^2))^0.5)+1)</f>
        <v>4.4406702222294658</v>
      </c>
      <c r="H8" s="80">
        <f>2*L8-G8</f>
        <v>3.1929546577705343</v>
      </c>
      <c r="I8" s="80">
        <f>(2*M8)/(((1-(Q8^2))^0.5)+1)</f>
        <v>4.6811875235943132</v>
      </c>
      <c r="J8" s="80">
        <f>2*M8-I8</f>
        <v>3.9251936764056863</v>
      </c>
      <c r="K8" s="78">
        <v>4.7809816600000001</v>
      </c>
      <c r="L8" s="78">
        <v>3.8168124400000001</v>
      </c>
      <c r="M8" s="78">
        <v>4.3031905999999998</v>
      </c>
      <c r="N8" s="35">
        <v>4.3</v>
      </c>
      <c r="O8" s="78">
        <v>0.83436630000000001</v>
      </c>
      <c r="P8" s="78">
        <v>0.69498380000000004</v>
      </c>
      <c r="Q8" s="78">
        <v>0.54489569999999998</v>
      </c>
      <c r="R8" s="79">
        <v>8.7788412999999998</v>
      </c>
      <c r="S8" s="79">
        <v>7.7400129</v>
      </c>
      <c r="T8" s="79">
        <v>11.097611999999998</v>
      </c>
      <c r="U8" s="84">
        <v>0.3043936173897257</v>
      </c>
      <c r="V8" s="84">
        <v>0.3045482874293331</v>
      </c>
      <c r="W8" s="84">
        <v>0.26716575810346471</v>
      </c>
      <c r="X8" s="80">
        <f t="shared" si="4"/>
        <v>66.714543914749427</v>
      </c>
      <c r="Y8" s="80">
        <f t="shared" si="5"/>
        <v>43.877041958372828</v>
      </c>
      <c r="Z8" s="80">
        <f t="shared" si="6"/>
        <v>59.09165171933256</v>
      </c>
      <c r="AA8" s="84">
        <v>0.41461677562745503</v>
      </c>
      <c r="AB8" s="84">
        <v>0.39349607658720775</v>
      </c>
      <c r="AC8" s="83">
        <v>0.34070418923009288</v>
      </c>
      <c r="AD8" s="83">
        <v>9.02388681808486E-2</v>
      </c>
      <c r="AE8" s="83">
        <v>9.1345187196641489E-2</v>
      </c>
      <c r="AF8" s="29">
        <f>PI()*0.17^2</f>
        <v>9.0792027688745044E-2</v>
      </c>
      <c r="AG8" s="29">
        <f>PI()*0.15^2</f>
        <v>7.0685834705770348E-2</v>
      </c>
      <c r="AH8" s="29">
        <f>PI()*0.165^2</f>
        <v>8.5529859993982132E-2</v>
      </c>
      <c r="AI8" s="78">
        <v>25.593450000000001</v>
      </c>
      <c r="AJ8" s="78">
        <v>25.005559999999999</v>
      </c>
      <c r="AK8" s="78">
        <v>26.09985</v>
      </c>
      <c r="AL8" s="78">
        <v>0.59175809999999995</v>
      </c>
      <c r="AM8" s="78">
        <v>0.48706260000000001</v>
      </c>
      <c r="AN8" s="78">
        <v>0.458478</v>
      </c>
      <c r="AO8" s="78">
        <v>1.0139126000000001</v>
      </c>
      <c r="AP8" s="78">
        <v>0.98502259999999997</v>
      </c>
      <c r="AQ8" s="78">
        <v>1.023668</v>
      </c>
      <c r="AR8" s="78">
        <v>0.98512270000000002</v>
      </c>
      <c r="AS8" s="78">
        <v>0.96429869999999995</v>
      </c>
      <c r="AT8" s="78">
        <v>0.95569320000000002</v>
      </c>
      <c r="AU8" s="2">
        <v>56.78</v>
      </c>
      <c r="AV8" s="2">
        <v>36.07</v>
      </c>
      <c r="AW8" s="2">
        <v>762.33</v>
      </c>
      <c r="AX8" s="23">
        <v>11.8</v>
      </c>
      <c r="AY8" s="36" t="s">
        <v>866</v>
      </c>
      <c r="AZ8" s="4">
        <v>1.19</v>
      </c>
      <c r="BB8" s="34" t="s">
        <v>1348</v>
      </c>
      <c r="BC8" s="18" t="s">
        <v>1542</v>
      </c>
      <c r="BD8" s="18" t="s">
        <v>1469</v>
      </c>
      <c r="BE8" s="18" t="s">
        <v>1469</v>
      </c>
      <c r="BF8" s="18" t="s">
        <v>1391</v>
      </c>
      <c r="BG8" s="18" t="s">
        <v>1423</v>
      </c>
      <c r="BH8" s="64" t="s">
        <v>1098</v>
      </c>
    </row>
    <row r="9" spans="1:60" x14ac:dyDescent="0.25">
      <c r="A9" s="22" t="s">
        <v>1359</v>
      </c>
      <c r="B9" s="22" t="s">
        <v>1360</v>
      </c>
      <c r="C9" t="s">
        <v>1612</v>
      </c>
      <c r="D9" t="s">
        <v>1613</v>
      </c>
      <c r="E9" s="80">
        <f>(2*K9)/(((1-(O9^2))^0.5)+1)</f>
        <v>5.284317438716708</v>
      </c>
      <c r="F9" s="80">
        <f>2*K9-E9</f>
        <v>2.8796371012832926</v>
      </c>
      <c r="G9" s="80">
        <f>(2*L9)/(((1-(P9^2))^0.5)+1)</f>
        <v>3.77025906636054</v>
      </c>
      <c r="H9" s="80">
        <f>2*L9-G9</f>
        <v>2.7758467936394609</v>
      </c>
      <c r="I9" s="80">
        <f>(2*M9)/(((1-(Q9^2))^0.5)+1)</f>
        <v>4.0868799857272871</v>
      </c>
      <c r="J9" s="80">
        <f>2*M9-I9</f>
        <v>3.4000700142727132</v>
      </c>
      <c r="K9" s="78">
        <v>4.0819772700000003</v>
      </c>
      <c r="L9" s="78">
        <v>3.2730529300000004</v>
      </c>
      <c r="M9" s="78">
        <v>3.7434750000000001</v>
      </c>
      <c r="N9" s="35">
        <v>3.7</v>
      </c>
      <c r="O9" s="78">
        <v>0.83847490000000002</v>
      </c>
      <c r="P9" s="78">
        <v>0.67671150000000002</v>
      </c>
      <c r="Q9" s="78">
        <v>0.55485419999999996</v>
      </c>
      <c r="R9" s="79">
        <v>7.8228692999999998</v>
      </c>
      <c r="S9" s="79">
        <v>6.8339999000000002</v>
      </c>
      <c r="T9" s="79">
        <v>9.8627459000000002</v>
      </c>
      <c r="U9" s="84">
        <v>0.35582349580085021</v>
      </c>
      <c r="V9" s="84">
        <v>0.35216075765290855</v>
      </c>
      <c r="W9" s="84">
        <v>0.34011010744489234</v>
      </c>
      <c r="X9" s="80">
        <f t="shared" si="4"/>
        <v>48.487894179444886</v>
      </c>
      <c r="Y9" s="80">
        <f t="shared" si="5"/>
        <v>32.194192773329192</v>
      </c>
      <c r="Z9" s="80">
        <f t="shared" si="6"/>
        <v>44.462606118060357</v>
      </c>
      <c r="AA9" s="84">
        <v>0.46791135646343968</v>
      </c>
      <c r="AB9" s="84">
        <v>0.43945421754956748</v>
      </c>
      <c r="AC9" s="83">
        <v>0.41105563135016188</v>
      </c>
      <c r="AD9" s="83">
        <v>0.11193056749556375</v>
      </c>
      <c r="AE9" s="83">
        <v>0.11489242209361931</v>
      </c>
      <c r="AF9" s="29">
        <f>PI()*0.19^2</f>
        <v>0.11341149479459153</v>
      </c>
      <c r="AG9" s="29">
        <f>PI()*0.18^2</f>
        <v>0.10178760197630929</v>
      </c>
      <c r="AH9" s="29">
        <f>PI()*0.185^2</f>
        <v>0.10752100856911066</v>
      </c>
      <c r="AI9" s="78">
        <v>25.593039999999998</v>
      </c>
      <c r="AJ9" s="78">
        <v>25.00506</v>
      </c>
      <c r="AK9" s="78">
        <v>26.099530000000001</v>
      </c>
      <c r="AL9" s="78">
        <v>0.59170710000000004</v>
      </c>
      <c r="AM9" s="78">
        <v>0.486983</v>
      </c>
      <c r="AN9" s="78">
        <v>0.45832719999999999</v>
      </c>
      <c r="AO9" s="78">
        <v>1.0142774999999999</v>
      </c>
      <c r="AP9" s="78">
        <v>0.97917650000000001</v>
      </c>
      <c r="AQ9" s="78">
        <v>1.01851</v>
      </c>
      <c r="AR9" s="78">
        <v>0.98512630000000001</v>
      </c>
      <c r="AS9" s="78">
        <v>0.96429860000000001</v>
      </c>
      <c r="AT9" s="78">
        <v>0.95570829999999996</v>
      </c>
      <c r="AU9" s="2">
        <v>24.32</v>
      </c>
      <c r="AV9" s="2">
        <v>15.79</v>
      </c>
      <c r="AW9" s="2">
        <v>312.64999999999998</v>
      </c>
      <c r="AX9" s="23">
        <v>9.9</v>
      </c>
      <c r="AY9" s="36" t="s">
        <v>866</v>
      </c>
      <c r="AZ9" s="4">
        <v>1.91</v>
      </c>
      <c r="BB9" s="34" t="s">
        <v>1348</v>
      </c>
      <c r="BC9" s="18" t="s">
        <v>1542</v>
      </c>
      <c r="BD9" s="18" t="s">
        <v>1470</v>
      </c>
      <c r="BE9" s="18" t="s">
        <v>1470</v>
      </c>
      <c r="BF9" s="59" t="s">
        <v>1413</v>
      </c>
      <c r="BG9" s="18" t="s">
        <v>1424</v>
      </c>
      <c r="BH9" s="64" t="s">
        <v>1098</v>
      </c>
    </row>
    <row r="10" spans="1:60" x14ac:dyDescent="0.25">
      <c r="A10" s="22" t="s">
        <v>1361</v>
      </c>
      <c r="B10" s="22" t="s">
        <v>1172</v>
      </c>
      <c r="C10" t="s">
        <v>1612</v>
      </c>
      <c r="D10" t="s">
        <v>1613</v>
      </c>
      <c r="E10" s="35">
        <v>5.8118546000590792</v>
      </c>
      <c r="F10" s="35">
        <v>2.9235603165577047</v>
      </c>
      <c r="G10" s="35">
        <v>3.3940005508660542</v>
      </c>
      <c r="H10" s="35">
        <v>1.8938045036887123</v>
      </c>
      <c r="I10" s="35">
        <v>3.0281231781415356</v>
      </c>
      <c r="J10" s="78">
        <v>2.7486568506869133</v>
      </c>
      <c r="K10" s="54">
        <f>AVERAGEA(E10:F10)</f>
        <v>4.3677074583083915</v>
      </c>
      <c r="L10" s="54">
        <f>AVERAGEA(G10:H10)</f>
        <v>2.6439025272773833</v>
      </c>
      <c r="M10" s="54">
        <f>AVERAGEA(I10:J10)</f>
        <v>2.8883900144142247</v>
      </c>
      <c r="N10" s="78">
        <f>AVERAGEA(K10:M10)</f>
        <v>3.2999999999999994</v>
      </c>
      <c r="O10" s="44">
        <f>(1-((MIN(E10:F10)/MAX(E10:F10))^2))^0.5</f>
        <v>0.8642666375990562</v>
      </c>
      <c r="P10" s="44">
        <f>(1-((MIN(G10:H10)/MAX(G10:H10))^2))^0.5</f>
        <v>0.82985041929103731</v>
      </c>
      <c r="Q10" s="78">
        <f>(1-((MIN(I10:J10)/MAX(I10:J10))^2))^0.5</f>
        <v>0.41959868815725476</v>
      </c>
      <c r="R10" s="36">
        <v>18.426780200389221</v>
      </c>
      <c r="S10" s="36">
        <v>9.1737389737109627</v>
      </c>
      <c r="T10" s="79">
        <v>11.136515438442277</v>
      </c>
      <c r="U10" s="84">
        <v>0.3550007859697602</v>
      </c>
      <c r="V10" s="84">
        <v>0.35392973264915306</v>
      </c>
      <c r="W10" s="84">
        <v>0.27566848987889592</v>
      </c>
      <c r="X10" s="44">
        <v>56.762719964319921</v>
      </c>
      <c r="Y10" s="44">
        <v>20.239192871163514</v>
      </c>
      <c r="Z10" s="78">
        <v>22.910370717649794</v>
      </c>
      <c r="AA10" s="84">
        <v>0.46707312748409452</v>
      </c>
      <c r="AB10" s="84">
        <v>0.44113189239571671</v>
      </c>
      <c r="AC10" s="84">
        <v>0.34910641171523132</v>
      </c>
      <c r="AD10" s="83">
        <v>0.1123311689394233</v>
      </c>
      <c r="AE10" s="83">
        <v>0.11323259994252552</v>
      </c>
      <c r="AF10" s="84">
        <f>AVERAGEA(AD10:AE10)</f>
        <v>0.11278188444097441</v>
      </c>
      <c r="AG10" s="83">
        <v>7.3923337544136408E-2</v>
      </c>
      <c r="AH10" s="29">
        <f>PI()*0.18^2</f>
        <v>0.10178760197630929</v>
      </c>
      <c r="AI10" s="78">
        <v>25.593450000000001</v>
      </c>
      <c r="AJ10" s="78">
        <v>25.005559999999999</v>
      </c>
      <c r="AK10" s="78">
        <v>26.09985</v>
      </c>
      <c r="AL10" s="78">
        <v>0.59175809999999995</v>
      </c>
      <c r="AM10" s="78">
        <v>0.48706260000000001</v>
      </c>
      <c r="AN10" s="78">
        <v>0.458478</v>
      </c>
      <c r="AO10" s="44">
        <f>X10/(PI()*E10*F10)</f>
        <v>1.0633751969126237</v>
      </c>
      <c r="AP10" s="44">
        <f>Y10/(PI()*G10*H10)</f>
        <v>1.0022966132481737</v>
      </c>
      <c r="AQ10" s="80">
        <f>Z10/(PI()*I10*J10)</f>
        <v>0.87616960224232587</v>
      </c>
      <c r="AR10" s="78">
        <v>0.98512270000000002</v>
      </c>
      <c r="AS10" s="78">
        <v>0.96429869999999995</v>
      </c>
      <c r="AT10" s="78">
        <v>0.95569320000000002</v>
      </c>
      <c r="AU10" s="36">
        <v>38.61</v>
      </c>
      <c r="AV10" s="36">
        <v>25.431999999999999</v>
      </c>
      <c r="AW10" s="36">
        <v>206.75324992427446</v>
      </c>
      <c r="AX10" s="23">
        <v>10.199999999999999</v>
      </c>
      <c r="AY10" s="36" t="s">
        <v>866</v>
      </c>
      <c r="AZ10" s="4">
        <v>1.19</v>
      </c>
      <c r="BB10" s="34" t="s">
        <v>1385</v>
      </c>
      <c r="BC10" s="18" t="s">
        <v>1541</v>
      </c>
      <c r="BD10" s="18" t="s">
        <v>1471</v>
      </c>
      <c r="BE10" s="18" t="s">
        <v>1471</v>
      </c>
      <c r="BF10" s="59" t="s">
        <v>1373</v>
      </c>
      <c r="BG10" s="18" t="s">
        <v>1425</v>
      </c>
      <c r="BH10" s="64" t="s">
        <v>1098</v>
      </c>
    </row>
    <row r="11" spans="1:60" x14ac:dyDescent="0.25">
      <c r="A11" s="22" t="s">
        <v>1364</v>
      </c>
      <c r="B11" s="22" t="s">
        <v>1365</v>
      </c>
      <c r="C11" t="s">
        <v>1612</v>
      </c>
      <c r="D11" t="s">
        <v>1563</v>
      </c>
      <c r="E11" s="80">
        <f>(2*K11)/(((1-(O11^2))^0.5)+1)</f>
        <v>6.8634465070614779</v>
      </c>
      <c r="F11" s="80">
        <f>2*K11-E11</f>
        <v>3.575948692938522</v>
      </c>
      <c r="G11" s="80">
        <f>(2*L11)/(((1-(P11^2))^0.5)+1)</f>
        <v>5.341943758197842</v>
      </c>
      <c r="H11" s="80">
        <f>2*L11-G11</f>
        <v>3.3879391218021579</v>
      </c>
      <c r="I11" s="80">
        <f>(2*M11)/(((1-(Q11^2))^0.5)+1)</f>
        <v>5.5220361999842602</v>
      </c>
      <c r="J11" s="80">
        <f>2*M11-I11</f>
        <v>4.1672246000157394</v>
      </c>
      <c r="K11" s="78">
        <v>5.2196975999999999</v>
      </c>
      <c r="L11" s="78">
        <v>4.36494144</v>
      </c>
      <c r="M11" s="78">
        <v>4.8446303999999998</v>
      </c>
      <c r="N11" s="35">
        <v>4.8</v>
      </c>
      <c r="O11" s="78">
        <v>0.85354839999999998</v>
      </c>
      <c r="P11" s="78">
        <v>0.77315699999999998</v>
      </c>
      <c r="Q11" s="78">
        <v>0.65612340000000002</v>
      </c>
      <c r="R11" s="79">
        <v>12.992678400000001</v>
      </c>
      <c r="S11" s="79">
        <v>12.256752000000001</v>
      </c>
      <c r="T11" s="79">
        <v>16.994471999999998</v>
      </c>
      <c r="U11" s="84">
        <v>0.60605330266720969</v>
      </c>
      <c r="V11" s="84">
        <v>0.62546740143849122</v>
      </c>
      <c r="W11" s="84">
        <v>0.43525908252345819</v>
      </c>
      <c r="X11" s="80">
        <f>PI()*E11*F11*AO11</f>
        <v>75.89944458096285</v>
      </c>
      <c r="Y11" s="80">
        <f>PI()*G11*H11*AP11</f>
        <v>57.768876403897231</v>
      </c>
      <c r="Z11" s="80">
        <f>PI()*I11*J11*AQ11</f>
        <v>76.180084222487395</v>
      </c>
      <c r="AA11" s="84">
        <v>0.70681960967309709</v>
      </c>
      <c r="AB11" s="84">
        <v>0.68017378255306982</v>
      </c>
      <c r="AC11" s="83">
        <v>0.49797106035088884</v>
      </c>
      <c r="AD11" s="83">
        <v>0.25198534020299784</v>
      </c>
      <c r="AE11" s="83">
        <v>0.24061638787988179</v>
      </c>
      <c r="AF11" s="29">
        <f>PI()*0.28^2</f>
        <v>0.2463008640414398</v>
      </c>
      <c r="AG11" s="29">
        <f>PI()*0.21^2</f>
        <v>0.13854423602330987</v>
      </c>
      <c r="AH11" s="29">
        <f>PI()*0.255^2</f>
        <v>0.2042820622996763</v>
      </c>
      <c r="AI11" s="78">
        <v>26.193239999999999</v>
      </c>
      <c r="AJ11" s="78">
        <v>25.746849999999998</v>
      </c>
      <c r="AK11" s="78">
        <v>26.563559999999999</v>
      </c>
      <c r="AL11" s="78">
        <v>0.66623509999999997</v>
      </c>
      <c r="AM11" s="78">
        <v>0.60317730000000003</v>
      </c>
      <c r="AN11" s="78">
        <v>0.67855699999999997</v>
      </c>
      <c r="AO11" s="78">
        <v>0.98436279999999998</v>
      </c>
      <c r="AP11" s="78">
        <v>1.0160361</v>
      </c>
      <c r="AQ11" s="78">
        <v>1.053769</v>
      </c>
      <c r="AR11" s="78">
        <v>0.97991039999999996</v>
      </c>
      <c r="AS11" s="78">
        <v>0.96448860000000003</v>
      </c>
      <c r="AT11" s="78">
        <v>0.93369460000000004</v>
      </c>
      <c r="AU11" s="2">
        <v>87.62</v>
      </c>
      <c r="AV11" s="2">
        <v>58.08</v>
      </c>
      <c r="AW11" s="2">
        <v>1525.64</v>
      </c>
      <c r="AX11" s="23">
        <v>8.6999999999999993</v>
      </c>
      <c r="AY11" s="36" t="s">
        <v>866</v>
      </c>
      <c r="AZ11" s="4">
        <v>1.19</v>
      </c>
      <c r="BB11" s="34" t="s">
        <v>1348</v>
      </c>
      <c r="BC11" s="18" t="s">
        <v>1542</v>
      </c>
      <c r="BD11" s="18" t="s">
        <v>1472</v>
      </c>
      <c r="BE11" s="18" t="s">
        <v>1472</v>
      </c>
      <c r="BF11" s="59" t="s">
        <v>1392</v>
      </c>
      <c r="BG11" s="18" t="s">
        <v>1426</v>
      </c>
      <c r="BH11" s="64" t="s">
        <v>1098</v>
      </c>
    </row>
    <row r="12" spans="1:60" x14ac:dyDescent="0.25">
      <c r="A12" s="22" t="s">
        <v>1366</v>
      </c>
      <c r="B12" s="22" t="s">
        <v>1173</v>
      </c>
      <c r="C12" t="s">
        <v>1612</v>
      </c>
      <c r="D12" t="s">
        <v>1561</v>
      </c>
      <c r="E12" s="35">
        <v>5.435758472956147</v>
      </c>
      <c r="F12" s="35">
        <v>3.0077587474632601</v>
      </c>
      <c r="G12" s="35">
        <v>4.7653258301389201</v>
      </c>
      <c r="H12" s="35">
        <v>4.2208527367378759</v>
      </c>
      <c r="I12" s="35">
        <v>5.4446446603464675</v>
      </c>
      <c r="J12" s="35">
        <v>3.5256595523573298</v>
      </c>
      <c r="K12" s="35">
        <f>AVERAGEA(E12:F12)</f>
        <v>4.2217586102097036</v>
      </c>
      <c r="L12" s="35">
        <f>AVERAGEA(G12:H12)</f>
        <v>4.4930892834383975</v>
      </c>
      <c r="M12" s="35">
        <f>AVERAGEA(I12:J12)</f>
        <v>4.4851521063518991</v>
      </c>
      <c r="N12" s="44">
        <f>AVERAGEA(K12:M12)</f>
        <v>4.4000000000000004</v>
      </c>
      <c r="O12" s="44">
        <f>(1-((MIN(E12:F12)/MAX(E12:F12))^2))^0.5</f>
        <v>0.83296329020260573</v>
      </c>
      <c r="P12" s="44">
        <f>(1-((MIN(G12:H12)/MAX(G12:H12))^2))^0.5</f>
        <v>0.46417648191135491</v>
      </c>
      <c r="Q12" s="44">
        <f>(1-((MIN(I12:J12)/MAX(I12:J12))^2))^0.5</f>
        <v>0.7620261006040101</v>
      </c>
      <c r="R12" s="58">
        <v>13.995141224105643</v>
      </c>
      <c r="S12" s="58">
        <v>15.170188527563456</v>
      </c>
      <c r="T12" s="58">
        <v>18.781431554592601</v>
      </c>
      <c r="U12" s="84">
        <v>0.49572051273882006</v>
      </c>
      <c r="V12" s="84">
        <v>0.50904843160902469</v>
      </c>
      <c r="W12" s="84">
        <v>0.41005117586193429</v>
      </c>
      <c r="X12" s="44">
        <v>53.479205931229423</v>
      </c>
      <c r="Y12" s="44">
        <v>56.034110144703611</v>
      </c>
      <c r="Z12" s="44">
        <v>58.514166091080675</v>
      </c>
      <c r="AA12" s="84">
        <v>0.60493231320228114</v>
      </c>
      <c r="AB12" s="84">
        <v>0.58156791490187221</v>
      </c>
      <c r="AC12" s="83">
        <v>0.47539710207444669</v>
      </c>
      <c r="AD12" s="83">
        <v>0.18349040194835847</v>
      </c>
      <c r="AE12" s="83">
        <v>0.17842107174518565</v>
      </c>
      <c r="AF12" s="29">
        <f>PI()*0.24^2</f>
        <v>0.18095573684677208</v>
      </c>
      <c r="AG12" s="29">
        <f>PI()*0.2^2</f>
        <v>0.12566370614359174</v>
      </c>
      <c r="AH12" s="29">
        <f>PI()*0.225^2</f>
        <v>0.15904312808798329</v>
      </c>
      <c r="AI12" s="78">
        <v>25.913889999999999</v>
      </c>
      <c r="AJ12" s="78">
        <v>25.401589999999999</v>
      </c>
      <c r="AK12" s="78">
        <v>26.34759</v>
      </c>
      <c r="AL12" s="78">
        <v>0.63154719999999998</v>
      </c>
      <c r="AM12" s="78">
        <v>0.54909649999999999</v>
      </c>
      <c r="AN12" s="78">
        <v>0.57605450000000002</v>
      </c>
      <c r="AO12" s="44">
        <f>X12/(PI()*E12*F12)</f>
        <v>1.0411946489378945</v>
      </c>
      <c r="AP12" s="44">
        <f>Y12/(PI()*G12*H12)</f>
        <v>0.88676757725011224</v>
      </c>
      <c r="AQ12" s="44">
        <f>Z12/(PI()*I12*J12)</f>
        <v>0.97028927937586795</v>
      </c>
      <c r="AR12" s="78">
        <v>0.98233800000000004</v>
      </c>
      <c r="AS12" s="78">
        <v>0.96440020000000004</v>
      </c>
      <c r="AT12" s="78">
        <v>0.94394049999999996</v>
      </c>
      <c r="AU12" s="36">
        <v>84.14</v>
      </c>
      <c r="AV12" s="36">
        <v>40.021999999999998</v>
      </c>
      <c r="AW12" s="36">
        <v>641.59920624963013</v>
      </c>
      <c r="AX12" s="23">
        <v>19</v>
      </c>
      <c r="AY12" s="36" t="s">
        <v>866</v>
      </c>
      <c r="AZ12" s="4">
        <v>1.19</v>
      </c>
      <c r="BB12" s="34" t="s">
        <v>1385</v>
      </c>
      <c r="BC12" s="18" t="s">
        <v>1543</v>
      </c>
      <c r="BD12" s="18" t="s">
        <v>1473</v>
      </c>
      <c r="BE12" s="18" t="s">
        <v>1473</v>
      </c>
      <c r="BF12" s="59" t="s">
        <v>1374</v>
      </c>
      <c r="BG12" s="18" t="s">
        <v>1459</v>
      </c>
      <c r="BH12" s="64" t="s">
        <v>1098</v>
      </c>
    </row>
    <row r="13" spans="1:60" x14ac:dyDescent="0.25">
      <c r="A13" s="52" t="s">
        <v>1362</v>
      </c>
      <c r="B13" s="53" t="s">
        <v>1363</v>
      </c>
      <c r="C13" t="s">
        <v>1612</v>
      </c>
      <c r="D13" t="s">
        <v>1613</v>
      </c>
      <c r="E13" s="80">
        <f>(2*K13)/(((1-(O13^2))^0.5)+1)</f>
        <v>6.9981501215437492</v>
      </c>
      <c r="F13" s="80">
        <f>2*K13-E13</f>
        <v>3.8135734584562533</v>
      </c>
      <c r="G13" s="80">
        <f>(2*L13)/(((1-(P13^2))^0.5)+1)</f>
        <v>4.9930457905855796</v>
      </c>
      <c r="H13" s="80">
        <f>2*L13-G13</f>
        <v>3.6761214294144207</v>
      </c>
      <c r="I13" s="80">
        <f>(2*M13)/(((1-(Q13^2))^0.5)+1)</f>
        <v>5.4123545756928939</v>
      </c>
      <c r="J13" s="80">
        <f>2*M13-I13</f>
        <v>4.5027954243071067</v>
      </c>
      <c r="K13" s="78">
        <v>5.4058617900000012</v>
      </c>
      <c r="L13" s="78">
        <v>4.3345836100000001</v>
      </c>
      <c r="M13" s="78">
        <v>4.9575750000000003</v>
      </c>
      <c r="N13" s="35">
        <v>4.9000000000000004</v>
      </c>
      <c r="O13" s="78">
        <v>0.83847490000000002</v>
      </c>
      <c r="P13" s="78">
        <v>0.67671150000000002</v>
      </c>
      <c r="Q13" s="78">
        <v>0.55485419999999996</v>
      </c>
      <c r="R13" s="79">
        <v>10.360016099999999</v>
      </c>
      <c r="S13" s="79">
        <v>9.0504323000000007</v>
      </c>
      <c r="T13" s="79">
        <v>13.0614743</v>
      </c>
      <c r="U13" s="84">
        <v>0.67587038250652376</v>
      </c>
      <c r="V13" s="84">
        <v>0.66725071220449017</v>
      </c>
      <c r="W13" s="84">
        <v>0.4503573713929036</v>
      </c>
      <c r="X13" s="80">
        <f t="shared" ref="X13:X14" si="7">PI()*E13*F13*AO13</f>
        <v>85.03976181508196</v>
      </c>
      <c r="Y13" s="80">
        <f t="shared" ref="Y13:Y14" si="8">PI()*G13*H13*AP13</f>
        <v>56.463299378205534</v>
      </c>
      <c r="Z13" s="80">
        <f t="shared" ref="Z13:Z14" si="9">PI()*I13*J13*AQ13</f>
        <v>77.980071066079546</v>
      </c>
      <c r="AA13" s="84">
        <v>0.76910846827110146</v>
      </c>
      <c r="AB13" s="84">
        <v>0.71445819238910258</v>
      </c>
      <c r="AC13" s="83">
        <v>0.51135204071516871</v>
      </c>
      <c r="AD13" s="83">
        <v>0.27905127630472959</v>
      </c>
      <c r="AE13" s="83">
        <v>0.28643540134143319</v>
      </c>
      <c r="AF13" s="29">
        <f>PI()*0.3^2</f>
        <v>0.28274333882308139</v>
      </c>
      <c r="AG13" s="29">
        <f>PI()*0.22^2</f>
        <v>0.15205308443374599</v>
      </c>
      <c r="AH13" s="29">
        <f>PI()*0.275^2</f>
        <v>0.23758294442772815</v>
      </c>
      <c r="AI13" s="78">
        <v>25.593039999999998</v>
      </c>
      <c r="AJ13" s="78">
        <v>25.00506</v>
      </c>
      <c r="AK13" s="78">
        <v>26.099530000000001</v>
      </c>
      <c r="AL13" s="78">
        <v>0.59170710000000004</v>
      </c>
      <c r="AM13" s="78">
        <v>0.486983</v>
      </c>
      <c r="AN13" s="78">
        <v>0.45832719999999999</v>
      </c>
      <c r="AO13" s="78">
        <v>1.0142774999999999</v>
      </c>
      <c r="AP13" s="78">
        <v>0.97917650000000001</v>
      </c>
      <c r="AQ13" s="78">
        <v>1.01851</v>
      </c>
      <c r="AR13" s="78">
        <v>0.98512630000000001</v>
      </c>
      <c r="AS13" s="78">
        <v>0.96429860000000001</v>
      </c>
      <c r="AT13" s="78">
        <v>0.95570829999999996</v>
      </c>
      <c r="AU13" s="2">
        <v>102.71</v>
      </c>
      <c r="AV13" s="2">
        <v>69.739999999999995</v>
      </c>
      <c r="AW13" s="2">
        <v>1354.39</v>
      </c>
      <c r="AX13" s="4">
        <v>3</v>
      </c>
      <c r="AY13" s="36" t="s">
        <v>866</v>
      </c>
      <c r="AZ13" s="4">
        <v>1.91</v>
      </c>
      <c r="BB13" s="34" t="s">
        <v>1348</v>
      </c>
      <c r="BC13" s="18" t="s">
        <v>1542</v>
      </c>
      <c r="BD13" s="62" t="s">
        <v>1474</v>
      </c>
      <c r="BE13" s="62" t="s">
        <v>1474</v>
      </c>
      <c r="BF13" s="59" t="s">
        <v>1414</v>
      </c>
      <c r="BG13" s="18" t="s">
        <v>1427</v>
      </c>
      <c r="BH13" s="64" t="s">
        <v>1098</v>
      </c>
    </row>
    <row r="14" spans="1:60" x14ac:dyDescent="0.25">
      <c r="A14" s="52" t="s">
        <v>1370</v>
      </c>
      <c r="B14" s="53" t="s">
        <v>1371</v>
      </c>
      <c r="C14" t="s">
        <v>1612</v>
      </c>
      <c r="D14" t="s">
        <v>1562</v>
      </c>
      <c r="E14" s="80">
        <f>(2*K14)/(((1-(O14^2))^0.5)+1)</f>
        <v>5.7998500516573159</v>
      </c>
      <c r="F14" s="80">
        <f>2*K14-E14</f>
        <v>3.7173509083426826</v>
      </c>
      <c r="G14" s="80">
        <f>(2*L14)/(((1-(P14^2))^0.5)+1)</f>
        <v>5.6853754451329497</v>
      </c>
      <c r="H14" s="80">
        <f>2*L14-G14</f>
        <v>3.4293896748670498</v>
      </c>
      <c r="I14" s="80">
        <f>(2*M14)/(((1-(Q14^2))^0.5)+1)</f>
        <v>6.212260408368091</v>
      </c>
      <c r="J14" s="80">
        <f>2*M14-I14</f>
        <v>3.957768391631908</v>
      </c>
      <c r="K14" s="78">
        <v>4.7586004799999992</v>
      </c>
      <c r="L14" s="78">
        <v>4.5573825599999997</v>
      </c>
      <c r="M14" s="78">
        <v>5.0850143999999995</v>
      </c>
      <c r="N14" s="35">
        <v>4.8</v>
      </c>
      <c r="O14" s="78">
        <v>0.76759169999999999</v>
      </c>
      <c r="P14" s="78">
        <v>0.79759380000000002</v>
      </c>
      <c r="Q14" s="78">
        <v>0.77078950000000002</v>
      </c>
      <c r="R14" s="79">
        <v>11.4292224</v>
      </c>
      <c r="S14" s="79">
        <v>12.0586176</v>
      </c>
      <c r="T14" s="79">
        <v>18.437707199999998</v>
      </c>
      <c r="U14" s="84">
        <v>0.5409203176705758</v>
      </c>
      <c r="V14" s="84">
        <v>0.60140628725462653</v>
      </c>
      <c r="W14" s="84">
        <v>0.35956417109183109</v>
      </c>
      <c r="X14" s="80">
        <f t="shared" si="7"/>
        <v>69.790622155451814</v>
      </c>
      <c r="Y14" s="80">
        <f t="shared" si="8"/>
        <v>59.665323604536034</v>
      </c>
      <c r="Z14" s="80">
        <f t="shared" si="9"/>
        <v>79.753401481089796</v>
      </c>
      <c r="AA14" s="84">
        <v>0.64723364606160261</v>
      </c>
      <c r="AB14" s="84">
        <v>0.66018280802995222</v>
      </c>
      <c r="AC14" s="83">
        <v>0.42922509515831431</v>
      </c>
      <c r="AD14" s="83">
        <v>0.22403609204529787</v>
      </c>
      <c r="AE14" s="83">
        <v>0.20070723472004226</v>
      </c>
      <c r="AF14" s="29">
        <f>PI()*0.26^2</f>
        <v>0.21237166338267005</v>
      </c>
      <c r="AG14" s="29">
        <f>PI()*0.19^2</f>
        <v>0.11341149479459153</v>
      </c>
      <c r="AH14" s="29">
        <f>PI()*0.235^2</f>
        <v>0.17349445429449631</v>
      </c>
      <c r="AI14" s="78">
        <v>25.675619999999999</v>
      </c>
      <c r="AJ14" s="78">
        <v>25.107109999999999</v>
      </c>
      <c r="AK14" s="78">
        <v>26.16337</v>
      </c>
      <c r="AL14" s="78">
        <v>0.60196039999999995</v>
      </c>
      <c r="AM14" s="78">
        <v>0.50296870000000005</v>
      </c>
      <c r="AN14" s="78">
        <v>0.4886258</v>
      </c>
      <c r="AO14" s="78">
        <v>1.0303787</v>
      </c>
      <c r="AP14" s="78">
        <v>0.97408340000000004</v>
      </c>
      <c r="AQ14" s="78">
        <v>1.0325219999999999</v>
      </c>
      <c r="AR14" s="78">
        <v>0.98440870000000003</v>
      </c>
      <c r="AS14" s="78">
        <v>0.96432479999999998</v>
      </c>
      <c r="AT14" s="78">
        <v>0.95267970000000002</v>
      </c>
      <c r="AU14" s="2">
        <v>85.15</v>
      </c>
      <c r="AV14" s="2">
        <v>60.63</v>
      </c>
      <c r="AW14" s="2">
        <v>1258.49</v>
      </c>
      <c r="AX14" s="4">
        <v>3.6</v>
      </c>
      <c r="AY14" s="36" t="s">
        <v>866</v>
      </c>
      <c r="AZ14" s="4">
        <v>1.19</v>
      </c>
      <c r="BB14" s="34" t="s">
        <v>1348</v>
      </c>
      <c r="BC14" s="18" t="s">
        <v>1542</v>
      </c>
      <c r="BD14" s="62" t="s">
        <v>1475</v>
      </c>
      <c r="BE14" s="62" t="s">
        <v>1475</v>
      </c>
      <c r="BF14" s="59" t="s">
        <v>1393</v>
      </c>
      <c r="BG14" s="18" t="s">
        <v>1428</v>
      </c>
      <c r="BH14" s="64" t="s">
        <v>1098</v>
      </c>
    </row>
    <row r="15" spans="1:60" x14ac:dyDescent="0.25">
      <c r="A15" s="22" t="s">
        <v>1283</v>
      </c>
      <c r="B15" s="22" t="s">
        <v>1284</v>
      </c>
      <c r="C15" t="s">
        <v>1612</v>
      </c>
      <c r="D15" t="s">
        <v>1613</v>
      </c>
      <c r="E15" s="35">
        <f>5.825/2</f>
        <v>2.9125000000000001</v>
      </c>
      <c r="F15" s="35">
        <f>3.752/2</f>
        <v>1.8759999999999999</v>
      </c>
      <c r="G15" s="35">
        <f>3.601/2</f>
        <v>1.8005</v>
      </c>
      <c r="H15" s="35">
        <f>3.028/2</f>
        <v>1.514</v>
      </c>
      <c r="I15" s="35">
        <f>3.86/2</f>
        <v>1.93</v>
      </c>
      <c r="J15" s="78">
        <v>1.441594</v>
      </c>
      <c r="K15" s="54">
        <f t="shared" ref="K15:K22" si="10">AVERAGEA(E15:F15)</f>
        <v>2.39425</v>
      </c>
      <c r="L15" s="54">
        <f t="shared" ref="L15:L27" si="11">AVERAGEA(G15:H15)</f>
        <v>1.6572499999999999</v>
      </c>
      <c r="M15" s="80">
        <f t="shared" ref="M15:M20" si="12">AVERAGEA(I15:J15)</f>
        <v>1.685797</v>
      </c>
      <c r="N15" s="80">
        <f t="shared" ref="N15:N20" si="13">AVERAGEA(K15:M15)</f>
        <v>1.9124323333333333</v>
      </c>
      <c r="O15" s="44">
        <f t="shared" ref="O15:O22" si="14">(1-((MIN(E15:F15)/MAX(E15:F15))^2))^0.5</f>
        <v>0.76492431288519591</v>
      </c>
      <c r="P15" s="44">
        <f t="shared" ref="P15:P27" si="15">(1-((MIN(G15:H15)/MAX(G15:H15))^2))^0.5</f>
        <v>0.54122543619387964</v>
      </c>
      <c r="Q15" s="80">
        <f t="shared" ref="Q15:Q31" si="16">(1-((MIN(I15:J15)/MAX(I15:J15))^2))^0.5</f>
        <v>0.6648915634945346</v>
      </c>
      <c r="R15" s="36">
        <v>8.0980000000000008</v>
      </c>
      <c r="S15" s="36">
        <v>4.556</v>
      </c>
      <c r="T15" s="78">
        <v>7.1749689999999999</v>
      </c>
      <c r="U15" s="83">
        <v>0.34417319591474455</v>
      </c>
      <c r="V15" s="83">
        <v>0.3782515109619542</v>
      </c>
      <c r="W15" s="83">
        <v>0.27657624054370444</v>
      </c>
      <c r="X15" s="1">
        <v>18.123000000000001</v>
      </c>
      <c r="Y15" s="1">
        <v>7.3170000000000002</v>
      </c>
      <c r="Z15" s="78">
        <v>10.161637000000001</v>
      </c>
      <c r="AA15" s="60">
        <v>0.45600000000000002</v>
      </c>
      <c r="AB15" s="60">
        <v>0.46400000000000002</v>
      </c>
      <c r="AC15" s="60">
        <v>0.35</v>
      </c>
      <c r="AD15" s="50">
        <f>PI()*(0.363/2)^2</f>
        <v>0.10349113059271836</v>
      </c>
      <c r="AE15" s="50">
        <f>PI()*(0.389/2)^2</f>
        <v>0.11884723548346528</v>
      </c>
      <c r="AF15" s="29">
        <f t="shared" ref="AF15:AF40" si="17">AVERAGEA(AD15:AE15)</f>
        <v>0.11116918303809181</v>
      </c>
      <c r="AG15" s="50">
        <f>PI()*(0.28/2)^2</f>
        <v>6.1575216010359951E-2</v>
      </c>
      <c r="AH15" s="50">
        <f t="shared" si="0"/>
        <v>9.877069128115884E-2</v>
      </c>
      <c r="AI15" s="78">
        <v>25.60989</v>
      </c>
      <c r="AJ15" s="78">
        <v>25.025870000000001</v>
      </c>
      <c r="AK15" s="78">
        <v>26.112559999999998</v>
      </c>
      <c r="AL15" s="78">
        <v>0.59379859999999995</v>
      </c>
      <c r="AM15" s="78">
        <v>0.49024380000000001</v>
      </c>
      <c r="AN15" s="78">
        <v>0.46450750000000002</v>
      </c>
      <c r="AO15" s="44">
        <f t="shared" ref="AO15:AO22" si="18">X15/(PI()*E15*F15)</f>
        <v>1.0557994943691424</v>
      </c>
      <c r="AP15" s="44">
        <f t="shared" ref="AP15:AP27" si="19">Y15/(PI()*G15*H15)</f>
        <v>0.85440578747456264</v>
      </c>
      <c r="AQ15" s="80">
        <f t="shared" ref="AQ15:AQ20" si="20">Z15/(PI()*I15*J15)</f>
        <v>1.1625550551555177</v>
      </c>
      <c r="AR15" s="78">
        <v>0.98497990000000002</v>
      </c>
      <c r="AS15" s="78">
        <v>0.96430389999999999</v>
      </c>
      <c r="AT15" s="78">
        <v>0.95509049999999995</v>
      </c>
      <c r="AU15" s="2">
        <v>19.79</v>
      </c>
      <c r="AV15" s="2">
        <v>14.02</v>
      </c>
      <c r="AW15" s="2">
        <v>7.31</v>
      </c>
      <c r="AX15" s="4">
        <v>1.9</v>
      </c>
      <c r="AY15" s="36" t="s">
        <v>866</v>
      </c>
      <c r="AZ15" s="4">
        <v>1.19</v>
      </c>
      <c r="BB15" s="34" t="s">
        <v>1289</v>
      </c>
      <c r="BC15" s="62" t="s">
        <v>1544</v>
      </c>
      <c r="BD15" s="65" t="s">
        <v>1476</v>
      </c>
      <c r="BE15" s="65" t="s">
        <v>1476</v>
      </c>
      <c r="BF15" s="59" t="s">
        <v>1415</v>
      </c>
      <c r="BG15" s="18" t="s">
        <v>1429</v>
      </c>
      <c r="BH15" s="64" t="s">
        <v>1098</v>
      </c>
    </row>
    <row r="16" spans="1:60" x14ac:dyDescent="0.25">
      <c r="A16" s="22" t="s">
        <v>1285</v>
      </c>
      <c r="B16" s="22" t="s">
        <v>1286</v>
      </c>
      <c r="C16" t="s">
        <v>1612</v>
      </c>
      <c r="D16" t="s">
        <v>1613</v>
      </c>
      <c r="E16" s="35">
        <f>5.435/2</f>
        <v>2.7174999999999998</v>
      </c>
      <c r="F16" s="35">
        <f>5.082/2</f>
        <v>2.5409999999999999</v>
      </c>
      <c r="G16" s="35">
        <f>4.979/2</f>
        <v>2.4895</v>
      </c>
      <c r="H16" s="35">
        <f>4.331/2</f>
        <v>2.1655000000000002</v>
      </c>
      <c r="I16" s="35">
        <f>5.473/2</f>
        <v>2.7364999999999999</v>
      </c>
      <c r="J16" s="78">
        <v>1.8838969999999999</v>
      </c>
      <c r="K16" s="54">
        <f t="shared" si="10"/>
        <v>2.6292499999999999</v>
      </c>
      <c r="L16" s="54">
        <f t="shared" si="11"/>
        <v>2.3275000000000001</v>
      </c>
      <c r="M16" s="80">
        <f t="shared" si="12"/>
        <v>2.3101984999999998</v>
      </c>
      <c r="N16" s="80">
        <f t="shared" si="13"/>
        <v>2.4223161666666666</v>
      </c>
      <c r="O16" s="44">
        <f t="shared" si="14"/>
        <v>0.35451428634763554</v>
      </c>
      <c r="P16" s="44">
        <f t="shared" si="15"/>
        <v>0.49331033839965011</v>
      </c>
      <c r="Q16" s="80">
        <f t="shared" si="16"/>
        <v>0.72529990794175103</v>
      </c>
      <c r="R16" s="36">
        <v>8.2479999999999993</v>
      </c>
      <c r="S16" s="36">
        <v>6.5549999999999997</v>
      </c>
      <c r="T16" s="78">
        <v>9.7546180000000007</v>
      </c>
      <c r="U16" s="83">
        <v>0.45596253734642744</v>
      </c>
      <c r="V16" s="83">
        <v>0.46738086455535766</v>
      </c>
      <c r="W16" s="83">
        <v>0.33156268914961212</v>
      </c>
      <c r="X16" s="1">
        <v>23.353000000000002</v>
      </c>
      <c r="Y16" s="1">
        <v>13.978999999999999</v>
      </c>
      <c r="Z16" s="78">
        <v>14.793455</v>
      </c>
      <c r="AA16" s="60">
        <v>0.56699999999999995</v>
      </c>
      <c r="AB16" s="60">
        <v>0.54500000000000004</v>
      </c>
      <c r="AC16" s="60">
        <v>0.40300000000000002</v>
      </c>
      <c r="AD16" s="50">
        <f>PI()*(0.41/2)^2</f>
        <v>0.13202543126711103</v>
      </c>
      <c r="AE16" s="50">
        <f>PI()*(0.432/2)^2</f>
        <v>0.14657414684588538</v>
      </c>
      <c r="AF16" s="29">
        <f t="shared" si="17"/>
        <v>0.1392997890564982</v>
      </c>
      <c r="AG16" s="50">
        <f>PI()*(0.287/2)^2</f>
        <v>6.4692461320884409E-2</v>
      </c>
      <c r="AH16" s="50">
        <f t="shared" si="0"/>
        <v>0.12064795712259475</v>
      </c>
      <c r="AI16" s="78">
        <v>25.60989</v>
      </c>
      <c r="AJ16" s="78">
        <v>25.025870000000001</v>
      </c>
      <c r="AK16" s="78">
        <v>26.112559999999998</v>
      </c>
      <c r="AL16" s="78">
        <v>0.59379859999999995</v>
      </c>
      <c r="AM16" s="78">
        <v>0.49024380000000001</v>
      </c>
      <c r="AN16" s="78">
        <v>0.46450750000000002</v>
      </c>
      <c r="AO16" s="44">
        <f t="shared" si="18"/>
        <v>1.0765112898492419</v>
      </c>
      <c r="AP16" s="44">
        <f t="shared" si="19"/>
        <v>0.82538374847195151</v>
      </c>
      <c r="AQ16" s="80">
        <f t="shared" si="20"/>
        <v>0.91341288840353296</v>
      </c>
      <c r="AR16" s="78">
        <v>0.98497990000000002</v>
      </c>
      <c r="AS16" s="78">
        <v>0.96430389999999999</v>
      </c>
      <c r="AT16" s="78">
        <v>0.95509049999999995</v>
      </c>
      <c r="AU16" s="2">
        <v>19.04</v>
      </c>
      <c r="AV16" s="2">
        <v>12.93</v>
      </c>
      <c r="AW16" s="2">
        <v>7.56</v>
      </c>
      <c r="AX16" s="4">
        <v>3.2</v>
      </c>
      <c r="AY16" s="36" t="s">
        <v>866</v>
      </c>
      <c r="AZ16" s="4">
        <v>1.19</v>
      </c>
      <c r="BB16" s="34" t="s">
        <v>1289</v>
      </c>
      <c r="BC16" s="62" t="s">
        <v>1545</v>
      </c>
      <c r="BD16" s="65" t="s">
        <v>1476</v>
      </c>
      <c r="BE16" s="65" t="s">
        <v>1476</v>
      </c>
      <c r="BF16" s="59" t="s">
        <v>1416</v>
      </c>
      <c r="BG16" s="18" t="s">
        <v>1430</v>
      </c>
      <c r="BH16" s="64" t="s">
        <v>1098</v>
      </c>
    </row>
    <row r="17" spans="1:60" x14ac:dyDescent="0.25">
      <c r="A17" s="22" t="s">
        <v>1287</v>
      </c>
      <c r="B17" s="22" t="s">
        <v>1288</v>
      </c>
      <c r="C17" t="s">
        <v>1612</v>
      </c>
      <c r="D17" t="s">
        <v>1613</v>
      </c>
      <c r="E17" s="35">
        <f>3.176/2</f>
        <v>1.5880000000000001</v>
      </c>
      <c r="F17" s="35">
        <f>2.489/2</f>
        <v>1.2444999999999999</v>
      </c>
      <c r="G17" s="35">
        <f>2.757/2</f>
        <v>1.3785000000000001</v>
      </c>
      <c r="H17" s="35">
        <f>2.022/2</f>
        <v>1.0109999999999999</v>
      </c>
      <c r="I17" s="35">
        <f>2.984/2</f>
        <v>1.492</v>
      </c>
      <c r="J17" s="78">
        <v>1.0704359999999999</v>
      </c>
      <c r="K17" s="54">
        <f t="shared" si="10"/>
        <v>1.41625</v>
      </c>
      <c r="L17" s="54">
        <f t="shared" si="11"/>
        <v>1.19475</v>
      </c>
      <c r="M17" s="80">
        <f t="shared" si="12"/>
        <v>1.281218</v>
      </c>
      <c r="N17" s="80">
        <f t="shared" si="13"/>
        <v>1.2974059999999998</v>
      </c>
      <c r="O17" s="44">
        <f t="shared" si="14"/>
        <v>0.62115191985192897</v>
      </c>
      <c r="P17" s="44">
        <f t="shared" si="15"/>
        <v>0.67979101282592791</v>
      </c>
      <c r="Q17" s="80">
        <f t="shared" si="16"/>
        <v>0.69660958970021714</v>
      </c>
      <c r="R17" s="36">
        <v>3.8690000000000002</v>
      </c>
      <c r="S17" s="36">
        <f>3.246</f>
        <v>3.246</v>
      </c>
      <c r="T17" s="78">
        <v>5.2043359999999996</v>
      </c>
      <c r="U17" s="83">
        <v>0.25092740755225296</v>
      </c>
      <c r="V17" s="83">
        <v>0.1650843943025814</v>
      </c>
      <c r="W17" s="83">
        <v>0.18035316571099835</v>
      </c>
      <c r="X17" s="1">
        <v>6.1239999999999997</v>
      </c>
      <c r="Y17" s="1">
        <v>3.657</v>
      </c>
      <c r="Z17" s="78">
        <v>4.5923720000000001</v>
      </c>
      <c r="AA17" s="60">
        <v>0.35699999999999998</v>
      </c>
      <c r="AB17" s="60">
        <v>0.247</v>
      </c>
      <c r="AC17" s="60">
        <v>0.251</v>
      </c>
      <c r="AD17" s="50">
        <f>PI()*(0.343/2)^2</f>
        <v>9.24013085255464E-2</v>
      </c>
      <c r="AE17" s="50">
        <f>PI()*(0.212/2)^2</f>
        <v>3.5298935055734913E-2</v>
      </c>
      <c r="AF17" s="29">
        <f t="shared" si="17"/>
        <v>6.385012179064066E-2</v>
      </c>
      <c r="AG17" s="50">
        <f>PI()*(0.191/2)^2</f>
        <v>2.8652110398902312E-2</v>
      </c>
      <c r="AH17" s="50">
        <f t="shared" si="0"/>
        <v>5.5050618942706075E-2</v>
      </c>
      <c r="AI17" s="78">
        <v>25.60989</v>
      </c>
      <c r="AJ17" s="78">
        <v>25.025870000000001</v>
      </c>
      <c r="AK17" s="78">
        <v>26.112559999999998</v>
      </c>
      <c r="AL17" s="78">
        <v>0.59379859999999995</v>
      </c>
      <c r="AM17" s="78">
        <v>0.49024380000000001</v>
      </c>
      <c r="AN17" s="78">
        <v>0.46450750000000002</v>
      </c>
      <c r="AO17" s="44">
        <f t="shared" si="18"/>
        <v>0.98637012577736694</v>
      </c>
      <c r="AP17" s="44">
        <f t="shared" si="19"/>
        <v>0.83525130260936209</v>
      </c>
      <c r="AQ17" s="80">
        <f t="shared" si="20"/>
        <v>0.91528776713039994</v>
      </c>
      <c r="AR17" s="78">
        <v>0.98497990000000002</v>
      </c>
      <c r="AS17" s="78">
        <v>0.96430389999999999</v>
      </c>
      <c r="AT17" s="78">
        <v>0.95509049999999995</v>
      </c>
      <c r="AU17" s="2">
        <v>13.6</v>
      </c>
      <c r="AV17" s="2">
        <v>7.12</v>
      </c>
      <c r="AW17" s="2">
        <v>2.38</v>
      </c>
      <c r="AX17" s="4">
        <v>3.2</v>
      </c>
      <c r="AY17" s="36" t="s">
        <v>866</v>
      </c>
      <c r="AZ17" s="4">
        <v>1.19</v>
      </c>
      <c r="BB17" s="34" t="s">
        <v>1289</v>
      </c>
      <c r="BC17" s="62" t="s">
        <v>1545</v>
      </c>
      <c r="BD17" s="62" t="s">
        <v>1476</v>
      </c>
      <c r="BE17" s="62" t="s">
        <v>1476</v>
      </c>
      <c r="BF17" s="62" t="s">
        <v>1395</v>
      </c>
      <c r="BG17" s="18" t="s">
        <v>1431</v>
      </c>
      <c r="BH17" s="64" t="s">
        <v>1098</v>
      </c>
    </row>
    <row r="18" spans="1:60" x14ac:dyDescent="0.25">
      <c r="A18" s="22" t="s">
        <v>1331</v>
      </c>
      <c r="B18" s="22" t="s">
        <v>1308</v>
      </c>
      <c r="C18" t="s">
        <v>1612</v>
      </c>
      <c r="D18" t="s">
        <v>1562</v>
      </c>
      <c r="E18" s="35">
        <f>7.245/2</f>
        <v>3.6225000000000001</v>
      </c>
      <c r="F18" s="35">
        <f>4.959/2</f>
        <v>2.4794999999999998</v>
      </c>
      <c r="G18" s="35">
        <f>8.544/2</f>
        <v>4.2720000000000002</v>
      </c>
      <c r="H18" s="35">
        <f>4.411/2</f>
        <v>2.2054999999999998</v>
      </c>
      <c r="I18" s="35">
        <f>9.84/2</f>
        <v>4.92</v>
      </c>
      <c r="J18" s="35">
        <f>4.574/2</f>
        <v>2.2869999999999999</v>
      </c>
      <c r="K18" s="54">
        <f t="shared" si="10"/>
        <v>3.0510000000000002</v>
      </c>
      <c r="L18" s="54">
        <f t="shared" si="11"/>
        <v>3.23875</v>
      </c>
      <c r="M18" s="35">
        <f t="shared" si="12"/>
        <v>3.6034999999999999</v>
      </c>
      <c r="N18" s="44">
        <f t="shared" si="13"/>
        <v>3.2977500000000002</v>
      </c>
      <c r="O18" s="44">
        <f t="shared" si="14"/>
        <v>0.72903910265083549</v>
      </c>
      <c r="P18" s="44">
        <f t="shared" si="15"/>
        <v>0.85642664714692418</v>
      </c>
      <c r="Q18" s="44">
        <f t="shared" si="16"/>
        <v>0.88539606565248885</v>
      </c>
      <c r="R18" s="36">
        <v>8.2859999999999996</v>
      </c>
      <c r="S18" s="36">
        <v>9.327</v>
      </c>
      <c r="T18" s="36">
        <v>14.728</v>
      </c>
      <c r="U18" s="83">
        <v>0.58859909754127859</v>
      </c>
      <c r="V18" s="83">
        <v>0.69259185201855111</v>
      </c>
      <c r="W18" s="83">
        <v>0.50502740902607723</v>
      </c>
      <c r="X18" s="1">
        <v>29.41</v>
      </c>
      <c r="Y18" s="1">
        <v>28.594999999999999</v>
      </c>
      <c r="Z18" s="1">
        <v>36.856999999999999</v>
      </c>
      <c r="AA18" s="50">
        <v>0.69099999999999995</v>
      </c>
      <c r="AB18" s="50">
        <v>0.73499999999999999</v>
      </c>
      <c r="AC18" s="50">
        <v>0.55900000000000005</v>
      </c>
      <c r="AD18" s="50">
        <f>PI()*(0.581/2)^2</f>
        <v>0.26511978943460601</v>
      </c>
      <c r="AE18" s="50">
        <f>PI()*(0.533/2)^2</f>
        <v>0.22312297884141771</v>
      </c>
      <c r="AF18" s="29">
        <f t="shared" si="17"/>
        <v>0.24412138413801188</v>
      </c>
      <c r="AG18" s="50">
        <f>PI()*(0.493/2)^2</f>
        <v>0.1908902382155864</v>
      </c>
      <c r="AH18" s="50">
        <f t="shared" si="0"/>
        <v>0.2308135976574055</v>
      </c>
      <c r="AI18" s="78">
        <v>25.675619999999999</v>
      </c>
      <c r="AJ18" s="78">
        <v>25.107109999999999</v>
      </c>
      <c r="AK18" s="78">
        <v>26.16337</v>
      </c>
      <c r="AL18" s="78">
        <v>0.60196039999999995</v>
      </c>
      <c r="AM18" s="78">
        <v>0.50296870000000005</v>
      </c>
      <c r="AN18" s="78">
        <v>0.4886258</v>
      </c>
      <c r="AO18" s="1">
        <f t="shared" si="18"/>
        <v>1.0422517788908703</v>
      </c>
      <c r="AP18" s="1">
        <f t="shared" si="19"/>
        <v>0.96605515444295875</v>
      </c>
      <c r="AQ18" s="1">
        <f t="shared" si="20"/>
        <v>1.0426507082338825</v>
      </c>
      <c r="AR18" s="78">
        <v>0.98440870000000003</v>
      </c>
      <c r="AS18" s="78">
        <v>0.96432479999999998</v>
      </c>
      <c r="AT18" s="78">
        <v>0.95267970000000002</v>
      </c>
      <c r="AU18" s="2">
        <v>76.97</v>
      </c>
      <c r="AV18" s="2">
        <v>46.89</v>
      </c>
      <c r="AW18" s="2">
        <v>602</v>
      </c>
      <c r="AX18" s="4">
        <v>2.9</v>
      </c>
      <c r="AY18" s="36" t="s">
        <v>866</v>
      </c>
      <c r="AZ18" s="4">
        <v>1.19</v>
      </c>
      <c r="BB18" s="34" t="s">
        <v>1332</v>
      </c>
      <c r="BC18" s="62" t="s">
        <v>1546</v>
      </c>
      <c r="BD18" s="62" t="s">
        <v>1477</v>
      </c>
      <c r="BE18" s="62" t="s">
        <v>1477</v>
      </c>
      <c r="BF18" s="62" t="s">
        <v>1332</v>
      </c>
      <c r="BG18" s="18" t="s">
        <v>1432</v>
      </c>
      <c r="BH18" s="64" t="s">
        <v>1098</v>
      </c>
    </row>
    <row r="19" spans="1:60" x14ac:dyDescent="0.25">
      <c r="A19" s="22" t="s">
        <v>1290</v>
      </c>
      <c r="B19" s="22" t="s">
        <v>1291</v>
      </c>
      <c r="C19" t="s">
        <v>1612</v>
      </c>
      <c r="D19" t="s">
        <v>1563</v>
      </c>
      <c r="E19" s="35">
        <f>5.702/2</f>
        <v>2.851</v>
      </c>
      <c r="F19" s="35">
        <f>2.385/2</f>
        <v>1.1924999999999999</v>
      </c>
      <c r="G19" s="35">
        <f>3.312/2</f>
        <v>1.6559999999999999</v>
      </c>
      <c r="H19" s="35">
        <f>2.074/2</f>
        <v>1.0369999999999999</v>
      </c>
      <c r="I19" s="35">
        <v>4.1120000000000001</v>
      </c>
      <c r="J19" s="78">
        <v>2.3192819999999998</v>
      </c>
      <c r="K19" s="54">
        <f t="shared" si="10"/>
        <v>2.0217499999999999</v>
      </c>
      <c r="L19" s="54">
        <f t="shared" si="11"/>
        <v>1.3464999999999998</v>
      </c>
      <c r="M19" s="80">
        <f t="shared" si="12"/>
        <v>3.2156409999999997</v>
      </c>
      <c r="N19" s="80">
        <f t="shared" si="13"/>
        <v>2.194630333333333</v>
      </c>
      <c r="O19" s="44">
        <f t="shared" si="14"/>
        <v>0.90832076853763499</v>
      </c>
      <c r="P19" s="44">
        <f t="shared" si="15"/>
        <v>0.7796562573043212</v>
      </c>
      <c r="Q19" s="80">
        <f t="shared" si="16"/>
        <v>0.82575585184596401</v>
      </c>
      <c r="R19" s="36">
        <v>4.7880000000000003</v>
      </c>
      <c r="S19" s="36">
        <v>3.149</v>
      </c>
      <c r="T19" s="78">
        <v>10.891598999999999</v>
      </c>
      <c r="U19" s="83">
        <v>0.50321029629293534</v>
      </c>
      <c r="V19" s="83">
        <v>0.53269535900624798</v>
      </c>
      <c r="W19" s="83">
        <v>0.44430472177270397</v>
      </c>
      <c r="X19" s="1">
        <v>10.603</v>
      </c>
      <c r="Y19" s="1">
        <v>5.6059999999999999</v>
      </c>
      <c r="Z19" s="78">
        <v>32.432208000000003</v>
      </c>
      <c r="AA19" s="60">
        <v>0.61199999999999999</v>
      </c>
      <c r="AB19" s="60">
        <v>0.60199999999999998</v>
      </c>
      <c r="AC19" s="60">
        <v>0.50600000000000001</v>
      </c>
      <c r="AD19" s="50">
        <f>PI()*(0.524/2)^2</f>
        <v>0.21565148611301779</v>
      </c>
      <c r="AE19" s="50">
        <f>PI()*(0.506/2)^2</f>
        <v>0.20109020416362905</v>
      </c>
      <c r="AF19" s="29">
        <f t="shared" si="17"/>
        <v>0.20837084513832344</v>
      </c>
      <c r="AG19" s="50">
        <f>PI()*(0.39/2)^2</f>
        <v>0.1194590606527519</v>
      </c>
      <c r="AH19" s="50">
        <f t="shared" si="0"/>
        <v>0.18614289901693054</v>
      </c>
      <c r="AI19" s="78">
        <v>26.193239999999999</v>
      </c>
      <c r="AJ19" s="78">
        <v>25.746849999999998</v>
      </c>
      <c r="AK19" s="78">
        <v>26.563559999999999</v>
      </c>
      <c r="AL19" s="78">
        <v>0.66623509999999997</v>
      </c>
      <c r="AM19" s="78">
        <v>0.60317730000000003</v>
      </c>
      <c r="AN19" s="78">
        <v>0.67855699999999997</v>
      </c>
      <c r="AO19" s="1">
        <f t="shared" si="18"/>
        <v>0.99271202739756836</v>
      </c>
      <c r="AP19" s="1">
        <f t="shared" si="19"/>
        <v>1.0391162389803892</v>
      </c>
      <c r="AQ19" s="80">
        <f t="shared" si="20"/>
        <v>1.0824802480097082</v>
      </c>
      <c r="AR19" s="78">
        <v>0.97991039999999996</v>
      </c>
      <c r="AS19" s="78">
        <v>0.96448860000000003</v>
      </c>
      <c r="AT19" s="78">
        <v>0.93369460000000004</v>
      </c>
      <c r="AU19" s="2">
        <v>41.14</v>
      </c>
      <c r="AV19" s="2">
        <v>25.5</v>
      </c>
      <c r="AW19" s="2">
        <v>153.13999999999999</v>
      </c>
      <c r="AX19" s="4">
        <v>3.4</v>
      </c>
      <c r="AY19" s="36" t="s">
        <v>866</v>
      </c>
      <c r="AZ19" s="4">
        <v>1.19</v>
      </c>
      <c r="BB19" s="34" t="s">
        <v>1297</v>
      </c>
      <c r="BC19" s="62" t="s">
        <v>1547</v>
      </c>
      <c r="BD19" s="62" t="s">
        <v>1476</v>
      </c>
      <c r="BE19" s="62" t="s">
        <v>1476</v>
      </c>
      <c r="BF19" s="62" t="s">
        <v>1396</v>
      </c>
      <c r="BG19" s="18" t="s">
        <v>1433</v>
      </c>
      <c r="BH19" s="64" t="s">
        <v>1098</v>
      </c>
    </row>
    <row r="20" spans="1:60" x14ac:dyDescent="0.25">
      <c r="A20" s="22" t="s">
        <v>1341</v>
      </c>
      <c r="B20" s="22" t="s">
        <v>1292</v>
      </c>
      <c r="C20" t="s">
        <v>1612</v>
      </c>
      <c r="D20" t="s">
        <v>1563</v>
      </c>
      <c r="E20" s="35">
        <f>6.576/2</f>
        <v>3.2879999999999998</v>
      </c>
      <c r="F20" s="35">
        <f>3.022/2</f>
        <v>1.5109999999999999</v>
      </c>
      <c r="G20" s="35">
        <f>4.949/2</f>
        <v>2.4744999999999999</v>
      </c>
      <c r="H20" s="35">
        <f>2.634/2</f>
        <v>1.3169999999999999</v>
      </c>
      <c r="I20" s="35">
        <f>4.763/2</f>
        <v>2.3815</v>
      </c>
      <c r="J20" s="35">
        <f>3.386/2</f>
        <v>1.6930000000000001</v>
      </c>
      <c r="K20" s="54">
        <f t="shared" si="10"/>
        <v>2.3994999999999997</v>
      </c>
      <c r="L20" s="54">
        <f t="shared" si="11"/>
        <v>1.89575</v>
      </c>
      <c r="M20" s="35">
        <f t="shared" si="12"/>
        <v>2.0372500000000002</v>
      </c>
      <c r="N20" s="44">
        <f t="shared" si="13"/>
        <v>2.1108333333333333</v>
      </c>
      <c r="O20" s="44">
        <f t="shared" si="14"/>
        <v>0.88815196296165289</v>
      </c>
      <c r="P20" s="44">
        <f t="shared" si="15"/>
        <v>0.84660059986208192</v>
      </c>
      <c r="Q20" s="44">
        <f t="shared" si="16"/>
        <v>0.70329664800404967</v>
      </c>
      <c r="R20" s="36">
        <v>5.8929999999999998</v>
      </c>
      <c r="S20" s="36">
        <v>5.2519999999999998</v>
      </c>
      <c r="T20" s="36">
        <v>7.431</v>
      </c>
      <c r="U20" s="83">
        <v>0.47683181159891413</v>
      </c>
      <c r="V20" s="83">
        <v>0.45725790849612247</v>
      </c>
      <c r="W20" s="83">
        <v>0.34218040061622912</v>
      </c>
      <c r="X20" s="1">
        <v>14.92</v>
      </c>
      <c r="Y20" s="1">
        <v>10.824999999999999</v>
      </c>
      <c r="Z20" s="1">
        <v>14.180999999999999</v>
      </c>
      <c r="AA20" s="50">
        <v>0.58699999999999997</v>
      </c>
      <c r="AB20" s="50">
        <v>0.53600000000000003</v>
      </c>
      <c r="AC20" s="50">
        <v>0.41299999999999998</v>
      </c>
      <c r="AD20" s="50">
        <f>PI()*(0.468/2)^2</f>
        <v>0.17202104733996273</v>
      </c>
      <c r="AE20" s="50">
        <f>PI()*(0.428/2)^2</f>
        <v>0.14387237716379817</v>
      </c>
      <c r="AF20" s="29">
        <f t="shared" si="17"/>
        <v>0.15794671225188045</v>
      </c>
      <c r="AG20" s="50">
        <f>PI()*(0.394/2)^2</f>
        <v>0.12192206929316629</v>
      </c>
      <c r="AH20" s="50">
        <f t="shared" si="0"/>
        <v>0.14894055151220192</v>
      </c>
      <c r="AI20" s="78">
        <v>26.193239999999999</v>
      </c>
      <c r="AJ20" s="78">
        <v>25.746849999999998</v>
      </c>
      <c r="AK20" s="78">
        <v>26.563559999999999</v>
      </c>
      <c r="AL20" s="78">
        <v>0.66623509999999997</v>
      </c>
      <c r="AM20" s="78">
        <v>0.60317730000000003</v>
      </c>
      <c r="AN20" s="78">
        <v>0.67855699999999997</v>
      </c>
      <c r="AO20" s="1">
        <f t="shared" si="18"/>
        <v>0.9559224852827356</v>
      </c>
      <c r="AP20" s="1">
        <f t="shared" si="19"/>
        <v>1.0573159876724472</v>
      </c>
      <c r="AQ20" s="1">
        <f t="shared" si="20"/>
        <v>1.1195653282724187</v>
      </c>
      <c r="AR20" s="78">
        <v>0.97991039999999996</v>
      </c>
      <c r="AS20" s="78">
        <v>0.96448860000000003</v>
      </c>
      <c r="AT20" s="78">
        <v>0.93369460000000004</v>
      </c>
      <c r="AU20" s="2">
        <v>52.35</v>
      </c>
      <c r="AV20" s="2">
        <v>41.94</v>
      </c>
      <c r="AW20" s="2">
        <v>164.07</v>
      </c>
      <c r="AX20" s="4">
        <v>3.4</v>
      </c>
      <c r="AY20" s="36" t="s">
        <v>866</v>
      </c>
      <c r="AZ20" s="4">
        <v>1.19</v>
      </c>
      <c r="BB20" s="34" t="s">
        <v>1297</v>
      </c>
      <c r="BC20" s="62" t="s">
        <v>1548</v>
      </c>
      <c r="BD20" s="62" t="s">
        <v>1476</v>
      </c>
      <c r="BE20" s="62" t="s">
        <v>1476</v>
      </c>
      <c r="BF20" s="62" t="s">
        <v>1397</v>
      </c>
      <c r="BG20" s="18" t="s">
        <v>1434</v>
      </c>
      <c r="BH20" s="64" t="s">
        <v>1098</v>
      </c>
    </row>
    <row r="21" spans="1:60" x14ac:dyDescent="0.25">
      <c r="A21" s="22" t="s">
        <v>1293</v>
      </c>
      <c r="B21" s="22" t="s">
        <v>1294</v>
      </c>
      <c r="C21" t="s">
        <v>1612</v>
      </c>
      <c r="D21" t="s">
        <v>1563</v>
      </c>
      <c r="E21" s="35">
        <f>3.606/2</f>
        <v>1.8029999999999999</v>
      </c>
      <c r="F21" s="35">
        <f>3.047/2</f>
        <v>1.5235000000000001</v>
      </c>
      <c r="G21" s="35">
        <f>4.797/2</f>
        <v>2.3984999999999999</v>
      </c>
      <c r="H21" s="35">
        <f>2.612/2</f>
        <v>1.306</v>
      </c>
      <c r="I21" s="35">
        <f>4.093/2</f>
        <v>2.0465</v>
      </c>
      <c r="J21" s="78">
        <v>1.343043</v>
      </c>
      <c r="K21" s="54">
        <f t="shared" si="10"/>
        <v>1.6632500000000001</v>
      </c>
      <c r="L21" s="54">
        <f t="shared" si="11"/>
        <v>1.85225</v>
      </c>
      <c r="M21" s="80">
        <f t="shared" ref="M21:M22" si="21">AVERAGEA(I21:J21)</f>
        <v>1.6947714999999999</v>
      </c>
      <c r="N21" s="80">
        <f t="shared" ref="N21:N22" si="22">AVERAGEA(K21:M21)</f>
        <v>1.7367571666666668</v>
      </c>
      <c r="O21" s="44">
        <f t="shared" si="14"/>
        <v>0.53479697648443403</v>
      </c>
      <c r="P21" s="44">
        <f t="shared" si="15"/>
        <v>0.83875630840284243</v>
      </c>
      <c r="Q21" s="80">
        <f t="shared" si="16"/>
        <v>0.75453189506439622</v>
      </c>
      <c r="R21" s="36">
        <v>3.105</v>
      </c>
      <c r="S21" s="36">
        <v>5.8890000000000002</v>
      </c>
      <c r="T21" s="78">
        <v>6.1593280000000004</v>
      </c>
      <c r="U21" s="83">
        <v>0.65314477865686515</v>
      </c>
      <c r="V21" s="83">
        <v>0.67160384101891946</v>
      </c>
      <c r="W21" s="83">
        <v>0.5061895401881481</v>
      </c>
      <c r="X21" s="1">
        <v>8.9809999999999999</v>
      </c>
      <c r="Y21" s="1">
        <v>9.9809999999999999</v>
      </c>
      <c r="Z21" s="78">
        <v>7.2894389999999998</v>
      </c>
      <c r="AA21" s="60">
        <v>0.749</v>
      </c>
      <c r="AB21" s="60">
        <v>0.71799999999999997</v>
      </c>
      <c r="AC21" s="60">
        <v>0.56000000000000005</v>
      </c>
      <c r="AD21" s="50">
        <f>PI()*(0.653/2)^2</f>
        <v>0.33490084545614257</v>
      </c>
      <c r="AE21" s="50">
        <f>PI()*(0.607/2)^2</f>
        <v>0.2893791679056264</v>
      </c>
      <c r="AF21" s="29">
        <f t="shared" si="17"/>
        <v>0.31214000668088449</v>
      </c>
      <c r="AG21" s="50">
        <f>PI()*(0.476/2)^2</f>
        <v>0.17795237426994021</v>
      </c>
      <c r="AH21" s="50">
        <f t="shared" si="0"/>
        <v>0.2785930985781484</v>
      </c>
      <c r="AI21" s="78">
        <v>26.193239999999999</v>
      </c>
      <c r="AJ21" s="78">
        <v>25.746849999999998</v>
      </c>
      <c r="AK21" s="78">
        <v>26.563559999999999</v>
      </c>
      <c r="AL21" s="78">
        <v>0.66623509999999997</v>
      </c>
      <c r="AM21" s="78">
        <v>0.60317730000000003</v>
      </c>
      <c r="AN21" s="78">
        <v>0.67855699999999997</v>
      </c>
      <c r="AO21" s="1">
        <f t="shared" si="18"/>
        <v>1.040726560577437</v>
      </c>
      <c r="AP21" s="1">
        <f t="shared" si="19"/>
        <v>1.0142412814799753</v>
      </c>
      <c r="AQ21" s="80">
        <f t="shared" ref="AQ21:AQ22" si="23">Z21/(PI()*I21*J21)</f>
        <v>0.84419459398162933</v>
      </c>
      <c r="AR21" s="78">
        <v>0.97991039999999996</v>
      </c>
      <c r="AS21" s="78">
        <v>0.96448860000000003</v>
      </c>
      <c r="AT21" s="78">
        <v>0.93369460000000004</v>
      </c>
      <c r="AU21" s="2">
        <v>39.96</v>
      </c>
      <c r="AV21" s="2">
        <v>23.58</v>
      </c>
      <c r="AW21" s="2">
        <v>117.59</v>
      </c>
      <c r="AX21" s="4">
        <v>2.4</v>
      </c>
      <c r="AY21" s="36" t="s">
        <v>866</v>
      </c>
      <c r="AZ21" s="4">
        <v>1.19</v>
      </c>
      <c r="BB21" s="34" t="s">
        <v>1297</v>
      </c>
      <c r="BC21" s="62" t="s">
        <v>1544</v>
      </c>
      <c r="BD21" s="62" t="s">
        <v>1477</v>
      </c>
      <c r="BE21" s="62" t="s">
        <v>1477</v>
      </c>
      <c r="BF21" s="62" t="s">
        <v>1398</v>
      </c>
      <c r="BG21" s="18" t="s">
        <v>1435</v>
      </c>
      <c r="BH21" s="64" t="s">
        <v>1098</v>
      </c>
    </row>
    <row r="22" spans="1:60" s="18" customFormat="1" x14ac:dyDescent="0.25">
      <c r="A22" s="52" t="s">
        <v>1296</v>
      </c>
      <c r="B22" s="53" t="s">
        <v>1295</v>
      </c>
      <c r="C22" t="s">
        <v>1612</v>
      </c>
      <c r="D22" t="s">
        <v>1563</v>
      </c>
      <c r="E22" s="35">
        <f>7.208/2</f>
        <v>3.6040000000000001</v>
      </c>
      <c r="F22" s="51">
        <f>4.018/2</f>
        <v>2.0089999999999999</v>
      </c>
      <c r="G22" s="51">
        <f>6.43/2</f>
        <v>3.2149999999999999</v>
      </c>
      <c r="H22" s="51">
        <f>4.047/2</f>
        <v>2.0234999999999999</v>
      </c>
      <c r="I22" s="51">
        <f>7.341/2</f>
        <v>3.6705000000000001</v>
      </c>
      <c r="J22" s="78">
        <v>2.4877229999999999</v>
      </c>
      <c r="K22" s="54">
        <f t="shared" si="10"/>
        <v>2.8064999999999998</v>
      </c>
      <c r="L22" s="54">
        <f t="shared" si="11"/>
        <v>2.6192500000000001</v>
      </c>
      <c r="M22" s="80">
        <f t="shared" si="21"/>
        <v>3.0791114999999998</v>
      </c>
      <c r="N22" s="80">
        <f t="shared" si="22"/>
        <v>2.8349538333333335</v>
      </c>
      <c r="O22" s="44">
        <f t="shared" si="14"/>
        <v>0.83021979196775975</v>
      </c>
      <c r="P22" s="44">
        <f t="shared" si="15"/>
        <v>0.77708677912453861</v>
      </c>
      <c r="Q22" s="80">
        <f t="shared" si="16"/>
        <v>0.73528196321980621</v>
      </c>
      <c r="R22" s="39">
        <v>6.6509999999999998</v>
      </c>
      <c r="S22" s="39">
        <v>10.467000000000001</v>
      </c>
      <c r="T22" s="78">
        <v>10.631029</v>
      </c>
      <c r="U22" s="83">
        <v>0.75153752909931382</v>
      </c>
      <c r="V22" s="83">
        <v>0.8593014707235368</v>
      </c>
      <c r="W22" s="83">
        <v>0.60102261057412432</v>
      </c>
      <c r="X22" s="47">
        <v>21.614000000000001</v>
      </c>
      <c r="Y22" s="47">
        <v>23.143000000000001</v>
      </c>
      <c r="Z22" s="78">
        <v>28.270019000000001</v>
      </c>
      <c r="AA22" s="60">
        <v>0.83499999999999996</v>
      </c>
      <c r="AB22" s="60">
        <v>0.86599999999999999</v>
      </c>
      <c r="AC22" s="60">
        <v>0.64</v>
      </c>
      <c r="AD22" s="50">
        <f>PI()*(0.595/2)^2</f>
        <v>0.27805058479678163</v>
      </c>
      <c r="AE22" s="50">
        <f>PI()*(0.739/2)^2</f>
        <v>0.42892243039277783</v>
      </c>
      <c r="AF22" s="29">
        <f t="shared" si="17"/>
        <v>0.35348650759477973</v>
      </c>
      <c r="AG22" s="50">
        <f>PI()*(0.556/2)^2</f>
        <v>0.24279484664003365</v>
      </c>
      <c r="AH22" s="50">
        <f t="shared" si="0"/>
        <v>0.3258135923560932</v>
      </c>
      <c r="AI22" s="78">
        <v>26.193239999999999</v>
      </c>
      <c r="AJ22" s="78">
        <v>25.746849999999998</v>
      </c>
      <c r="AK22" s="78">
        <v>26.563559999999999</v>
      </c>
      <c r="AL22" s="78">
        <v>0.66623509999999997</v>
      </c>
      <c r="AM22" s="78">
        <v>0.60317730000000003</v>
      </c>
      <c r="AN22" s="78">
        <v>0.67855699999999997</v>
      </c>
      <c r="AO22" s="47">
        <f t="shared" si="18"/>
        <v>0.95021209772124937</v>
      </c>
      <c r="AP22" s="1">
        <f t="shared" si="19"/>
        <v>1.1323628079170016</v>
      </c>
      <c r="AQ22" s="80">
        <f t="shared" si="23"/>
        <v>0.98548263908570322</v>
      </c>
      <c r="AR22" s="78">
        <v>0.97991039999999996</v>
      </c>
      <c r="AS22" s="78">
        <v>0.96448860000000003</v>
      </c>
      <c r="AT22" s="78">
        <v>0.93369460000000004</v>
      </c>
      <c r="AU22" s="2">
        <v>39.200000000000003</v>
      </c>
      <c r="AV22" s="40">
        <v>20.32</v>
      </c>
      <c r="AW22" s="40">
        <v>86.204999999999998</v>
      </c>
      <c r="AX22" s="38">
        <v>3.3</v>
      </c>
      <c r="AY22" s="36" t="s">
        <v>866</v>
      </c>
      <c r="AZ22" s="4">
        <v>1.19</v>
      </c>
      <c r="BB22" s="34" t="s">
        <v>1297</v>
      </c>
      <c r="BC22" s="62" t="s">
        <v>1547</v>
      </c>
      <c r="BD22" s="62" t="s">
        <v>1478</v>
      </c>
      <c r="BE22" s="62" t="s">
        <v>1478</v>
      </c>
      <c r="BF22" s="62" t="s">
        <v>1461</v>
      </c>
      <c r="BG22" s="18" t="s">
        <v>1436</v>
      </c>
      <c r="BH22" s="64" t="s">
        <v>1098</v>
      </c>
    </row>
    <row r="23" spans="1:60" s="18" customFormat="1" x14ac:dyDescent="0.25">
      <c r="A23" s="52" t="s">
        <v>1354</v>
      </c>
      <c r="B23" s="53" t="s">
        <v>1168</v>
      </c>
      <c r="C23" t="s">
        <v>1615</v>
      </c>
      <c r="D23" t="s">
        <v>1564</v>
      </c>
      <c r="E23" s="35">
        <v>6.5654517464307807</v>
      </c>
      <c r="F23" s="51">
        <v>4.5120458891013389</v>
      </c>
      <c r="G23" s="51">
        <v>6.0628297460295375</v>
      </c>
      <c r="H23" s="51">
        <v>4.4418930482597112</v>
      </c>
      <c r="I23" s="51">
        <v>6.7386634512633021</v>
      </c>
      <c r="J23" s="51">
        <v>5.8791161189153343</v>
      </c>
      <c r="K23" s="35">
        <f t="shared" ref="K23:K36" si="24">AVERAGEA(E23:F23)</f>
        <v>5.5387488177660593</v>
      </c>
      <c r="L23" s="35">
        <f t="shared" si="11"/>
        <v>5.2523613971446244</v>
      </c>
      <c r="M23" s="35">
        <f t="shared" ref="M23:M31" si="25">AVERAGEA(I23:J23)</f>
        <v>6.3088897850893186</v>
      </c>
      <c r="N23" s="44">
        <f t="shared" ref="N23:N31" si="26">AVERAGEA(K23:M23)</f>
        <v>5.7</v>
      </c>
      <c r="O23" s="1">
        <f t="shared" ref="O23:O31" si="27">(1-((MIN(E23:F23)/MAX(E23:F23))^2))^0.5</f>
        <v>0.72642974268119787</v>
      </c>
      <c r="P23" s="1">
        <f t="shared" si="15"/>
        <v>0.68061254993156839</v>
      </c>
      <c r="Q23" s="1">
        <f t="shared" si="16"/>
        <v>0.48871154595951349</v>
      </c>
      <c r="R23" s="39">
        <v>18.416450964416292</v>
      </c>
      <c r="S23" s="39">
        <v>15.07207880740744</v>
      </c>
      <c r="T23" s="39">
        <v>26.087195024586375</v>
      </c>
      <c r="U23" s="94">
        <v>0.74893942627117061</v>
      </c>
      <c r="V23" s="94">
        <v>0.84069448462054963</v>
      </c>
      <c r="W23" s="94">
        <v>0.61364690873799099</v>
      </c>
      <c r="X23" s="47">
        <v>94.289640568989384</v>
      </c>
      <c r="Y23" s="47">
        <v>71.262657979607241</v>
      </c>
      <c r="Z23" s="47">
        <v>120.49475050669854</v>
      </c>
      <c r="AA23" s="84">
        <v>0.83276315797806011</v>
      </c>
      <c r="AB23" s="84">
        <v>0.8517025800335517</v>
      </c>
      <c r="AC23" s="83">
        <v>0.65042913969450533</v>
      </c>
      <c r="AD23" s="83">
        <v>0.38823566505925583</v>
      </c>
      <c r="AE23" s="83">
        <v>0.23521339704563865</v>
      </c>
      <c r="AF23" s="29">
        <f>PI()*0.315^2</f>
        <v>0.31172453105244724</v>
      </c>
      <c r="AG23" s="29">
        <f>PI()*0.24^2</f>
        <v>0.18095573684677208</v>
      </c>
      <c r="AH23" s="29">
        <f>PI()*0.285^2</f>
        <v>0.25517586328783093</v>
      </c>
      <c r="AI23" s="78">
        <v>26.854649999999999</v>
      </c>
      <c r="AJ23" s="78">
        <v>26.56429</v>
      </c>
      <c r="AK23" s="78">
        <v>27.074909999999999</v>
      </c>
      <c r="AL23" s="78">
        <v>0.74836380000000002</v>
      </c>
      <c r="AM23" s="78">
        <v>0.73122169999999997</v>
      </c>
      <c r="AN23" s="78">
        <v>0.92124689999999998</v>
      </c>
      <c r="AO23" s="1">
        <f t="shared" ref="AO23:AO30" si="28">X23/(PI()*E23*F23)</f>
        <v>1.0131552187411175</v>
      </c>
      <c r="AP23" s="1">
        <f t="shared" si="19"/>
        <v>0.8423036331467717</v>
      </c>
      <c r="AQ23" s="1">
        <f t="shared" ref="AQ23:AQ31" si="29">Z23/(PI()*I23*J23)</f>
        <v>0.96812726030743756</v>
      </c>
      <c r="AR23" s="78">
        <v>0.97416250000000004</v>
      </c>
      <c r="AS23" s="78">
        <v>0.96469800000000006</v>
      </c>
      <c r="AT23" s="78">
        <v>0.90943589999999996</v>
      </c>
      <c r="AU23" s="58">
        <v>117.9090020065792</v>
      </c>
      <c r="AV23" s="56">
        <v>59.176897841583134</v>
      </c>
      <c r="AW23" s="56">
        <v>2309.2538860279456</v>
      </c>
      <c r="AX23" s="37">
        <v>7.9</v>
      </c>
      <c r="AY23" s="36" t="s">
        <v>866</v>
      </c>
      <c r="AZ23" s="4">
        <v>1.19</v>
      </c>
      <c r="BB23" s="34" t="s">
        <v>1385</v>
      </c>
      <c r="BC23" s="62" t="s">
        <v>1543</v>
      </c>
      <c r="BD23" s="62" t="s">
        <v>1479</v>
      </c>
      <c r="BE23" s="62" t="s">
        <v>1479</v>
      </c>
      <c r="BF23" s="18" t="s">
        <v>1460</v>
      </c>
      <c r="BG23" s="18" t="s">
        <v>1437</v>
      </c>
      <c r="BH23" s="64" t="s">
        <v>1098</v>
      </c>
    </row>
    <row r="24" spans="1:60" s="18" customFormat="1" x14ac:dyDescent="0.25">
      <c r="A24" s="52" t="s">
        <v>1367</v>
      </c>
      <c r="B24" s="53" t="s">
        <v>1167</v>
      </c>
      <c r="C24" t="s">
        <v>1615</v>
      </c>
      <c r="D24" t="s">
        <v>1565</v>
      </c>
      <c r="E24" s="35">
        <v>5.8733250635967069</v>
      </c>
      <c r="F24" s="51">
        <v>2.3592354626364664</v>
      </c>
      <c r="G24" s="51">
        <v>6.5016368692141269</v>
      </c>
      <c r="H24" s="51">
        <v>2.7703391935955013</v>
      </c>
      <c r="I24" s="51">
        <v>6.4736432423508248</v>
      </c>
      <c r="J24" s="51">
        <v>4.2218201686063734</v>
      </c>
      <c r="K24" s="35">
        <f t="shared" si="24"/>
        <v>4.1162802631165869</v>
      </c>
      <c r="L24" s="35">
        <f t="shared" si="11"/>
        <v>4.6359880314048141</v>
      </c>
      <c r="M24" s="3">
        <f t="shared" si="25"/>
        <v>5.3477317054785996</v>
      </c>
      <c r="N24" s="80">
        <f t="shared" si="26"/>
        <v>4.7</v>
      </c>
      <c r="O24" s="1">
        <f t="shared" si="27"/>
        <v>0.91577723575681691</v>
      </c>
      <c r="P24" s="1">
        <f t="shared" si="15"/>
        <v>0.90467666866225438</v>
      </c>
      <c r="Q24" s="3">
        <f t="shared" si="16"/>
        <v>0.75808547142392024</v>
      </c>
      <c r="R24" s="39">
        <v>15.827914950688347</v>
      </c>
      <c r="S24" s="39">
        <v>17.269352673723034</v>
      </c>
      <c r="T24" s="92">
        <v>23.939318310863797</v>
      </c>
      <c r="U24" s="94">
        <v>0.79555039100141689</v>
      </c>
      <c r="V24" s="94">
        <v>0.8490339202301711</v>
      </c>
      <c r="W24" s="94">
        <v>0.77647179890911733</v>
      </c>
      <c r="X24" s="47">
        <v>47.20259376362926</v>
      </c>
      <c r="Y24" s="47">
        <v>58.202821920846475</v>
      </c>
      <c r="Z24" s="93">
        <v>84.878661272474218</v>
      </c>
      <c r="AA24" s="84">
        <v>0.87263397001558352</v>
      </c>
      <c r="AB24" s="84">
        <v>0.85811979348004164</v>
      </c>
      <c r="AC24" s="83">
        <v>0.78104627859696518</v>
      </c>
      <c r="AD24" s="83">
        <v>0.23464613787356337</v>
      </c>
      <c r="AE24" s="83">
        <v>0.19009718889177674</v>
      </c>
      <c r="AF24" s="29">
        <f>PI()*0.26^2</f>
        <v>0.21237166338267005</v>
      </c>
      <c r="AG24" s="29">
        <f>PI()*0.22^2</f>
        <v>0.15205308443374599</v>
      </c>
      <c r="AH24" s="29">
        <f>PI()*0.25^2</f>
        <v>0.19634954084936207</v>
      </c>
      <c r="AI24" s="78">
        <v>26.854649999999999</v>
      </c>
      <c r="AJ24" s="78">
        <v>26.56429</v>
      </c>
      <c r="AK24" s="78">
        <v>27.074909999999999</v>
      </c>
      <c r="AL24" s="78">
        <v>0.74836380000000002</v>
      </c>
      <c r="AM24" s="78">
        <v>0.73122169999999997</v>
      </c>
      <c r="AN24" s="78">
        <v>0.92124689999999998</v>
      </c>
      <c r="AO24" s="1">
        <f t="shared" si="28"/>
        <v>1.0843279823365228</v>
      </c>
      <c r="AP24" s="1">
        <f t="shared" si="19"/>
        <v>1.0285810363606509</v>
      </c>
      <c r="AQ24" s="3">
        <f t="shared" si="29"/>
        <v>0.98855344993806593</v>
      </c>
      <c r="AR24" s="78">
        <v>0.97416250000000004</v>
      </c>
      <c r="AS24" s="78">
        <v>0.96469800000000006</v>
      </c>
      <c r="AT24" s="78">
        <v>0.90943589999999996</v>
      </c>
      <c r="AU24" s="36">
        <v>139.41921523329603</v>
      </c>
      <c r="AV24" s="39">
        <v>84.43567878582833</v>
      </c>
      <c r="AW24" s="39">
        <v>3261.468067810129</v>
      </c>
      <c r="AX24" s="37">
        <v>9.9</v>
      </c>
      <c r="AY24" s="36" t="s">
        <v>866</v>
      </c>
      <c r="AZ24" s="4">
        <v>1.19</v>
      </c>
      <c r="BB24" s="34" t="s">
        <v>1385</v>
      </c>
      <c r="BC24" s="18" t="s">
        <v>1541</v>
      </c>
      <c r="BD24" s="18" t="s">
        <v>1480</v>
      </c>
      <c r="BE24" s="18" t="s">
        <v>1480</v>
      </c>
      <c r="BF24" s="18" t="s">
        <v>1375</v>
      </c>
      <c r="BG24" s="18" t="s">
        <v>1438</v>
      </c>
      <c r="BH24" s="64" t="s">
        <v>1098</v>
      </c>
    </row>
    <row r="25" spans="1:60" s="18" customFormat="1" x14ac:dyDescent="0.25">
      <c r="A25" s="52" t="s">
        <v>1368</v>
      </c>
      <c r="B25" s="53" t="s">
        <v>1369</v>
      </c>
      <c r="C25" t="s">
        <v>1615</v>
      </c>
      <c r="D25" t="s">
        <v>1566</v>
      </c>
      <c r="E25" s="35">
        <v>8.7725579275952601</v>
      </c>
      <c r="F25" s="51">
        <v>3.4013043202062363</v>
      </c>
      <c r="G25" s="51">
        <v>7.5900245376090565</v>
      </c>
      <c r="H25" s="51">
        <v>5.043497489637514</v>
      </c>
      <c r="I25" s="51">
        <v>7.3892757701496672</v>
      </c>
      <c r="J25" s="51">
        <v>5.6033399548022649</v>
      </c>
      <c r="K25" s="35">
        <f t="shared" si="24"/>
        <v>6.0869311239007482</v>
      </c>
      <c r="L25" s="35">
        <f t="shared" si="11"/>
        <v>6.3167610136232852</v>
      </c>
      <c r="M25" s="3">
        <f t="shared" si="25"/>
        <v>6.496307862475966</v>
      </c>
      <c r="N25" s="80">
        <f t="shared" si="26"/>
        <v>6.3</v>
      </c>
      <c r="O25" s="1">
        <f t="shared" si="27"/>
        <v>0.92177680609765822</v>
      </c>
      <c r="P25" s="1">
        <f t="shared" si="15"/>
        <v>0.74729691213620897</v>
      </c>
      <c r="Q25" s="3">
        <f t="shared" si="16"/>
        <v>0.65189754479464912</v>
      </c>
      <c r="R25" s="39">
        <v>19.634802212099636</v>
      </c>
      <c r="S25" s="39">
        <v>21.77226469844107</v>
      </c>
      <c r="T25" s="92">
        <v>24.803962198497672</v>
      </c>
      <c r="U25" s="94">
        <v>1.1779750985601636</v>
      </c>
      <c r="V25" s="94">
        <v>1.2017505969100171</v>
      </c>
      <c r="W25" s="94">
        <v>1.0730459174065958</v>
      </c>
      <c r="X25" s="47">
        <v>100.29335578286162</v>
      </c>
      <c r="Y25" s="47">
        <v>135.85199165135174</v>
      </c>
      <c r="Z25" s="93">
        <v>129.53003096653211</v>
      </c>
      <c r="AA25" s="84">
        <v>1.1827033174999757</v>
      </c>
      <c r="AB25" s="84">
        <v>1.1176160714032928</v>
      </c>
      <c r="AC25" s="83">
        <v>1.0044412217708039</v>
      </c>
      <c r="AD25" s="83">
        <v>0.42116774272161084</v>
      </c>
      <c r="AE25" s="83">
        <v>0.34852245740788834</v>
      </c>
      <c r="AF25" s="29">
        <f>PI()*0.35^2</f>
        <v>0.38484510006474959</v>
      </c>
      <c r="AG25" s="29">
        <f>PI()*0.31^2</f>
        <v>0.30190705400997914</v>
      </c>
      <c r="AH25" s="29">
        <f>PI()*0.335^2</f>
        <v>0.35256523554911462</v>
      </c>
      <c r="AI25" s="78">
        <v>26.854649999999999</v>
      </c>
      <c r="AJ25" s="78">
        <v>26.56429</v>
      </c>
      <c r="AK25" s="78">
        <v>27.074909999999999</v>
      </c>
      <c r="AL25" s="78">
        <v>0.74836380000000002</v>
      </c>
      <c r="AM25" s="78">
        <v>0.73122169999999997</v>
      </c>
      <c r="AN25" s="78">
        <v>0.92124689999999998</v>
      </c>
      <c r="AO25" s="1">
        <f t="shared" si="28"/>
        <v>1.0699181498340511</v>
      </c>
      <c r="AP25" s="1">
        <f t="shared" si="19"/>
        <v>1.1296428248111812</v>
      </c>
      <c r="AQ25" s="3">
        <f t="shared" si="29"/>
        <v>0.99579914685566673</v>
      </c>
      <c r="AR25" s="78">
        <v>0.97416250000000004</v>
      </c>
      <c r="AS25" s="78">
        <v>0.96469800000000006</v>
      </c>
      <c r="AT25" s="78">
        <v>0.90943589999999996</v>
      </c>
      <c r="AU25" s="58">
        <v>252.12400000000002</v>
      </c>
      <c r="AV25" s="56">
        <v>92.805999999999997</v>
      </c>
      <c r="AW25" s="56">
        <v>7766.0413428827615</v>
      </c>
      <c r="AX25" s="37">
        <v>8.9</v>
      </c>
      <c r="AY25" s="36" t="s">
        <v>866</v>
      </c>
      <c r="AZ25" s="4">
        <v>1.19</v>
      </c>
      <c r="BB25" s="34" t="s">
        <v>1385</v>
      </c>
      <c r="BC25" s="18" t="s">
        <v>1541</v>
      </c>
      <c r="BD25" s="18" t="s">
        <v>1481</v>
      </c>
      <c r="BE25" s="18" t="s">
        <v>1481</v>
      </c>
      <c r="BF25" s="18" t="s">
        <v>1462</v>
      </c>
      <c r="BG25" s="18" t="s">
        <v>1439</v>
      </c>
      <c r="BH25" s="64" t="s">
        <v>1098</v>
      </c>
    </row>
    <row r="26" spans="1:60" s="18" customFormat="1" x14ac:dyDescent="0.25">
      <c r="A26" s="52" t="s">
        <v>1298</v>
      </c>
      <c r="B26" s="53" t="s">
        <v>1299</v>
      </c>
      <c r="C26" t="s">
        <v>1615</v>
      </c>
      <c r="D26" t="s">
        <v>1566</v>
      </c>
      <c r="E26" s="54">
        <f>8.082/2</f>
        <v>4.0410000000000004</v>
      </c>
      <c r="F26" s="55">
        <f>6.691/2</f>
        <v>3.3454999999999999</v>
      </c>
      <c r="G26" s="55">
        <f>11.79/2</f>
        <v>5.8949999999999996</v>
      </c>
      <c r="H26" s="55">
        <f>6.152/2</f>
        <v>3.0760000000000001</v>
      </c>
      <c r="I26" s="55">
        <f>8.277/2</f>
        <v>4.1384999999999996</v>
      </c>
      <c r="J26" s="55">
        <f>7.022/2</f>
        <v>3.5110000000000001</v>
      </c>
      <c r="K26" s="54">
        <f t="shared" si="24"/>
        <v>3.6932499999999999</v>
      </c>
      <c r="L26" s="54">
        <f t="shared" si="11"/>
        <v>4.4855</v>
      </c>
      <c r="M26" s="54">
        <f t="shared" si="25"/>
        <v>3.8247499999999999</v>
      </c>
      <c r="N26" s="44">
        <f t="shared" si="26"/>
        <v>4.0011666666666672</v>
      </c>
      <c r="O26" s="44">
        <f t="shared" si="27"/>
        <v>0.56089177022817627</v>
      </c>
      <c r="P26" s="44">
        <f t="shared" si="15"/>
        <v>0.85306899330694586</v>
      </c>
      <c r="Q26" s="44">
        <f t="shared" si="16"/>
        <v>0.52939572509657484</v>
      </c>
      <c r="R26" s="56">
        <f>28.57*16.132/24.226</f>
        <v>19.02465285230744</v>
      </c>
      <c r="S26" s="56">
        <f>30.475*16.686/24.898</f>
        <v>20.423562133504699</v>
      </c>
      <c r="T26" s="56">
        <f>29.34*13.838/22.209</f>
        <v>18.281188707280833</v>
      </c>
      <c r="U26" s="95">
        <v>0.35394815363204601</v>
      </c>
      <c r="V26" s="95">
        <v>0.45950286081541175</v>
      </c>
      <c r="W26" s="95">
        <v>0.47158733411619913</v>
      </c>
      <c r="X26" s="57">
        <f>44.957</f>
        <v>44.957000000000001</v>
      </c>
      <c r="Y26" s="57">
        <f>52.487</f>
        <v>52.487000000000002</v>
      </c>
      <c r="Z26" s="57">
        <f>46.941</f>
        <v>46.941000000000003</v>
      </c>
      <c r="AA26" s="61">
        <v>0.46600000000000003</v>
      </c>
      <c r="AB26" s="61">
        <v>0.53800000000000003</v>
      </c>
      <c r="AC26" s="61">
        <v>0.53</v>
      </c>
      <c r="AD26" s="50">
        <f>PI()*(0.452/2)^2</f>
        <v>0.16045998637475228</v>
      </c>
      <c r="AE26" s="50">
        <f>PI()*(0.361/2)^2</f>
        <v>0.10235387405211885</v>
      </c>
      <c r="AF26" s="29">
        <f t="shared" ref="AF26:AF27" si="30">AVERAGEA(AD26:AE26)</f>
        <v>0.13140693021343558</v>
      </c>
      <c r="AG26" s="29">
        <f>PI()*(0.435/2)^2</f>
        <v>0.14861696746888214</v>
      </c>
      <c r="AH26" s="29">
        <f t="shared" ref="AH26:AH27" si="31">AVERAGEA(AD26:AG26)</f>
        <v>0.13570943952729722</v>
      </c>
      <c r="AI26" s="78">
        <v>26.854649999999999</v>
      </c>
      <c r="AJ26" s="78">
        <v>26.56429</v>
      </c>
      <c r="AK26" s="78">
        <v>27.074909999999999</v>
      </c>
      <c r="AL26" s="78">
        <v>0.74836380000000002</v>
      </c>
      <c r="AM26" s="78">
        <v>0.73122169999999997</v>
      </c>
      <c r="AN26" s="78">
        <v>0.92124689999999998</v>
      </c>
      <c r="AO26" s="44">
        <f t="shared" si="28"/>
        <v>1.0585163376515123</v>
      </c>
      <c r="AP26" s="44">
        <f t="shared" si="19"/>
        <v>0.92136505646211297</v>
      </c>
      <c r="AQ26" s="44">
        <f t="shared" si="29"/>
        <v>1.0283209305973022</v>
      </c>
      <c r="AR26" s="78">
        <v>0.97416250000000004</v>
      </c>
      <c r="AS26" s="78">
        <v>0.96469800000000006</v>
      </c>
      <c r="AT26" s="78">
        <v>0.90943589999999996</v>
      </c>
      <c r="AU26" s="40">
        <v>131.59</v>
      </c>
      <c r="AV26" s="40">
        <v>85.23</v>
      </c>
      <c r="AW26" s="36">
        <v>5437</v>
      </c>
      <c r="AX26" s="37">
        <v>27.5</v>
      </c>
      <c r="AY26" s="36" t="s">
        <v>866</v>
      </c>
      <c r="AZ26" s="4">
        <v>1.19</v>
      </c>
      <c r="BB26" s="34" t="s">
        <v>1323</v>
      </c>
      <c r="BC26" s="62" t="s">
        <v>1549</v>
      </c>
      <c r="BD26" s="65" t="s">
        <v>1482</v>
      </c>
      <c r="BE26" s="65" t="s">
        <v>1482</v>
      </c>
      <c r="BF26" s="34" t="s">
        <v>1323</v>
      </c>
      <c r="BG26" s="18" t="s">
        <v>1440</v>
      </c>
      <c r="BH26" s="64" t="s">
        <v>1098</v>
      </c>
    </row>
    <row r="27" spans="1:60" s="18" customFormat="1" x14ac:dyDescent="0.25">
      <c r="A27" s="33" t="s">
        <v>1342</v>
      </c>
      <c r="B27" s="34" t="s">
        <v>1300</v>
      </c>
      <c r="C27" t="s">
        <v>1615</v>
      </c>
      <c r="D27" t="s">
        <v>1566</v>
      </c>
      <c r="E27" s="35">
        <f>14.405/2</f>
        <v>7.2024999999999997</v>
      </c>
      <c r="F27" s="51">
        <f>9.708/2</f>
        <v>4.8540000000000001</v>
      </c>
      <c r="G27" s="51">
        <f>14.946/2</f>
        <v>7.4729999999999999</v>
      </c>
      <c r="H27" s="51">
        <f>9.066/2</f>
        <v>4.5330000000000004</v>
      </c>
      <c r="I27" s="51">
        <f>11.728/2</f>
        <v>5.8639999999999999</v>
      </c>
      <c r="J27" s="51">
        <f>11.252/2</f>
        <v>5.6260000000000003</v>
      </c>
      <c r="K27" s="51">
        <f t="shared" si="24"/>
        <v>6.0282499999999999</v>
      </c>
      <c r="L27" s="51">
        <f t="shared" si="11"/>
        <v>6.0030000000000001</v>
      </c>
      <c r="M27" s="51">
        <f t="shared" si="25"/>
        <v>5.7450000000000001</v>
      </c>
      <c r="N27" s="51">
        <f t="shared" si="26"/>
        <v>5.925416666666667</v>
      </c>
      <c r="O27" s="51">
        <f t="shared" si="27"/>
        <v>0.73879277657920372</v>
      </c>
      <c r="P27" s="51">
        <f t="shared" si="15"/>
        <v>0.79501963075583426</v>
      </c>
      <c r="Q27" s="51">
        <f t="shared" si="16"/>
        <v>0.28200352128116252</v>
      </c>
      <c r="R27" s="56">
        <f>43.015*25.332/39.194</f>
        <v>27.801601775782007</v>
      </c>
      <c r="S27" s="56">
        <f>39.005*27.298/34.327</f>
        <v>31.018104990240918</v>
      </c>
      <c r="T27" s="56">
        <f>40.645*19.865/33.43</f>
        <v>24.152345946754412</v>
      </c>
      <c r="U27" s="95">
        <v>0.66329447103130568</v>
      </c>
      <c r="V27" s="95">
        <v>0.63009828979782634</v>
      </c>
      <c r="W27" s="95">
        <v>0.64361775457393033</v>
      </c>
      <c r="X27" s="47">
        <f>113.205</f>
        <v>113.205</v>
      </c>
      <c r="Y27" s="47">
        <v>105.345</v>
      </c>
      <c r="Z27" s="47">
        <f>114.267</f>
        <v>114.267</v>
      </c>
      <c r="AA27" s="61">
        <v>0.75800000000000001</v>
      </c>
      <c r="AB27" s="61">
        <v>0.68400000000000005</v>
      </c>
      <c r="AC27" s="61">
        <v>0.67500000000000004</v>
      </c>
      <c r="AD27" s="29">
        <f>PI()*(0.604/2)^2</f>
        <v>0.28652581637800345</v>
      </c>
      <c r="AE27" s="29">
        <f>PI()*(0.451/2)^2</f>
        <v>0.15975077183320438</v>
      </c>
      <c r="AF27" s="29">
        <f t="shared" si="30"/>
        <v>0.22313829410560393</v>
      </c>
      <c r="AG27" s="29">
        <f>PI()*(0.479/2)^2</f>
        <v>0.18020254000807392</v>
      </c>
      <c r="AH27" s="29">
        <f t="shared" si="31"/>
        <v>0.21240435558122142</v>
      </c>
      <c r="AI27" s="78">
        <v>26.854649999999999</v>
      </c>
      <c r="AJ27" s="78">
        <v>26.56429</v>
      </c>
      <c r="AK27" s="78">
        <v>27.074909999999999</v>
      </c>
      <c r="AL27" s="78">
        <v>0.74836380000000002</v>
      </c>
      <c r="AM27" s="78">
        <v>0.73122169999999997</v>
      </c>
      <c r="AN27" s="78">
        <v>0.92124689999999998</v>
      </c>
      <c r="AO27" s="47">
        <f t="shared" si="28"/>
        <v>1.0307010000000292</v>
      </c>
      <c r="AP27" s="44">
        <f t="shared" si="19"/>
        <v>0.98988183211547542</v>
      </c>
      <c r="AQ27" s="47">
        <f t="shared" si="29"/>
        <v>1.1024966113213408</v>
      </c>
      <c r="AR27" s="78">
        <v>0.97416250000000004</v>
      </c>
      <c r="AS27" s="78">
        <v>0.96469800000000006</v>
      </c>
      <c r="AT27" s="78">
        <v>0.90943589999999996</v>
      </c>
      <c r="AU27" s="40">
        <v>202.96</v>
      </c>
      <c r="AV27" s="40">
        <v>117.96</v>
      </c>
      <c r="AW27" s="38">
        <v>17201.5</v>
      </c>
      <c r="AX27" s="37">
        <v>28</v>
      </c>
      <c r="AY27" s="36" t="s">
        <v>866</v>
      </c>
      <c r="AZ27" s="4">
        <v>1.19</v>
      </c>
      <c r="BB27" s="34" t="s">
        <v>1323</v>
      </c>
      <c r="BC27" s="62" t="s">
        <v>1549</v>
      </c>
      <c r="BD27" s="65" t="s">
        <v>1483</v>
      </c>
      <c r="BE27" s="65" t="s">
        <v>1483</v>
      </c>
      <c r="BF27" s="34" t="s">
        <v>1323</v>
      </c>
      <c r="BG27" s="18" t="s">
        <v>1441</v>
      </c>
      <c r="BH27" s="64" t="s">
        <v>1098</v>
      </c>
    </row>
    <row r="28" spans="1:60" s="18" customFormat="1" x14ac:dyDescent="0.25">
      <c r="A28" s="33" t="s">
        <v>1301</v>
      </c>
      <c r="B28" s="34" t="s">
        <v>1302</v>
      </c>
      <c r="C28" t="s">
        <v>1615</v>
      </c>
      <c r="D28" t="s">
        <v>1566</v>
      </c>
      <c r="E28" s="35">
        <f>5.179/2</f>
        <v>2.5895000000000001</v>
      </c>
      <c r="F28" s="51">
        <f>4.145/2</f>
        <v>2.0724999999999998</v>
      </c>
      <c r="G28" s="51">
        <f>6.482/2</f>
        <v>3.2410000000000001</v>
      </c>
      <c r="H28" s="78">
        <v>1.8323130000000001</v>
      </c>
      <c r="I28" s="51">
        <f>5.012/2</f>
        <v>2.5059999999999998</v>
      </c>
      <c r="J28" s="78">
        <v>2.2145039999999998</v>
      </c>
      <c r="K28" s="51">
        <f t="shared" si="24"/>
        <v>2.331</v>
      </c>
      <c r="L28" s="80">
        <f t="shared" ref="L28" si="32">AVERAGEA(G28:H28)</f>
        <v>2.5366565000000003</v>
      </c>
      <c r="M28" s="80">
        <f t="shared" si="25"/>
        <v>2.360252</v>
      </c>
      <c r="N28" s="80">
        <f t="shared" si="26"/>
        <v>2.4093028333333337</v>
      </c>
      <c r="O28" s="51">
        <f t="shared" si="27"/>
        <v>0.59953631023832787</v>
      </c>
      <c r="P28" s="80">
        <f t="shared" ref="P28" si="33">(1-((MIN(G28:H28)/MAX(G28:H28))^2))^0.5</f>
        <v>0.82484823777155036</v>
      </c>
      <c r="Q28" s="80">
        <f t="shared" si="16"/>
        <v>0.4680900591945224</v>
      </c>
      <c r="R28" s="56">
        <f>17.78*9.95/15.082</f>
        <v>11.729942978384829</v>
      </c>
      <c r="S28" s="78">
        <v>10.36205</v>
      </c>
      <c r="T28" s="78">
        <v>9.6141629999999996</v>
      </c>
      <c r="U28" s="83">
        <v>0.3976733887048543</v>
      </c>
      <c r="V28" s="83">
        <v>0.41073382058026137</v>
      </c>
      <c r="W28" s="83">
        <v>0.33050502604972076</v>
      </c>
      <c r="X28" s="47">
        <f>17.421</f>
        <v>17.420999999999999</v>
      </c>
      <c r="Y28" s="78">
        <v>18.558879999999998</v>
      </c>
      <c r="Z28" s="78">
        <v>15.15038</v>
      </c>
      <c r="AA28" s="60">
        <v>0.51</v>
      </c>
      <c r="AB28" s="60">
        <v>0.49399999999999999</v>
      </c>
      <c r="AC28" s="60">
        <v>0.40200000000000002</v>
      </c>
      <c r="AD28" s="50">
        <f>PI()*(0.352/2)^2</f>
        <v>9.7313974037597423E-2</v>
      </c>
      <c r="AE28" s="50">
        <f>PI()*(0.333/2)^2</f>
        <v>8.709201694097965E-2</v>
      </c>
      <c r="AF28" s="29">
        <f t="shared" si="17"/>
        <v>9.2202995489288536E-2</v>
      </c>
      <c r="AG28" s="50">
        <f>PI()*(0.279/2)^2</f>
        <v>6.1136178437020787E-2</v>
      </c>
      <c r="AH28" s="50">
        <f t="shared" si="0"/>
        <v>8.4436291226221594E-2</v>
      </c>
      <c r="AI28" s="78">
        <v>26.854649999999999</v>
      </c>
      <c r="AJ28" s="78">
        <v>26.56429</v>
      </c>
      <c r="AK28" s="78">
        <v>27.074909999999999</v>
      </c>
      <c r="AL28" s="78">
        <v>0.74836380000000002</v>
      </c>
      <c r="AM28" s="78">
        <v>0.73122169999999997</v>
      </c>
      <c r="AN28" s="78">
        <v>0.92124689999999998</v>
      </c>
      <c r="AO28" s="47">
        <f t="shared" si="28"/>
        <v>1.0332674619586835</v>
      </c>
      <c r="AP28" s="80">
        <f t="shared" ref="AP28" si="34">Y28/(PI()*G28*H28)</f>
        <v>0.99477118560442523</v>
      </c>
      <c r="AQ28" s="80">
        <f t="shared" si="29"/>
        <v>0.86899267860698459</v>
      </c>
      <c r="AR28" s="78">
        <v>0.97416250000000004</v>
      </c>
      <c r="AS28" s="78">
        <v>0.96469800000000006</v>
      </c>
      <c r="AT28" s="78">
        <v>0.90943589999999996</v>
      </c>
      <c r="AU28" s="40">
        <v>145.80000000000001</v>
      </c>
      <c r="AV28" s="40">
        <v>101.43</v>
      </c>
      <c r="AW28" s="38">
        <v>896</v>
      </c>
      <c r="AX28" s="37">
        <v>27.8</v>
      </c>
      <c r="AY28" s="36" t="s">
        <v>866</v>
      </c>
      <c r="AZ28" s="4">
        <v>1.19</v>
      </c>
      <c r="BB28" s="34" t="s">
        <v>1323</v>
      </c>
      <c r="BC28" s="62" t="s">
        <v>1550</v>
      </c>
      <c r="BD28" s="65" t="s">
        <v>1484</v>
      </c>
      <c r="BE28" s="65" t="s">
        <v>1484</v>
      </c>
      <c r="BF28" s="34" t="s">
        <v>1323</v>
      </c>
      <c r="BG28" s="18" t="s">
        <v>1442</v>
      </c>
      <c r="BH28" s="64" t="s">
        <v>1098</v>
      </c>
    </row>
    <row r="29" spans="1:60" s="18" customFormat="1" x14ac:dyDescent="0.25">
      <c r="A29" s="33" t="s">
        <v>1343</v>
      </c>
      <c r="B29" s="34" t="s">
        <v>1303</v>
      </c>
      <c r="C29" t="s">
        <v>1615</v>
      </c>
      <c r="D29" t="s">
        <v>1566</v>
      </c>
      <c r="E29" s="35">
        <f>13.935/2</f>
        <v>6.9675000000000002</v>
      </c>
      <c r="F29" s="51">
        <f>9.555/2</f>
        <v>4.7774999999999999</v>
      </c>
      <c r="G29" s="51">
        <f>13.338/2</f>
        <v>6.6689999999999996</v>
      </c>
      <c r="H29" s="51">
        <f>10.538/2</f>
        <v>5.2690000000000001</v>
      </c>
      <c r="I29" s="51">
        <f>11.626/2</f>
        <v>5.8129999999999997</v>
      </c>
      <c r="J29" s="51">
        <f>6.986/2</f>
        <v>3.4929999999999999</v>
      </c>
      <c r="K29" s="51">
        <f t="shared" si="24"/>
        <v>5.8725000000000005</v>
      </c>
      <c r="L29" s="51">
        <f>AVERAGEA(G29:H29)</f>
        <v>5.9689999999999994</v>
      </c>
      <c r="M29" s="51">
        <f t="shared" si="25"/>
        <v>4.6529999999999996</v>
      </c>
      <c r="N29" s="51">
        <f t="shared" si="26"/>
        <v>5.4981666666666662</v>
      </c>
      <c r="O29" s="51">
        <f t="shared" si="27"/>
        <v>0.72789978414390843</v>
      </c>
      <c r="P29" s="51">
        <f>(1-((MIN(G29:H29)/MAX(G29:H29))^2))^0.5</f>
        <v>0.61301215749184668</v>
      </c>
      <c r="Q29" s="51">
        <f t="shared" si="16"/>
        <v>0.79932830785566422</v>
      </c>
      <c r="R29" s="56">
        <f>42.105*26.41/41.137</f>
        <v>27.031457082431871</v>
      </c>
      <c r="S29" s="56">
        <f>44.925*23.172/35.023</f>
        <v>29.723384632955483</v>
      </c>
      <c r="T29" s="56">
        <f>32.855*14.492/27.798</f>
        <v>17.128378300597166</v>
      </c>
      <c r="U29" s="95">
        <v>0.71111952964461278</v>
      </c>
      <c r="V29" s="95">
        <v>0.90525853311146354</v>
      </c>
      <c r="W29" s="95">
        <v>0.7789704622803727</v>
      </c>
      <c r="X29" s="47">
        <v>121.16500000000001</v>
      </c>
      <c r="Y29" s="47">
        <v>113.651</v>
      </c>
      <c r="Z29" s="47">
        <v>58.856000000000002</v>
      </c>
      <c r="AA29" s="61">
        <v>0.8</v>
      </c>
      <c r="AB29" s="61">
        <v>0.90100000000000002</v>
      </c>
      <c r="AC29" s="61">
        <v>0.78300000000000003</v>
      </c>
      <c r="AD29" s="50">
        <f>PI()*(0.432/2)^2</f>
        <v>0.14657414684588538</v>
      </c>
      <c r="AE29" s="50">
        <f>PI()*(0.408/2)^2</f>
        <v>0.1307405198717928</v>
      </c>
      <c r="AF29" s="29">
        <f t="shared" si="17"/>
        <v>0.13865733335883909</v>
      </c>
      <c r="AG29" s="50">
        <f>PI()*(0.423/2)^2</f>
        <v>0.140530507978542</v>
      </c>
      <c r="AH29" s="50">
        <f t="shared" si="0"/>
        <v>0.1391256270137648</v>
      </c>
      <c r="AI29" s="78">
        <v>26.854649999999999</v>
      </c>
      <c r="AJ29" s="78">
        <v>26.56429</v>
      </c>
      <c r="AK29" s="78">
        <v>27.074909999999999</v>
      </c>
      <c r="AL29" s="78">
        <v>0.74836380000000002</v>
      </c>
      <c r="AM29" s="78">
        <v>0.73122169999999997</v>
      </c>
      <c r="AN29" s="78">
        <v>0.92124689999999998</v>
      </c>
      <c r="AO29" s="47">
        <f t="shared" si="28"/>
        <v>1.1586429964630656</v>
      </c>
      <c r="AP29" s="44">
        <f>Y29/(PI()*G29*H29)</f>
        <v>1.029519252850817</v>
      </c>
      <c r="AQ29" s="47">
        <f t="shared" si="29"/>
        <v>0.92266057076592967</v>
      </c>
      <c r="AR29" s="78">
        <v>0.97416250000000004</v>
      </c>
      <c r="AS29" s="78">
        <v>0.96469800000000006</v>
      </c>
      <c r="AT29" s="78">
        <v>0.90943589999999996</v>
      </c>
      <c r="AU29" s="40">
        <v>145.09</v>
      </c>
      <c r="AV29" s="40">
        <v>102.41</v>
      </c>
      <c r="AW29" s="38">
        <v>8850</v>
      </c>
      <c r="AX29" s="37">
        <v>26.7</v>
      </c>
      <c r="AY29" s="36" t="s">
        <v>866</v>
      </c>
      <c r="AZ29" s="4">
        <v>1.19</v>
      </c>
      <c r="BB29" s="34" t="s">
        <v>1323</v>
      </c>
      <c r="BC29" s="62" t="s">
        <v>1549</v>
      </c>
      <c r="BD29" s="65" t="s">
        <v>1485</v>
      </c>
      <c r="BE29" s="65" t="s">
        <v>1485</v>
      </c>
      <c r="BF29" s="34" t="s">
        <v>1323</v>
      </c>
      <c r="BG29" s="18" t="s">
        <v>1443</v>
      </c>
      <c r="BH29" s="64" t="s">
        <v>1098</v>
      </c>
    </row>
    <row r="30" spans="1:60" s="18" customFormat="1" x14ac:dyDescent="0.25">
      <c r="A30" s="33" t="s">
        <v>1304</v>
      </c>
      <c r="B30" s="34" t="s">
        <v>1305</v>
      </c>
      <c r="C30" t="s">
        <v>1615</v>
      </c>
      <c r="D30" t="s">
        <v>1566</v>
      </c>
      <c r="E30" s="35">
        <f>5.924/2</f>
        <v>2.9620000000000002</v>
      </c>
      <c r="F30" s="51">
        <f>4.178/2</f>
        <v>2.089</v>
      </c>
      <c r="G30" s="51">
        <f>6.742/2</f>
        <v>3.371</v>
      </c>
      <c r="H30" s="51">
        <f>3.559/2</f>
        <v>1.7795000000000001</v>
      </c>
      <c r="I30" s="51">
        <f>5.343/2</f>
        <v>2.6715</v>
      </c>
      <c r="J30" s="78">
        <v>2.1804640000000002</v>
      </c>
      <c r="K30" s="51">
        <f t="shared" si="24"/>
        <v>2.5255000000000001</v>
      </c>
      <c r="L30" s="51">
        <f t="shared" ref="L30:L36" si="35">AVERAGEA(G30:H30)</f>
        <v>2.57525</v>
      </c>
      <c r="M30" s="80">
        <f t="shared" si="25"/>
        <v>2.4259820000000003</v>
      </c>
      <c r="N30" s="80">
        <f t="shared" si="26"/>
        <v>2.5089106666666665</v>
      </c>
      <c r="O30" s="51">
        <f t="shared" si="27"/>
        <v>0.70894207478062066</v>
      </c>
      <c r="P30" s="51">
        <f>(1-((MIN(G30:H30)/MAX(G30:H30))^2))^0.5</f>
        <v>0.84931591984036603</v>
      </c>
      <c r="Q30" s="80">
        <f t="shared" si="16"/>
        <v>0.57777703128359992</v>
      </c>
      <c r="R30" s="56">
        <f>15.94*9.952/16.279</f>
        <v>9.7447558203820854</v>
      </c>
      <c r="S30" s="56">
        <f>16.07*11.453/15.602</f>
        <v>11.796545955646712</v>
      </c>
      <c r="T30" s="78">
        <v>9.9516399999999994</v>
      </c>
      <c r="U30" s="83">
        <v>0.58530213257936714</v>
      </c>
      <c r="V30" s="83">
        <v>0.32145508393605532</v>
      </c>
      <c r="W30" s="83">
        <v>0.39085562700192389</v>
      </c>
      <c r="X30" s="47">
        <v>20.376999999999999</v>
      </c>
      <c r="Y30" s="47">
        <v>19.213000000000001</v>
      </c>
      <c r="Z30" s="78">
        <v>18.629149999999999</v>
      </c>
      <c r="AA30" s="60">
        <v>0.68799999999999994</v>
      </c>
      <c r="AB30" s="60">
        <v>0.41</v>
      </c>
      <c r="AC30" s="60">
        <v>0.45800000000000002</v>
      </c>
      <c r="AD30" s="50">
        <f>PI()*(0.422/2)^2</f>
        <v>0.13986684653047118</v>
      </c>
      <c r="AE30" s="50">
        <f>PI()*(0.352/2)^2</f>
        <v>9.7313974037597423E-2</v>
      </c>
      <c r="AF30" s="29">
        <f t="shared" si="17"/>
        <v>0.1185904102840343</v>
      </c>
      <c r="AG30" s="50">
        <f>PI()*(0.326/2)^2</f>
        <v>8.3468975213227214E-2</v>
      </c>
      <c r="AH30" s="50">
        <f t="shared" si="0"/>
        <v>0.10981005151633254</v>
      </c>
      <c r="AI30" s="78">
        <v>26.854649999999999</v>
      </c>
      <c r="AJ30" s="78">
        <v>26.56429</v>
      </c>
      <c r="AK30" s="78">
        <v>27.074909999999999</v>
      </c>
      <c r="AL30" s="78">
        <v>0.74836380000000002</v>
      </c>
      <c r="AM30" s="78">
        <v>0.73122169999999997</v>
      </c>
      <c r="AN30" s="78">
        <v>0.92124689999999998</v>
      </c>
      <c r="AO30" s="47">
        <f t="shared" si="28"/>
        <v>1.0482548455265179</v>
      </c>
      <c r="AP30" s="47">
        <f>Y30/(PI()*G30*H30)</f>
        <v>1.0195031340984559</v>
      </c>
      <c r="AQ30" s="80">
        <f t="shared" si="29"/>
        <v>1.0179795828446343</v>
      </c>
      <c r="AR30" s="78">
        <v>0.97416250000000004</v>
      </c>
      <c r="AS30" s="78">
        <v>0.96469800000000006</v>
      </c>
      <c r="AT30" s="78">
        <v>0.90943589999999996</v>
      </c>
      <c r="AU30" s="40">
        <v>100.53</v>
      </c>
      <c r="AV30" s="40">
        <v>62.05</v>
      </c>
      <c r="AW30" s="36">
        <v>355</v>
      </c>
      <c r="AX30" s="37">
        <v>16.3</v>
      </c>
      <c r="AY30" s="36" t="s">
        <v>866</v>
      </c>
      <c r="AZ30" s="4">
        <v>1.19</v>
      </c>
      <c r="BB30" s="34" t="s">
        <v>1323</v>
      </c>
      <c r="BC30" s="62" t="s">
        <v>1551</v>
      </c>
      <c r="BD30" s="65" t="s">
        <v>1486</v>
      </c>
      <c r="BE30" s="65" t="s">
        <v>1486</v>
      </c>
      <c r="BF30" s="34" t="s">
        <v>1323</v>
      </c>
      <c r="BG30" s="18" t="s">
        <v>1444</v>
      </c>
      <c r="BH30" s="64" t="s">
        <v>1098</v>
      </c>
    </row>
    <row r="31" spans="1:60" s="18" customFormat="1" x14ac:dyDescent="0.25">
      <c r="A31" s="33" t="s">
        <v>1306</v>
      </c>
      <c r="B31" s="34" t="s">
        <v>1307</v>
      </c>
      <c r="C31" t="s">
        <v>1615</v>
      </c>
      <c r="D31" t="s">
        <v>1566</v>
      </c>
      <c r="E31" s="35">
        <f>11.544/2</f>
        <v>5.7720000000000002</v>
      </c>
      <c r="F31" s="51">
        <f>4.874/2</f>
        <v>2.4369999999999998</v>
      </c>
      <c r="G31" s="51">
        <f>8.341/2</f>
        <v>4.1704999999999997</v>
      </c>
      <c r="H31" s="78">
        <v>3.6060859999999999</v>
      </c>
      <c r="I31" s="51">
        <f>11.254/2</f>
        <v>5.6269999999999998</v>
      </c>
      <c r="J31" s="51">
        <f>6.419/2</f>
        <v>3.2094999999999998</v>
      </c>
      <c r="K31" s="51">
        <f t="shared" si="24"/>
        <v>4.1044999999999998</v>
      </c>
      <c r="L31" s="80">
        <f t="shared" si="35"/>
        <v>3.888293</v>
      </c>
      <c r="M31" s="51">
        <f t="shared" si="25"/>
        <v>4.4182499999999996</v>
      </c>
      <c r="N31" s="80">
        <f t="shared" si="26"/>
        <v>4.1370143333333331</v>
      </c>
      <c r="O31" s="51">
        <f t="shared" si="27"/>
        <v>0.90649773759861774</v>
      </c>
      <c r="P31" s="80">
        <f t="shared" ref="P31" si="36">(1-((MIN(G31:H31)/MAX(G31:H31))^2))^0.5</f>
        <v>0.50234866549423529</v>
      </c>
      <c r="Q31" s="51">
        <f t="shared" si="16"/>
        <v>0.82138443174678533</v>
      </c>
      <c r="R31" s="56">
        <f>33.62*15.805/25.465</f>
        <v>20.8664480659729</v>
      </c>
      <c r="S31" s="56">
        <f>33.39*16.488/19.933</f>
        <v>27.619240455526011</v>
      </c>
      <c r="T31" s="56">
        <f>35.64*16.756/26.845</f>
        <v>22.245626373626376</v>
      </c>
      <c r="U31" s="95">
        <v>0.40878121815594487</v>
      </c>
      <c r="V31" s="95">
        <v>0.40636600774142501</v>
      </c>
      <c r="W31" s="95">
        <v>0.39085562700192389</v>
      </c>
      <c r="X31" s="47">
        <v>42.01</v>
      </c>
      <c r="Y31" s="80">
        <f t="shared" ref="Y31" si="37">PI()*G31*H31*AP31</f>
        <v>48.19192228105279</v>
      </c>
      <c r="Z31" s="47">
        <v>60.426000000000002</v>
      </c>
      <c r="AA31" s="61">
        <v>0.52100000000000002</v>
      </c>
      <c r="AB31" s="61">
        <v>0.49</v>
      </c>
      <c r="AC31" s="61">
        <v>0.45800000000000002</v>
      </c>
      <c r="AD31" s="29">
        <f>PI()*(0.371/2)^2</f>
        <v>0.10810298860818816</v>
      </c>
      <c r="AE31" s="29">
        <f>PI()*(0.348/2)^2</f>
        <v>9.5114859180084568E-2</v>
      </c>
      <c r="AF31" s="29">
        <f t="shared" si="17"/>
        <v>0.10160892389413637</v>
      </c>
      <c r="AG31" s="29">
        <f>PI()*(0.307/2)^2</f>
        <v>7.4022991502046109E-2</v>
      </c>
      <c r="AH31" s="29">
        <f t="shared" si="0"/>
        <v>9.4712440796113809E-2</v>
      </c>
      <c r="AI31" s="78">
        <v>26.854649999999999</v>
      </c>
      <c r="AJ31" s="78">
        <v>26.56429</v>
      </c>
      <c r="AK31" s="78">
        <v>27.074909999999999</v>
      </c>
      <c r="AL31" s="78">
        <v>0.74836380000000002</v>
      </c>
      <c r="AM31" s="78">
        <v>0.73122169999999997</v>
      </c>
      <c r="AN31" s="78">
        <v>0.92124689999999998</v>
      </c>
      <c r="AO31" s="47">
        <f t="shared" ref="AO31:AO37" si="38">X31/(PI()*E31*F31)</f>
        <v>0.95065066697982836</v>
      </c>
      <c r="AP31" s="85">
        <v>1.02</v>
      </c>
      <c r="AQ31" s="47">
        <f t="shared" si="29"/>
        <v>1.0650246962118297</v>
      </c>
      <c r="AR31" s="78">
        <v>0.97416250000000004</v>
      </c>
      <c r="AS31" s="78">
        <v>0.96469800000000006</v>
      </c>
      <c r="AT31" s="78">
        <v>0.90943589999999996</v>
      </c>
      <c r="AU31" s="40">
        <v>280.36</v>
      </c>
      <c r="AV31" s="40">
        <v>166.49</v>
      </c>
      <c r="AW31" s="36">
        <v>2795.5</v>
      </c>
      <c r="AX31" s="37">
        <v>25</v>
      </c>
      <c r="AY31" s="36" t="s">
        <v>866</v>
      </c>
      <c r="AZ31" s="4">
        <v>1.19</v>
      </c>
      <c r="BB31" s="34" t="s">
        <v>1323</v>
      </c>
      <c r="BC31" s="62" t="s">
        <v>1552</v>
      </c>
      <c r="BD31" s="65" t="s">
        <v>1487</v>
      </c>
      <c r="BE31" s="65" t="s">
        <v>1487</v>
      </c>
      <c r="BF31" s="34" t="s">
        <v>1323</v>
      </c>
      <c r="BG31" s="18" t="s">
        <v>1445</v>
      </c>
      <c r="BH31" s="64" t="s">
        <v>1098</v>
      </c>
    </row>
    <row r="32" spans="1:60" s="18" customFormat="1" x14ac:dyDescent="0.25">
      <c r="A32" s="33" t="s">
        <v>1309</v>
      </c>
      <c r="B32" s="34" t="s">
        <v>1310</v>
      </c>
      <c r="C32" t="s">
        <v>1615</v>
      </c>
      <c r="D32" t="s">
        <v>1565</v>
      </c>
      <c r="E32" s="35">
        <f>19.228/2</f>
        <v>9.6140000000000008</v>
      </c>
      <c r="F32" s="51">
        <f>8.913/2</f>
        <v>4.4565000000000001</v>
      </c>
      <c r="G32" s="51">
        <f>16.954/2</f>
        <v>8.4770000000000003</v>
      </c>
      <c r="H32" s="51">
        <f>11.291/2</f>
        <v>5.6455000000000002</v>
      </c>
      <c r="I32" s="51">
        <f>28.138/2</f>
        <v>14.069000000000001</v>
      </c>
      <c r="J32" s="51">
        <f>17.767/2</f>
        <v>8.8834999999999997</v>
      </c>
      <c r="K32" s="51">
        <f t="shared" si="24"/>
        <v>7.0352500000000004</v>
      </c>
      <c r="L32" s="51">
        <f t="shared" si="35"/>
        <v>7.0612500000000002</v>
      </c>
      <c r="M32" s="51">
        <f>AVERAGEA(I32:J32)</f>
        <v>11.47625</v>
      </c>
      <c r="N32" s="51">
        <f>AVERAGEA(K32:M32)</f>
        <v>8.5242500000000003</v>
      </c>
      <c r="O32" s="51">
        <f t="shared" ref="O32" si="39">(1-((MIN(E32:F32)/MAX(E32:F32))^2))^0.5</f>
        <v>0.88607455599277396</v>
      </c>
      <c r="P32" s="51">
        <f t="shared" ref="P32:P41" si="40">(1-((MIN(G32:H32)/MAX(G32:H32))^2))^0.5</f>
        <v>0.74597090921299281</v>
      </c>
      <c r="Q32" s="51">
        <f>(1-((MIN(I32:J32)/MAX(I32:J32))^2))^0.5</f>
        <v>0.77543801444530236</v>
      </c>
      <c r="R32" s="56">
        <f>32.26*21.655/44.426</f>
        <v>15.724807545131227</v>
      </c>
      <c r="S32" s="78">
        <v>31.820709999999998</v>
      </c>
      <c r="T32" s="56">
        <f>20.095*7.763/13.791</f>
        <v>11.311542672757595</v>
      </c>
      <c r="U32" s="95">
        <v>0.99532340386182028</v>
      </c>
      <c r="V32" s="95">
        <v>0.49691946553651367</v>
      </c>
      <c r="W32" s="95">
        <v>0.80336258526014692</v>
      </c>
      <c r="X32" s="47">
        <v>134.85900000000001</v>
      </c>
      <c r="Y32" s="47">
        <v>138.47900000000001</v>
      </c>
      <c r="Z32" s="47">
        <v>443.90800000000002</v>
      </c>
      <c r="AA32" s="61">
        <v>1.038</v>
      </c>
      <c r="AB32" s="61">
        <v>0.57099999999999995</v>
      </c>
      <c r="AC32" s="61">
        <v>0.80200000000000005</v>
      </c>
      <c r="AD32" s="29">
        <f>PI()*(0.687/2)^2</f>
        <v>0.37068358578053034</v>
      </c>
      <c r="AE32" s="29">
        <f>PI()*(0.548/2)^2</f>
        <v>0.23585821006090738</v>
      </c>
      <c r="AF32" s="29">
        <f t="shared" si="17"/>
        <v>0.30327089792071887</v>
      </c>
      <c r="AG32" s="29">
        <f>PI()*(0.482/2)^2</f>
        <v>0.18246684291314874</v>
      </c>
      <c r="AH32" s="29">
        <f t="shared" si="0"/>
        <v>0.27306988416882638</v>
      </c>
      <c r="AI32" s="78">
        <v>26.854649999999999</v>
      </c>
      <c r="AJ32" s="78">
        <v>26.56429</v>
      </c>
      <c r="AK32" s="78">
        <v>27.074909999999999</v>
      </c>
      <c r="AL32" s="78">
        <v>0.74836380000000002</v>
      </c>
      <c r="AM32" s="78">
        <v>0.73122169999999997</v>
      </c>
      <c r="AN32" s="78">
        <v>0.92124689999999998</v>
      </c>
      <c r="AO32" s="47">
        <f t="shared" si="38"/>
        <v>1.0019176646435228</v>
      </c>
      <c r="AP32" s="47">
        <f t="shared" ref="AP32:AP41" si="41">Y32/(PI()*G32*H32)</f>
        <v>0.921063242816058</v>
      </c>
      <c r="AQ32" s="47">
        <f>Z32/(PI()*I32*J32)</f>
        <v>1.1305655893076549</v>
      </c>
      <c r="AR32" s="78">
        <v>0.97416250000000004</v>
      </c>
      <c r="AS32" s="78">
        <v>0.96469800000000006</v>
      </c>
      <c r="AT32" s="78">
        <v>0.90943589999999996</v>
      </c>
      <c r="AU32" s="40">
        <v>131.52000000000001</v>
      </c>
      <c r="AV32" s="40">
        <v>102.17</v>
      </c>
      <c r="AW32" s="36">
        <v>2700</v>
      </c>
      <c r="AX32" s="37">
        <v>27.5</v>
      </c>
      <c r="AY32" s="36" t="s">
        <v>866</v>
      </c>
      <c r="AZ32" s="4">
        <v>1.19</v>
      </c>
      <c r="BB32" s="34" t="s">
        <v>1323</v>
      </c>
      <c r="BC32" s="62" t="s">
        <v>1553</v>
      </c>
      <c r="BD32" s="65" t="s">
        <v>1488</v>
      </c>
      <c r="BE32" s="65" t="s">
        <v>1488</v>
      </c>
      <c r="BF32" s="34" t="s">
        <v>1323</v>
      </c>
      <c r="BG32" s="18" t="s">
        <v>1446</v>
      </c>
      <c r="BH32" s="64" t="s">
        <v>1098</v>
      </c>
    </row>
    <row r="33" spans="1:60" s="18" customFormat="1" x14ac:dyDescent="0.25">
      <c r="A33" s="33" t="s">
        <v>1309</v>
      </c>
      <c r="B33" s="34" t="s">
        <v>1311</v>
      </c>
      <c r="C33" t="s">
        <v>1615</v>
      </c>
      <c r="D33" t="s">
        <v>1565</v>
      </c>
      <c r="E33" s="35">
        <f>15.457/2</f>
        <v>7.7285000000000004</v>
      </c>
      <c r="F33" s="51">
        <f>10.239/2</f>
        <v>5.1195000000000004</v>
      </c>
      <c r="G33" s="47">
        <f>18.494/2</f>
        <v>9.2469999999999999</v>
      </c>
      <c r="H33" s="51">
        <f>11.445/2</f>
        <v>5.7225000000000001</v>
      </c>
      <c r="I33" s="51">
        <f>27.348/2</f>
        <v>13.673999999999999</v>
      </c>
      <c r="J33" s="55">
        <f>14.003/2</f>
        <v>7.0015000000000001</v>
      </c>
      <c r="K33" s="51">
        <f t="shared" si="24"/>
        <v>6.4240000000000004</v>
      </c>
      <c r="L33" s="51">
        <f t="shared" si="35"/>
        <v>7.48475</v>
      </c>
      <c r="M33" s="51">
        <f>AVERAGEA(I33:J33)</f>
        <v>10.33775</v>
      </c>
      <c r="N33" s="51">
        <f>AVERAGEA(K33:M33)</f>
        <v>8.0821666666666676</v>
      </c>
      <c r="O33" s="51">
        <f t="shared" ref="O33:O36" si="42">(1-((MIN(E33:F33)/MAX(E33:F33))^2))^0.5</f>
        <v>0.74913414482924023</v>
      </c>
      <c r="P33" s="51">
        <f t="shared" si="40"/>
        <v>0.78550969051949959</v>
      </c>
      <c r="Q33" s="51">
        <f>(1-((MIN(I33:J33)/MAX(I33:J33))^2))^0.5</f>
        <v>0.85896748820542823</v>
      </c>
      <c r="R33" s="56">
        <f>23.025*17.667/39.039</f>
        <v>10.419905094905094</v>
      </c>
      <c r="S33" s="56">
        <f>50.6*27.758/50.832</f>
        <v>27.631310985206166</v>
      </c>
      <c r="T33" s="56">
        <f>46.03*37.751/54.957</f>
        <v>31.618875302509231</v>
      </c>
      <c r="U33" s="95">
        <v>0.85532039678873539</v>
      </c>
      <c r="V33" s="95">
        <v>0.68763959806940433</v>
      </c>
      <c r="W33" s="95">
        <v>0.89331928847470787</v>
      </c>
      <c r="X33" s="47">
        <v>128.05500000000001</v>
      </c>
      <c r="Y33" s="47">
        <v>183.70400000000001</v>
      </c>
      <c r="Z33" s="47">
        <v>265.89299999999997</v>
      </c>
      <c r="AA33" s="61">
        <v>0.92300000000000004</v>
      </c>
      <c r="AB33" s="61">
        <v>0.73099999999999998</v>
      </c>
      <c r="AC33" s="61">
        <v>0.871</v>
      </c>
      <c r="AD33" s="29">
        <f>PI()*(0.557/2)^2</f>
        <v>0.24366899479589496</v>
      </c>
      <c r="AE33" s="29">
        <f>PI()*(0.458/2)^2</f>
        <v>0.16474826034690235</v>
      </c>
      <c r="AF33" s="29">
        <f t="shared" si="17"/>
        <v>0.20420862757139865</v>
      </c>
      <c r="AG33" s="29">
        <f>PI()*(0.533/2)^2</f>
        <v>0.22312297884141771</v>
      </c>
      <c r="AH33" s="29">
        <f t="shared" si="0"/>
        <v>0.20893721538890342</v>
      </c>
      <c r="AI33" s="78">
        <v>26.854649999999999</v>
      </c>
      <c r="AJ33" s="78">
        <v>26.56429</v>
      </c>
      <c r="AK33" s="78">
        <v>27.074909999999999</v>
      </c>
      <c r="AL33" s="78">
        <v>0.74836380000000002</v>
      </c>
      <c r="AM33" s="78">
        <v>0.73122169999999997</v>
      </c>
      <c r="AN33" s="78">
        <v>0.92124689999999998</v>
      </c>
      <c r="AO33" s="47">
        <f t="shared" si="38"/>
        <v>1.030205606867076</v>
      </c>
      <c r="AP33" s="47">
        <f t="shared" si="41"/>
        <v>1.1050503873336712</v>
      </c>
      <c r="AQ33" s="47">
        <f>Z33/(PI()*I33*J33)</f>
        <v>0.88403683829035795</v>
      </c>
      <c r="AR33" s="78">
        <v>0.97416250000000004</v>
      </c>
      <c r="AS33" s="78">
        <v>0.96469800000000006</v>
      </c>
      <c r="AT33" s="78">
        <v>0.90943589999999996</v>
      </c>
      <c r="AU33" s="40">
        <v>106.64</v>
      </c>
      <c r="AV33" s="40">
        <v>75.489999999999995</v>
      </c>
      <c r="AW33" s="36">
        <v>3407.5</v>
      </c>
      <c r="AX33" s="37">
        <v>27</v>
      </c>
      <c r="AY33" s="36" t="s">
        <v>866</v>
      </c>
      <c r="AZ33" s="4">
        <v>1.19</v>
      </c>
      <c r="BB33" s="34" t="s">
        <v>1323</v>
      </c>
      <c r="BC33" s="62" t="s">
        <v>1554</v>
      </c>
      <c r="BD33" s="65" t="s">
        <v>1489</v>
      </c>
      <c r="BE33" s="65" t="s">
        <v>1489</v>
      </c>
      <c r="BF33" s="34" t="s">
        <v>1323</v>
      </c>
      <c r="BG33" s="18" t="s">
        <v>1447</v>
      </c>
      <c r="BH33" s="64" t="s">
        <v>1098</v>
      </c>
    </row>
    <row r="34" spans="1:60" s="18" customFormat="1" x14ac:dyDescent="0.25">
      <c r="A34" s="33" t="s">
        <v>1309</v>
      </c>
      <c r="B34" s="34" t="s">
        <v>1312</v>
      </c>
      <c r="C34" t="s">
        <v>1615</v>
      </c>
      <c r="D34" t="s">
        <v>1565</v>
      </c>
      <c r="E34" s="35">
        <f>21.203/2</f>
        <v>10.6015</v>
      </c>
      <c r="F34" s="51">
        <f>7.472/2</f>
        <v>3.7360000000000002</v>
      </c>
      <c r="G34" s="51">
        <f>17.948/2</f>
        <v>8.9740000000000002</v>
      </c>
      <c r="H34" s="51">
        <f>12.71/2</f>
        <v>6.3550000000000004</v>
      </c>
      <c r="I34" s="51">
        <f>25.5387581951408/2</f>
        <v>12.7693790975704</v>
      </c>
      <c r="J34" s="78">
        <v>7.0572739999999996</v>
      </c>
      <c r="K34" s="51">
        <f t="shared" si="24"/>
        <v>7.1687500000000002</v>
      </c>
      <c r="L34" s="51">
        <f t="shared" si="35"/>
        <v>7.6645000000000003</v>
      </c>
      <c r="M34" s="80">
        <f t="shared" ref="M34:M35" si="43">AVERAGEA(I34:J34)</f>
        <v>9.9133265487852</v>
      </c>
      <c r="N34" s="80">
        <f t="shared" ref="N34:N35" si="44">AVERAGEA(K34:M34)</f>
        <v>8.2488588495950665</v>
      </c>
      <c r="O34" s="51">
        <f t="shared" si="42"/>
        <v>0.93584835976928227</v>
      </c>
      <c r="P34" s="51">
        <f t="shared" si="40"/>
        <v>0.70605510283091022</v>
      </c>
      <c r="Q34" s="80">
        <f t="shared" ref="Q34:Q35" si="45">(1-((MIN(I34:J34)/MAX(I34:J34))^2))^0.5</f>
        <v>0.83339908285337483</v>
      </c>
      <c r="R34" s="56">
        <v>20.271999999999998</v>
      </c>
      <c r="S34" s="56">
        <f>60.76*29.88/40.378</f>
        <v>44.962821338352562</v>
      </c>
      <c r="T34" s="56">
        <f>73.85*34.749/54.316</f>
        <v>47.245998416672805</v>
      </c>
      <c r="U34" s="95">
        <v>0.60072353157754488</v>
      </c>
      <c r="V34" s="95">
        <v>0.57378987517315327</v>
      </c>
      <c r="W34" s="95">
        <v>0.84351505025328355</v>
      </c>
      <c r="X34" s="47">
        <v>128.77799999999999</v>
      </c>
      <c r="Y34" s="47">
        <v>175.47900000000001</v>
      </c>
      <c r="Z34" s="78">
        <v>256.83940000000001</v>
      </c>
      <c r="AA34" s="60">
        <v>0.70199999999999996</v>
      </c>
      <c r="AB34" s="60">
        <v>0.63700000000000001</v>
      </c>
      <c r="AC34" s="60">
        <v>0.83299999999999996</v>
      </c>
      <c r="AD34" s="29">
        <f>PI()*((0.489*0.77)/2)^2</f>
        <v>0.11134969965882542</v>
      </c>
      <c r="AE34" s="29">
        <f>PI()*((0.561*0.77)/2)^2</f>
        <v>0.14655379003234853</v>
      </c>
      <c r="AF34" s="29">
        <f t="shared" si="17"/>
        <v>0.12895174484558697</v>
      </c>
      <c r="AG34" s="29">
        <f>PI()*((0.557*0.77)/2)^2</f>
        <v>0.14447134701448613</v>
      </c>
      <c r="AH34" s="29">
        <f t="shared" si="0"/>
        <v>0.13283164538781175</v>
      </c>
      <c r="AI34" s="78">
        <v>26.854649999999999</v>
      </c>
      <c r="AJ34" s="78">
        <v>26.56429</v>
      </c>
      <c r="AK34" s="78">
        <v>27.074909999999999</v>
      </c>
      <c r="AL34" s="78">
        <v>0.74836380000000002</v>
      </c>
      <c r="AM34" s="78">
        <v>0.73122169999999997</v>
      </c>
      <c r="AN34" s="78">
        <v>0.92124689999999998</v>
      </c>
      <c r="AO34" s="47">
        <f t="shared" si="38"/>
        <v>1.0349458276069221</v>
      </c>
      <c r="AP34" s="47">
        <f t="shared" si="41"/>
        <v>0.97943057665576072</v>
      </c>
      <c r="AQ34" s="80">
        <f t="shared" ref="AQ34:AQ35" si="46">Z34/(PI()*I34*J34)</f>
        <v>0.90720412063283529</v>
      </c>
      <c r="AR34" s="78">
        <v>0.97416250000000004</v>
      </c>
      <c r="AS34" s="78">
        <v>0.96469800000000006</v>
      </c>
      <c r="AT34" s="78">
        <v>0.90943589999999996</v>
      </c>
      <c r="AU34" s="40">
        <v>165.93</v>
      </c>
      <c r="AV34" s="40">
        <v>112.26</v>
      </c>
      <c r="AW34" s="36">
        <v>7796</v>
      </c>
      <c r="AX34" s="37">
        <v>12.6</v>
      </c>
      <c r="AY34" s="36" t="s">
        <v>866</v>
      </c>
      <c r="AZ34" s="4">
        <v>1.19</v>
      </c>
      <c r="BB34" s="34" t="s">
        <v>1323</v>
      </c>
      <c r="BC34" s="62" t="s">
        <v>1555</v>
      </c>
      <c r="BD34" s="65" t="s">
        <v>1490</v>
      </c>
      <c r="BE34" s="65" t="s">
        <v>1490</v>
      </c>
      <c r="BF34" s="34" t="s">
        <v>1323</v>
      </c>
      <c r="BG34" s="18" t="s">
        <v>1448</v>
      </c>
      <c r="BH34" s="64" t="s">
        <v>1098</v>
      </c>
    </row>
    <row r="35" spans="1:60" s="18" customFormat="1" x14ac:dyDescent="0.25">
      <c r="A35" s="33" t="s">
        <v>1313</v>
      </c>
      <c r="B35" s="34" t="s">
        <v>1314</v>
      </c>
      <c r="C35" t="s">
        <v>1615</v>
      </c>
      <c r="D35" t="s">
        <v>1565</v>
      </c>
      <c r="E35" s="35">
        <f>11.868/2</f>
        <v>5.9340000000000002</v>
      </c>
      <c r="F35" s="51">
        <f>7.816/2</f>
        <v>3.9079999999999999</v>
      </c>
      <c r="G35" s="51">
        <f>11.26/2</f>
        <v>5.63</v>
      </c>
      <c r="H35" s="51">
        <f>6.678/2</f>
        <v>3.339</v>
      </c>
      <c r="I35" s="51">
        <f>15.605/2</f>
        <v>7.8025000000000002</v>
      </c>
      <c r="J35" s="78">
        <v>4.7320539999999998</v>
      </c>
      <c r="K35" s="51">
        <f t="shared" si="24"/>
        <v>4.9210000000000003</v>
      </c>
      <c r="L35" s="51">
        <f t="shared" si="35"/>
        <v>4.4844999999999997</v>
      </c>
      <c r="M35" s="80">
        <f t="shared" si="43"/>
        <v>6.267277</v>
      </c>
      <c r="N35" s="80">
        <f t="shared" si="44"/>
        <v>5.224259</v>
      </c>
      <c r="O35" s="51">
        <f t="shared" si="42"/>
        <v>0.75251274341367769</v>
      </c>
      <c r="P35" s="51">
        <f t="shared" si="40"/>
        <v>0.80514882180082947</v>
      </c>
      <c r="Q35" s="80">
        <f t="shared" si="45"/>
        <v>0.79509934815602656</v>
      </c>
      <c r="R35" s="56">
        <f>22.94*14.429/30.014</f>
        <v>11.028228826547611</v>
      </c>
      <c r="S35" s="56">
        <f>21.36*19.261/27.051</f>
        <v>15.208863258289895</v>
      </c>
      <c r="T35" s="56">
        <f>46.24*21.86/33.867</f>
        <v>29.846351905985181</v>
      </c>
      <c r="U35" s="95">
        <v>0.62179590775809601</v>
      </c>
      <c r="V35" s="95">
        <v>0.41840429752175362</v>
      </c>
      <c r="W35" s="95">
        <v>0.47731636838713554</v>
      </c>
      <c r="X35" s="47">
        <v>72.908000000000001</v>
      </c>
      <c r="Y35" s="47">
        <v>48.927999999999997</v>
      </c>
      <c r="Z35" s="78">
        <v>132.77590000000001</v>
      </c>
      <c r="AA35" s="60">
        <v>0.72099999999999997</v>
      </c>
      <c r="AB35" s="60">
        <v>0.501</v>
      </c>
      <c r="AC35" s="60">
        <v>0.53500000000000003</v>
      </c>
      <c r="AD35" s="29">
        <f>PI()*(0.522/2)^2</f>
        <v>0.2140084331551903</v>
      </c>
      <c r="AE35" s="29">
        <f>PI()*(0.445/2)^2</f>
        <v>0.15552847130677971</v>
      </c>
      <c r="AF35" s="29">
        <f t="shared" si="17"/>
        <v>0.18476845223098501</v>
      </c>
      <c r="AG35" s="29">
        <f>PI()*(0.416/2)^2</f>
        <v>0.13591786456490879</v>
      </c>
      <c r="AH35" s="29">
        <f t="shared" si="0"/>
        <v>0.17255580531446596</v>
      </c>
      <c r="AI35" s="78">
        <v>26.854649999999999</v>
      </c>
      <c r="AJ35" s="78">
        <v>26.56429</v>
      </c>
      <c r="AK35" s="78">
        <v>27.074909999999999</v>
      </c>
      <c r="AL35" s="78">
        <v>0.74836380000000002</v>
      </c>
      <c r="AM35" s="78">
        <v>0.73122169999999997</v>
      </c>
      <c r="AN35" s="78">
        <v>0.92124689999999998</v>
      </c>
      <c r="AO35" s="47">
        <f t="shared" si="38"/>
        <v>1.0007445074723273</v>
      </c>
      <c r="AP35" s="47">
        <f t="shared" si="41"/>
        <v>0.82848142764053379</v>
      </c>
      <c r="AQ35" s="80">
        <f t="shared" si="46"/>
        <v>1.1446847893265419</v>
      </c>
      <c r="AR35" s="78">
        <v>0.97416250000000004</v>
      </c>
      <c r="AS35" s="78">
        <v>0.96469800000000006</v>
      </c>
      <c r="AT35" s="78">
        <v>0.90943589999999996</v>
      </c>
      <c r="AU35" s="40">
        <v>259.88</v>
      </c>
      <c r="AV35" s="40">
        <v>207.94</v>
      </c>
      <c r="AW35" s="36">
        <v>2715</v>
      </c>
      <c r="AX35" s="37">
        <v>28.1</v>
      </c>
      <c r="AY35" s="36" t="s">
        <v>866</v>
      </c>
      <c r="AZ35" s="4">
        <v>1.19</v>
      </c>
      <c r="BB35" s="34" t="s">
        <v>1323</v>
      </c>
      <c r="BC35" s="62" t="s">
        <v>1556</v>
      </c>
      <c r="BD35" s="65" t="s">
        <v>1491</v>
      </c>
      <c r="BE35" s="65" t="s">
        <v>1491</v>
      </c>
      <c r="BF35" s="34" t="s">
        <v>1323</v>
      </c>
      <c r="BG35" s="18" t="s">
        <v>1449</v>
      </c>
      <c r="BH35" s="64" t="s">
        <v>1098</v>
      </c>
    </row>
    <row r="36" spans="1:60" s="18" customFormat="1" x14ac:dyDescent="0.25">
      <c r="A36" s="33" t="s">
        <v>1344</v>
      </c>
      <c r="B36" s="34" t="s">
        <v>1165</v>
      </c>
      <c r="C36" t="s">
        <v>1615</v>
      </c>
      <c r="D36" t="s">
        <v>1565</v>
      </c>
      <c r="E36" s="35">
        <f>12.148/2</f>
        <v>6.0739999999999998</v>
      </c>
      <c r="F36" s="51">
        <f>7.634/2</f>
        <v>3.8170000000000002</v>
      </c>
      <c r="G36" s="51">
        <f>13.387/2</f>
        <v>6.6935000000000002</v>
      </c>
      <c r="H36" s="51">
        <f>8.784/2</f>
        <v>4.3920000000000003</v>
      </c>
      <c r="I36" s="51">
        <f>19.65/2</f>
        <v>9.8249999999999993</v>
      </c>
      <c r="J36" s="55">
        <f>15.816/2</f>
        <v>7.9080000000000004</v>
      </c>
      <c r="K36" s="51">
        <f t="shared" si="24"/>
        <v>4.9455</v>
      </c>
      <c r="L36" s="51">
        <f t="shared" si="35"/>
        <v>5.5427499999999998</v>
      </c>
      <c r="M36" s="51">
        <f>AVERAGEA(I36:J36)</f>
        <v>8.8665000000000003</v>
      </c>
      <c r="N36" s="51">
        <f>AVERAGEA(K36:M36)</f>
        <v>6.4515833333333346</v>
      </c>
      <c r="O36" s="51">
        <f t="shared" si="42"/>
        <v>0.77787729066302991</v>
      </c>
      <c r="P36" s="51">
        <f t="shared" si="40"/>
        <v>0.75462269974378959</v>
      </c>
      <c r="Q36" s="51">
        <f t="shared" ref="Q36:Q41" si="47">(1-((MIN(I36:J36)/MAX(I36:J36))^2))^0.5</f>
        <v>0.59343014587558163</v>
      </c>
      <c r="R36" s="56">
        <f>33.85*13.495/29.097</f>
        <v>15.699410592157266</v>
      </c>
      <c r="S36" s="56">
        <f>43.47*24.774/34.541</f>
        <v>31.178187661040507</v>
      </c>
      <c r="T36" s="56">
        <f>49.25*35.459/56.58</f>
        <v>30.865248320961474</v>
      </c>
      <c r="U36" s="95">
        <v>0.97432908222139469</v>
      </c>
      <c r="V36" s="95">
        <v>1.1390640924300344</v>
      </c>
      <c r="W36" s="95">
        <v>1.4259636055880851</v>
      </c>
      <c r="X36" s="47">
        <v>82.981999999999999</v>
      </c>
      <c r="Y36" s="47">
        <v>89.316000000000003</v>
      </c>
      <c r="Z36" s="47">
        <v>247.65299999999999</v>
      </c>
      <c r="AA36" s="61">
        <v>1.0209999999999999</v>
      </c>
      <c r="AB36" s="61">
        <v>1.073</v>
      </c>
      <c r="AC36" s="61">
        <v>1.2529999999999999</v>
      </c>
      <c r="AD36" s="50">
        <f>PI()*(0.552/2)^2</f>
        <v>0.2393139619798561</v>
      </c>
      <c r="AE36" s="50">
        <f>PI()*(0.425/2)^2</f>
        <v>0.14186254326366407</v>
      </c>
      <c r="AF36" s="29">
        <f t="shared" si="17"/>
        <v>0.1905882526217601</v>
      </c>
      <c r="AG36" s="50">
        <f>PI()*(0.533/2)^2</f>
        <v>0.22312297884141771</v>
      </c>
      <c r="AH36" s="50">
        <f t="shared" si="0"/>
        <v>0.1987219341766745</v>
      </c>
      <c r="AI36" s="78">
        <v>26.854649999999999</v>
      </c>
      <c r="AJ36" s="78">
        <v>26.56429</v>
      </c>
      <c r="AK36" s="78">
        <v>27.074909999999999</v>
      </c>
      <c r="AL36" s="78">
        <v>0.74836380000000002</v>
      </c>
      <c r="AM36" s="78">
        <v>0.73122169999999997</v>
      </c>
      <c r="AN36" s="78">
        <v>0.92124689999999998</v>
      </c>
      <c r="AO36" s="47">
        <f t="shared" si="38"/>
        <v>1.1392973247553735</v>
      </c>
      <c r="AP36" s="47">
        <f t="shared" si="41"/>
        <v>0.96708309826144589</v>
      </c>
      <c r="AQ36" s="47">
        <f>Z36/(PI()*I36*J36)</f>
        <v>1.0145991657634594</v>
      </c>
      <c r="AR36" s="78">
        <v>0.97416250000000004</v>
      </c>
      <c r="AS36" s="78">
        <v>0.96469800000000006</v>
      </c>
      <c r="AT36" s="78">
        <v>0.90943589999999996</v>
      </c>
      <c r="AU36" s="40">
        <v>161.51</v>
      </c>
      <c r="AV36" s="40">
        <v>96.9</v>
      </c>
      <c r="AW36" s="36">
        <v>9090</v>
      </c>
      <c r="AX36" s="37">
        <v>18</v>
      </c>
      <c r="AY36" s="36" t="s">
        <v>866</v>
      </c>
      <c r="AZ36" s="4">
        <v>1.19</v>
      </c>
      <c r="BB36" s="34" t="s">
        <v>1323</v>
      </c>
      <c r="BC36" s="62" t="s">
        <v>1556</v>
      </c>
      <c r="BD36" s="65" t="s">
        <v>1492</v>
      </c>
      <c r="BE36" s="65" t="s">
        <v>1492</v>
      </c>
      <c r="BF36" s="34" t="s">
        <v>1323</v>
      </c>
      <c r="BG36" s="18" t="s">
        <v>1450</v>
      </c>
      <c r="BH36" s="64" t="s">
        <v>1098</v>
      </c>
    </row>
    <row r="37" spans="1:60" s="18" customFormat="1" x14ac:dyDescent="0.25">
      <c r="A37" s="33" t="s">
        <v>1315</v>
      </c>
      <c r="B37" s="34" t="s">
        <v>1316</v>
      </c>
      <c r="C37" t="s">
        <v>1615</v>
      </c>
      <c r="D37" t="s">
        <v>1565</v>
      </c>
      <c r="E37" s="35">
        <f>20.041/2</f>
        <v>10.0205</v>
      </c>
      <c r="F37" s="51">
        <f>9.561/2</f>
        <v>4.7805</v>
      </c>
      <c r="G37" s="51">
        <f>18.969/2</f>
        <v>9.4845000000000006</v>
      </c>
      <c r="H37" s="51">
        <f>12.24/2</f>
        <v>6.12</v>
      </c>
      <c r="I37" s="51">
        <v>19.035</v>
      </c>
      <c r="J37" s="78">
        <v>11.756893</v>
      </c>
      <c r="K37" s="51">
        <f t="shared" ref="K37:K40" si="48">AVERAGEA(E37:F37)</f>
        <v>7.4005000000000001</v>
      </c>
      <c r="L37" s="51">
        <f t="shared" ref="L37:L40" si="49">AVERAGEA(G37:H37)</f>
        <v>7.8022500000000008</v>
      </c>
      <c r="M37" s="80">
        <f>AVERAGEA(I37:J37)</f>
        <v>15.395946500000001</v>
      </c>
      <c r="N37" s="80">
        <f>AVERAGEA(K37:M37)</f>
        <v>10.1995655</v>
      </c>
      <c r="O37" s="51">
        <f t="shared" ref="O37:O40" si="50">(1-((MIN(E37:F37)/MAX(E37:F37))^2))^0.5</f>
        <v>0.87886421279441074</v>
      </c>
      <c r="P37" s="51">
        <f t="shared" si="40"/>
        <v>0.76396023602098784</v>
      </c>
      <c r="Q37" s="80">
        <f t="shared" si="47"/>
        <v>0.78645618344495205</v>
      </c>
      <c r="R37" s="56">
        <v>22.238</v>
      </c>
      <c r="S37" s="56">
        <v>34.328000000000003</v>
      </c>
      <c r="T37" s="78">
        <v>53.372463000000003</v>
      </c>
      <c r="U37" s="83">
        <v>0.64639798104298596</v>
      </c>
      <c r="V37" s="83">
        <v>0.7062542678125483</v>
      </c>
      <c r="W37" s="83">
        <v>1.1457867551772323</v>
      </c>
      <c r="X37" s="47">
        <v>151.465</v>
      </c>
      <c r="Y37" s="47">
        <v>168.535</v>
      </c>
      <c r="Z37" s="78">
        <v>727.12276499999996</v>
      </c>
      <c r="AA37" s="60">
        <v>0.74299999999999999</v>
      </c>
      <c r="AB37" s="60">
        <v>0.746</v>
      </c>
      <c r="AC37" s="60">
        <v>1.0569999999999999</v>
      </c>
      <c r="AD37" s="29">
        <f>PI()*(0.445/2)^2</f>
        <v>0.15552847130677971</v>
      </c>
      <c r="AE37" s="29">
        <f>PI()*(0.381/2)^2</f>
        <v>0.114009182796937</v>
      </c>
      <c r="AF37" s="29">
        <f t="shared" si="17"/>
        <v>0.13476882705185836</v>
      </c>
      <c r="AG37" s="29">
        <f>PI()*(0.474/2)^2</f>
        <v>0.17646011775948509</v>
      </c>
      <c r="AH37" s="29">
        <f t="shared" si="0"/>
        <v>0.14519164972876505</v>
      </c>
      <c r="AI37" s="78">
        <v>26.854649999999999</v>
      </c>
      <c r="AJ37" s="78">
        <v>26.56429</v>
      </c>
      <c r="AK37" s="78">
        <v>27.074909999999999</v>
      </c>
      <c r="AL37" s="78">
        <v>0.74836380000000002</v>
      </c>
      <c r="AM37" s="78">
        <v>0.73122169999999997</v>
      </c>
      <c r="AN37" s="78">
        <v>0.92124689999999998</v>
      </c>
      <c r="AO37" s="47">
        <f t="shared" si="38"/>
        <v>1.0064673748869803</v>
      </c>
      <c r="AP37" s="47">
        <f t="shared" si="41"/>
        <v>0.92421788745767786</v>
      </c>
      <c r="AQ37" s="80">
        <f>Z37/(PI()*I37*J37)</f>
        <v>1.0342187863411705</v>
      </c>
      <c r="AR37" s="78">
        <v>0.97416250000000004</v>
      </c>
      <c r="AS37" s="78">
        <v>0.96469800000000006</v>
      </c>
      <c r="AT37" s="78">
        <v>0.90943589999999996</v>
      </c>
      <c r="AU37" s="40">
        <v>79.540000000000006</v>
      </c>
      <c r="AV37" s="40">
        <v>52.73</v>
      </c>
      <c r="AW37" s="2">
        <v>661.24</v>
      </c>
      <c r="AX37" s="37">
        <v>26.6</v>
      </c>
      <c r="AY37" s="36" t="s">
        <v>866</v>
      </c>
      <c r="AZ37" s="4">
        <v>1.19</v>
      </c>
      <c r="BB37" s="34" t="s">
        <v>1323</v>
      </c>
      <c r="BC37" s="62" t="s">
        <v>1544</v>
      </c>
      <c r="BD37" s="62" t="s">
        <v>1493</v>
      </c>
      <c r="BE37" s="62" t="s">
        <v>1493</v>
      </c>
      <c r="BF37" s="18" t="s">
        <v>1407</v>
      </c>
      <c r="BG37" s="18" t="s">
        <v>1451</v>
      </c>
      <c r="BH37" s="64" t="s">
        <v>1098</v>
      </c>
    </row>
    <row r="38" spans="1:60" s="18" customFormat="1" x14ac:dyDescent="0.25">
      <c r="A38" s="33" t="s">
        <v>1317</v>
      </c>
      <c r="B38" s="34" t="s">
        <v>1318</v>
      </c>
      <c r="C38" t="s">
        <v>1615</v>
      </c>
      <c r="D38" t="s">
        <v>1565</v>
      </c>
      <c r="E38" s="35">
        <f>7.73/2</f>
        <v>3.8650000000000002</v>
      </c>
      <c r="F38" s="51">
        <f>6.58/2</f>
        <v>3.29</v>
      </c>
      <c r="G38" s="51">
        <f>8.837/2</f>
        <v>4.4184999999999999</v>
      </c>
      <c r="H38" s="51">
        <f>5.254/2</f>
        <v>2.6269999999999998</v>
      </c>
      <c r="I38" s="51">
        <f>7.194/2</f>
        <v>3.597</v>
      </c>
      <c r="J38" s="51">
        <f>5.687/2</f>
        <v>2.8435000000000001</v>
      </c>
      <c r="K38" s="51">
        <f t="shared" si="48"/>
        <v>3.5775000000000001</v>
      </c>
      <c r="L38" s="51">
        <f t="shared" si="49"/>
        <v>3.5227499999999998</v>
      </c>
      <c r="M38" s="51">
        <f>AVERAGEA(I38:J38)</f>
        <v>3.2202500000000001</v>
      </c>
      <c r="N38" s="51">
        <f>AVERAGEA(K38:M38)</f>
        <v>3.4401666666666664</v>
      </c>
      <c r="O38" s="51">
        <f t="shared" si="50"/>
        <v>0.52479446167033916</v>
      </c>
      <c r="P38" s="51">
        <f t="shared" si="40"/>
        <v>0.80406184950413118</v>
      </c>
      <c r="Q38" s="51">
        <f t="shared" si="47"/>
        <v>0.61243638281814494</v>
      </c>
      <c r="R38" s="56">
        <v>11.739000000000001</v>
      </c>
      <c r="S38" s="56">
        <v>11.273</v>
      </c>
      <c r="T38" s="56">
        <v>14.831</v>
      </c>
      <c r="U38" s="95">
        <v>0.3354288746019165</v>
      </c>
      <c r="V38" s="95">
        <v>0.44718835532561257</v>
      </c>
      <c r="W38" s="95">
        <v>0.41294065188886209</v>
      </c>
      <c r="X38" s="47">
        <v>40.616999999999997</v>
      </c>
      <c r="Y38" s="47">
        <f>37.189</f>
        <v>37.189</v>
      </c>
      <c r="Z38" s="47">
        <v>32.886000000000003</v>
      </c>
      <c r="AA38" s="61">
        <v>0.44700000000000001</v>
      </c>
      <c r="AB38" s="61">
        <v>0.52700000000000002</v>
      </c>
      <c r="AC38" s="61">
        <v>0.47799999999999998</v>
      </c>
      <c r="AD38" s="29">
        <f>PI()*(0.336/2)^2</f>
        <v>8.8668311054918333E-2</v>
      </c>
      <c r="AE38" s="29">
        <f>PI()*(0.336/2)^2</f>
        <v>8.8668311054918333E-2</v>
      </c>
      <c r="AF38" s="29">
        <f t="shared" si="17"/>
        <v>8.8668311054918333E-2</v>
      </c>
      <c r="AG38" s="29">
        <f>PI()*(0.276/2)^2</f>
        <v>5.9828490494964026E-2</v>
      </c>
      <c r="AH38" s="29">
        <f t="shared" si="0"/>
        <v>8.1458355914929753E-2</v>
      </c>
      <c r="AI38" s="78">
        <v>26.854649999999999</v>
      </c>
      <c r="AJ38" s="78">
        <v>26.56429</v>
      </c>
      <c r="AK38" s="78">
        <v>27.074909999999999</v>
      </c>
      <c r="AL38" s="78">
        <v>0.74836380000000002</v>
      </c>
      <c r="AM38" s="78">
        <v>0.73122169999999997</v>
      </c>
      <c r="AN38" s="78">
        <v>0.92124689999999998</v>
      </c>
      <c r="AO38" s="47">
        <f t="shared" ref="AO38" si="51">X38/(PI()*E38*F38)</f>
        <v>1.0167462377369207</v>
      </c>
      <c r="AP38" s="47">
        <f t="shared" si="41"/>
        <v>1.019834490687513</v>
      </c>
      <c r="AQ38" s="47">
        <f>Z38/(PI()*I38*J38)</f>
        <v>1.0234520714823203</v>
      </c>
      <c r="AR38" s="78">
        <v>0.97416250000000004</v>
      </c>
      <c r="AS38" s="78">
        <v>0.96469800000000006</v>
      </c>
      <c r="AT38" s="78">
        <v>0.90943589999999996</v>
      </c>
      <c r="AU38" s="40">
        <v>84.48</v>
      </c>
      <c r="AV38" s="40">
        <v>46.65</v>
      </c>
      <c r="AW38" s="36">
        <v>1720</v>
      </c>
      <c r="AX38" s="37">
        <v>28.2</v>
      </c>
      <c r="AY38" s="36" t="s">
        <v>866</v>
      </c>
      <c r="AZ38" s="4">
        <v>1.19</v>
      </c>
      <c r="BB38" s="34" t="s">
        <v>1323</v>
      </c>
      <c r="BC38" s="62" t="s">
        <v>1554</v>
      </c>
      <c r="BD38" s="65" t="s">
        <v>1494</v>
      </c>
      <c r="BE38" s="65" t="s">
        <v>1494</v>
      </c>
      <c r="BF38" s="34" t="s">
        <v>1323</v>
      </c>
      <c r="BG38" s="18" t="s">
        <v>1452</v>
      </c>
      <c r="BH38" s="64" t="s">
        <v>1098</v>
      </c>
    </row>
    <row r="39" spans="1:60" s="18" customFormat="1" x14ac:dyDescent="0.25">
      <c r="A39" s="33" t="s">
        <v>1319</v>
      </c>
      <c r="B39" s="34" t="s">
        <v>1320</v>
      </c>
      <c r="C39" t="s">
        <v>1615</v>
      </c>
      <c r="D39" t="s">
        <v>1565</v>
      </c>
      <c r="E39" s="35">
        <f>12.703/2</f>
        <v>6.3514999999999997</v>
      </c>
      <c r="F39" s="51">
        <f>8.226/2</f>
        <v>4.1130000000000004</v>
      </c>
      <c r="G39" s="51">
        <f>13.359/2</f>
        <v>6.6795</v>
      </c>
      <c r="H39" s="51">
        <f>9.378/2</f>
        <v>4.6890000000000001</v>
      </c>
      <c r="I39" s="51">
        <f>14.071/2</f>
        <v>7.0354999999999999</v>
      </c>
      <c r="J39" s="51">
        <f>11.778/2</f>
        <v>5.8890000000000002</v>
      </c>
      <c r="K39" s="51">
        <f t="shared" si="48"/>
        <v>5.2322500000000005</v>
      </c>
      <c r="L39" s="51">
        <f t="shared" si="49"/>
        <v>5.6842500000000005</v>
      </c>
      <c r="M39" s="51">
        <f>AVERAGEA(I39:J39)</f>
        <v>6.46225</v>
      </c>
      <c r="N39" s="51">
        <f>AVERAGEA(K39:M39)</f>
        <v>5.7929166666666667</v>
      </c>
      <c r="O39" s="51">
        <f t="shared" si="50"/>
        <v>0.76201143419106321</v>
      </c>
      <c r="P39" s="51">
        <f t="shared" si="40"/>
        <v>0.71217827245469212</v>
      </c>
      <c r="Q39" s="51">
        <f t="shared" si="47"/>
        <v>0.54714059402124049</v>
      </c>
      <c r="R39" s="39">
        <v>17.431000000000001</v>
      </c>
      <c r="S39" s="56">
        <f>52.513*19.255/36.803</f>
        <v>27.474331304513218</v>
      </c>
      <c r="T39" s="56">
        <f>38.27*24.622/35.568</f>
        <v>26.492463450292401</v>
      </c>
      <c r="U39" s="95">
        <v>0.76551008306627299</v>
      </c>
      <c r="V39" s="95">
        <v>1.0464678052642058</v>
      </c>
      <c r="W39" s="95">
        <v>0.90124079307141214</v>
      </c>
      <c r="X39" s="47">
        <v>85.343999999999994</v>
      </c>
      <c r="Y39" s="47">
        <f>90.744</f>
        <v>90.744</v>
      </c>
      <c r="Z39" s="47">
        <v>129.196</v>
      </c>
      <c r="AA39" s="61">
        <v>0.84699999999999998</v>
      </c>
      <c r="AB39" s="61">
        <v>1.006</v>
      </c>
      <c r="AC39" s="61">
        <v>0.877</v>
      </c>
      <c r="AD39" s="50">
        <f>PI()*(0.465/2)^2</f>
        <v>0.16982271788061329</v>
      </c>
      <c r="AE39" s="50">
        <f>PI()*(0.445/2)^2</f>
        <v>0.15552847130677971</v>
      </c>
      <c r="AF39" s="29">
        <f t="shared" si="17"/>
        <v>0.16267559459369652</v>
      </c>
      <c r="AG39" s="50">
        <f>PI()*(0.412/2)^2</f>
        <v>0.13331662584773643</v>
      </c>
      <c r="AH39" s="50">
        <f t="shared" si="0"/>
        <v>0.15533585240720649</v>
      </c>
      <c r="AI39" s="78">
        <v>26.854649999999999</v>
      </c>
      <c r="AJ39" s="78">
        <v>26.56429</v>
      </c>
      <c r="AK39" s="78">
        <v>27.074909999999999</v>
      </c>
      <c r="AL39" s="78">
        <v>0.74836380000000002</v>
      </c>
      <c r="AM39" s="78">
        <v>0.73122169999999997</v>
      </c>
      <c r="AN39" s="78">
        <v>0.92124689999999998</v>
      </c>
      <c r="AO39" s="47">
        <f t="shared" ref="AO39:AO40" si="52">X39/(PI()*E39*F39)</f>
        <v>1.0398916940778449</v>
      </c>
      <c r="AP39" s="47">
        <f t="shared" si="41"/>
        <v>0.92223979753440088</v>
      </c>
      <c r="AQ39" s="47">
        <f>Z39/(PI()*I39*J39)</f>
        <v>0.99257349385205007</v>
      </c>
      <c r="AR39" s="78">
        <v>0.97416250000000004</v>
      </c>
      <c r="AS39" s="78">
        <v>0.96469800000000006</v>
      </c>
      <c r="AT39" s="78">
        <v>0.90943589999999996</v>
      </c>
      <c r="AU39" s="4">
        <v>148.29</v>
      </c>
      <c r="AV39" s="4">
        <v>68.5</v>
      </c>
      <c r="AW39" s="36">
        <v>8850</v>
      </c>
      <c r="AX39" s="37">
        <v>16.8</v>
      </c>
      <c r="AY39" s="36" t="s">
        <v>866</v>
      </c>
      <c r="AZ39" s="4">
        <v>1.19</v>
      </c>
      <c r="BB39" s="34" t="s">
        <v>1323</v>
      </c>
      <c r="BC39" s="62" t="s">
        <v>1557</v>
      </c>
      <c r="BD39" s="65" t="s">
        <v>1495</v>
      </c>
      <c r="BE39" s="65" t="s">
        <v>1495</v>
      </c>
      <c r="BF39" s="34" t="s">
        <v>1323</v>
      </c>
      <c r="BG39" s="18" t="s">
        <v>1453</v>
      </c>
      <c r="BH39" s="64" t="s">
        <v>1098</v>
      </c>
    </row>
    <row r="40" spans="1:60" s="18" customFormat="1" x14ac:dyDescent="0.25">
      <c r="A40" s="33" t="s">
        <v>1321</v>
      </c>
      <c r="B40" s="34" t="s">
        <v>1322</v>
      </c>
      <c r="C40" t="s">
        <v>1615</v>
      </c>
      <c r="D40" t="s">
        <v>1566</v>
      </c>
      <c r="E40" s="35">
        <f>20.925/2</f>
        <v>10.4625</v>
      </c>
      <c r="F40" s="51">
        <f>10.163/2</f>
        <v>5.0815000000000001</v>
      </c>
      <c r="G40" s="51">
        <f>23.113/2</f>
        <v>11.5565</v>
      </c>
      <c r="H40" s="51">
        <f>14.14/2</f>
        <v>7.07</v>
      </c>
      <c r="I40" s="51">
        <f>19.941/2</f>
        <v>9.9704999999999995</v>
      </c>
      <c r="J40" s="78">
        <v>6.6484129999999997</v>
      </c>
      <c r="K40" s="51">
        <f t="shared" si="48"/>
        <v>7.7720000000000002</v>
      </c>
      <c r="L40" s="51">
        <f t="shared" si="49"/>
        <v>9.31325</v>
      </c>
      <c r="M40" s="80">
        <f t="shared" ref="M40:M41" si="53">AVERAGEA(I40:J40)</f>
        <v>8.3094564999999996</v>
      </c>
      <c r="N40" s="80">
        <f t="shared" ref="N40:N41" si="54">AVERAGEA(K40:M40)</f>
        <v>8.4649021666666666</v>
      </c>
      <c r="O40" s="51">
        <f t="shared" si="50"/>
        <v>0.87413280460196974</v>
      </c>
      <c r="P40" s="51">
        <f t="shared" si="40"/>
        <v>0.79103033924886623</v>
      </c>
      <c r="Q40" s="80">
        <f t="shared" si="47"/>
        <v>0.74522921175108447</v>
      </c>
      <c r="R40" s="39">
        <v>24.51</v>
      </c>
      <c r="S40" s="39">
        <f>29.197</f>
        <v>29.196999999999999</v>
      </c>
      <c r="T40" s="78">
        <v>31.307835000000001</v>
      </c>
      <c r="U40" s="83">
        <v>1.1809290961231675</v>
      </c>
      <c r="V40" s="83">
        <v>1.1656610810857035</v>
      </c>
      <c r="W40" s="83">
        <v>0.9638235175362263</v>
      </c>
      <c r="X40" s="47">
        <v>172.79599999999999</v>
      </c>
      <c r="Y40" s="47">
        <v>277.46499999999997</v>
      </c>
      <c r="Z40" s="78">
        <v>194.221113</v>
      </c>
      <c r="AA40" s="60">
        <v>1.1850000000000001</v>
      </c>
      <c r="AB40" s="60">
        <v>1.0920000000000001</v>
      </c>
      <c r="AC40" s="60">
        <v>0.92400000000000004</v>
      </c>
      <c r="AD40" s="50">
        <f>PI()*(0.555/2)^2</f>
        <v>0.24192226928049904</v>
      </c>
      <c r="AE40" s="50">
        <f>PI()*(0.576/2)^2</f>
        <v>0.26057626105935178</v>
      </c>
      <c r="AF40" s="29">
        <f t="shared" si="17"/>
        <v>0.25124926516992541</v>
      </c>
      <c r="AG40" s="50">
        <f>PI()*(0.569/2)^2</f>
        <v>0.25428129477972122</v>
      </c>
      <c r="AH40" s="50">
        <f t="shared" si="0"/>
        <v>0.25200727257237437</v>
      </c>
      <c r="AI40" s="78">
        <v>26.854649999999999</v>
      </c>
      <c r="AJ40" s="78">
        <v>26.56429</v>
      </c>
      <c r="AK40" s="78">
        <v>27.074909999999999</v>
      </c>
      <c r="AL40" s="78">
        <v>0.74836380000000002</v>
      </c>
      <c r="AM40" s="78">
        <v>0.73122169999999997</v>
      </c>
      <c r="AN40" s="78">
        <v>0.92124689999999998</v>
      </c>
      <c r="AO40" s="47">
        <f t="shared" si="52"/>
        <v>1.0345617351016292</v>
      </c>
      <c r="AP40" s="47">
        <f t="shared" si="41"/>
        <v>1.0809674034296597</v>
      </c>
      <c r="AQ40" s="80">
        <f t="shared" ref="AQ40:AQ41" si="55">Z40/(PI()*I40*J40)</f>
        <v>0.93263484611676251</v>
      </c>
      <c r="AR40" s="78">
        <v>0.97416250000000004</v>
      </c>
      <c r="AS40" s="78">
        <v>0.96469800000000006</v>
      </c>
      <c r="AT40" s="78">
        <v>0.90943589999999996</v>
      </c>
      <c r="AU40" s="40">
        <v>320.14999999999998</v>
      </c>
      <c r="AV40" s="40">
        <v>116.78</v>
      </c>
      <c r="AW40" s="36">
        <v>5030</v>
      </c>
      <c r="AX40" s="37">
        <v>28</v>
      </c>
      <c r="AY40" s="36" t="s">
        <v>866</v>
      </c>
      <c r="AZ40" s="4">
        <v>1.19</v>
      </c>
      <c r="BB40" s="34" t="s">
        <v>1323</v>
      </c>
      <c r="BC40" s="62" t="s">
        <v>1558</v>
      </c>
      <c r="BD40" s="65" t="s">
        <v>1496</v>
      </c>
      <c r="BE40" s="65" t="s">
        <v>1496</v>
      </c>
      <c r="BF40" s="34" t="s">
        <v>1323</v>
      </c>
      <c r="BG40" s="18" t="s">
        <v>1454</v>
      </c>
      <c r="BH40" s="64" t="s">
        <v>1098</v>
      </c>
    </row>
    <row r="41" spans="1:60" s="18" customFormat="1" x14ac:dyDescent="0.25">
      <c r="A41" s="33" t="s">
        <v>1345</v>
      </c>
      <c r="B41" s="34" t="s">
        <v>1333</v>
      </c>
      <c r="C41" t="s">
        <v>1615</v>
      </c>
      <c r="D41" t="s">
        <v>1564</v>
      </c>
      <c r="E41" s="35">
        <f>11.488/2</f>
        <v>5.7439999999999998</v>
      </c>
      <c r="F41" s="51">
        <f>9.492/2</f>
        <v>4.7460000000000004</v>
      </c>
      <c r="G41" s="51">
        <f>11.146/2</f>
        <v>5.5730000000000004</v>
      </c>
      <c r="H41" s="51">
        <f>10.041/2</f>
        <v>5.0205000000000002</v>
      </c>
      <c r="I41" s="51">
        <f>8.762/2</f>
        <v>4.3810000000000002</v>
      </c>
      <c r="J41" s="78">
        <v>3.945357</v>
      </c>
      <c r="K41" s="51">
        <f t="shared" ref="K41" si="56">AVERAGEA(E41:F41)</f>
        <v>5.2450000000000001</v>
      </c>
      <c r="L41" s="51">
        <f t="shared" ref="L41" si="57">AVERAGEA(G41:H41)</f>
        <v>5.2967500000000003</v>
      </c>
      <c r="M41" s="80">
        <f t="shared" si="53"/>
        <v>4.1631784999999999</v>
      </c>
      <c r="N41" s="80">
        <f t="shared" si="54"/>
        <v>4.9016428333333337</v>
      </c>
      <c r="O41" s="51">
        <f t="shared" ref="O41" si="58">(1-((MIN(E41:F41)/MAX(E41:F41))^2))^0.5</f>
        <v>0.56329848540342509</v>
      </c>
      <c r="P41" s="51">
        <f t="shared" si="40"/>
        <v>0.4341070446472316</v>
      </c>
      <c r="Q41" s="80">
        <f t="shared" si="47"/>
        <v>0.43473001957512036</v>
      </c>
      <c r="R41" s="39">
        <f>16.775</f>
        <v>16.774999999999999</v>
      </c>
      <c r="S41" s="39">
        <f>18.554</f>
        <v>18.553999999999998</v>
      </c>
      <c r="T41" s="78">
        <v>16.018025999999999</v>
      </c>
      <c r="U41" s="83">
        <v>0.40372365608507205</v>
      </c>
      <c r="V41" s="83">
        <v>0.47076694537219727</v>
      </c>
      <c r="W41" s="83">
        <v>0.30431148291003191</v>
      </c>
      <c r="X41" s="47">
        <f>92.881</f>
        <v>92.881</v>
      </c>
      <c r="Y41" s="47">
        <f>100.735</f>
        <v>100.735</v>
      </c>
      <c r="Z41" s="78">
        <v>40.496298000000003</v>
      </c>
      <c r="AA41" s="60">
        <v>0.51600000000000001</v>
      </c>
      <c r="AB41" s="60">
        <v>0.54800000000000004</v>
      </c>
      <c r="AC41" s="60">
        <v>0.377</v>
      </c>
      <c r="AD41" s="29">
        <f>PI()*(0.504/2)^2</f>
        <v>0.19950369987356623</v>
      </c>
      <c r="AE41" s="29">
        <f>PI()*(0.351/2)^2</f>
        <v>9.6761839128729016E-2</v>
      </c>
      <c r="AF41" s="29">
        <f>AVERAGEA(AD41:AE41)</f>
        <v>0.14813276950114762</v>
      </c>
      <c r="AG41" s="29">
        <f>PI()*(0.305/2)^2</f>
        <v>7.3061664150047625E-2</v>
      </c>
      <c r="AH41" s="29">
        <f>AVERAGEA(AD41:AG41)</f>
        <v>0.12936499316337263</v>
      </c>
      <c r="AI41" s="78">
        <v>26.854649999999999</v>
      </c>
      <c r="AJ41" s="78">
        <v>26.56429</v>
      </c>
      <c r="AK41" s="78">
        <v>27.074909999999999</v>
      </c>
      <c r="AL41" s="78">
        <v>0.74836380000000002</v>
      </c>
      <c r="AM41" s="78">
        <v>0.73122169999999997</v>
      </c>
      <c r="AN41" s="78">
        <v>0.92124689999999998</v>
      </c>
      <c r="AO41" s="47">
        <f t="shared" ref="AO41" si="59">X41/(PI()*E41*F41)</f>
        <v>1.084513206056994</v>
      </c>
      <c r="AP41" s="47">
        <f t="shared" si="41"/>
        <v>1.1460260870400549</v>
      </c>
      <c r="AQ41" s="80">
        <f t="shared" si="55"/>
        <v>0.74577168592976284</v>
      </c>
      <c r="AR41" s="78">
        <v>0.97416250000000004</v>
      </c>
      <c r="AS41" s="78">
        <v>0.96469800000000006</v>
      </c>
      <c r="AT41" s="78">
        <v>0.90943589999999996</v>
      </c>
      <c r="AU41" s="40">
        <v>166.15</v>
      </c>
      <c r="AV41" s="40">
        <v>50.12</v>
      </c>
      <c r="AW41" s="2">
        <v>3623.58</v>
      </c>
      <c r="AX41" s="37">
        <v>15.2</v>
      </c>
      <c r="AY41" s="36" t="s">
        <v>866</v>
      </c>
      <c r="AZ41" s="4">
        <v>1.19</v>
      </c>
      <c r="BB41" s="66" t="s">
        <v>1334</v>
      </c>
      <c r="BC41" s="62" t="s">
        <v>1544</v>
      </c>
      <c r="BD41" s="62" t="s">
        <v>1497</v>
      </c>
      <c r="BE41" s="62" t="s">
        <v>1497</v>
      </c>
      <c r="BF41" s="18" t="s">
        <v>1399</v>
      </c>
      <c r="BG41" s="18" t="s">
        <v>1455</v>
      </c>
      <c r="BH41" s="64" t="s">
        <v>1098</v>
      </c>
    </row>
    <row r="42" spans="1:60" s="18" customFormat="1" x14ac:dyDescent="0.25">
      <c r="A42" s="33"/>
      <c r="B42" s="34"/>
      <c r="C42" s="34"/>
      <c r="D42" s="34"/>
      <c r="E42" s="35"/>
      <c r="F42" s="51"/>
      <c r="G42" s="51"/>
      <c r="H42" s="51"/>
      <c r="I42" s="51"/>
      <c r="J42" s="51"/>
      <c r="K42" s="51"/>
      <c r="L42" s="51"/>
      <c r="M42" s="51"/>
      <c r="N42" s="51"/>
      <c r="O42" s="51"/>
      <c r="P42" s="51"/>
      <c r="Q42" s="51"/>
      <c r="R42" s="39"/>
      <c r="S42" s="39"/>
      <c r="T42" s="39"/>
      <c r="U42" s="89"/>
      <c r="V42" s="89"/>
      <c r="W42" s="89"/>
      <c r="X42" s="47"/>
      <c r="Y42" s="47"/>
      <c r="Z42" s="47"/>
      <c r="AA42" s="49"/>
      <c r="AB42" s="49"/>
      <c r="AC42" s="49"/>
      <c r="AD42" s="81"/>
      <c r="AE42" s="81"/>
      <c r="AF42" s="81"/>
      <c r="AG42" s="49"/>
      <c r="AH42" s="49"/>
      <c r="AI42" s="46"/>
      <c r="AJ42" s="46"/>
      <c r="AK42" s="46"/>
      <c r="AL42" s="88"/>
      <c r="AM42" s="88"/>
      <c r="AN42" s="88"/>
      <c r="AO42" s="47"/>
      <c r="AP42" s="47"/>
      <c r="AQ42" s="47"/>
      <c r="AR42" s="48"/>
      <c r="AS42" s="48"/>
      <c r="AT42" s="48"/>
      <c r="AU42" s="39"/>
      <c r="AV42" s="39"/>
      <c r="AW42" s="36"/>
      <c r="AX42" s="37"/>
      <c r="AY42" s="36"/>
      <c r="AZ42" s="4"/>
      <c r="BB42" s="32"/>
      <c r="BC42" s="7"/>
      <c r="BD42" s="7"/>
    </row>
    <row r="44" spans="1:60" x14ac:dyDescent="0.25">
      <c r="A44" s="5" t="s">
        <v>810</v>
      </c>
      <c r="B44" s="6" t="s">
        <v>1621</v>
      </c>
      <c r="C44" s="13"/>
      <c r="E44" s="35"/>
      <c r="F44" s="35"/>
      <c r="G44" s="35"/>
      <c r="H44" s="35"/>
      <c r="I44" s="35"/>
      <c r="J44" s="35"/>
      <c r="K44" s="35"/>
      <c r="L44" s="35"/>
      <c r="M44" s="35"/>
      <c r="N44" s="35"/>
      <c r="O44" s="35"/>
      <c r="P44" s="35"/>
      <c r="Q44" s="35"/>
      <c r="R44" s="36"/>
      <c r="S44" s="36"/>
      <c r="T44" s="36"/>
      <c r="U44" s="90"/>
      <c r="V44" s="90"/>
      <c r="W44" s="90"/>
      <c r="AI44" s="46"/>
      <c r="AJ44" s="46"/>
      <c r="AK44" s="46"/>
      <c r="AR44" s="48"/>
      <c r="AS44" s="48"/>
      <c r="AT44" s="48"/>
      <c r="AU44" s="36"/>
      <c r="AV44" s="36"/>
      <c r="AW44" s="36"/>
      <c r="AX44" s="23"/>
      <c r="AY44" s="36"/>
      <c r="AZ44" s="4"/>
      <c r="BC44" s="7"/>
      <c r="BD44" s="7"/>
    </row>
    <row r="45" spans="1:60" x14ac:dyDescent="0.25">
      <c r="A45" s="5" t="s">
        <v>812</v>
      </c>
      <c r="B45" s="6" t="s">
        <v>1622</v>
      </c>
      <c r="C45" s="13"/>
      <c r="E45" s="35"/>
      <c r="F45" s="35"/>
      <c r="G45" s="35"/>
      <c r="H45" s="35"/>
      <c r="I45" s="35"/>
      <c r="J45" s="35"/>
      <c r="K45" s="35"/>
      <c r="L45" s="35"/>
      <c r="M45" s="35"/>
      <c r="N45" s="35"/>
      <c r="O45" s="35"/>
      <c r="P45" s="35"/>
      <c r="Q45" s="35"/>
      <c r="R45" s="36"/>
      <c r="S45" s="36"/>
      <c r="T45" s="36"/>
      <c r="U45" s="90"/>
      <c r="V45" s="90"/>
      <c r="W45" s="90"/>
      <c r="AI45" s="46"/>
      <c r="AJ45" s="46"/>
      <c r="AK45" s="46"/>
      <c r="AR45" s="48"/>
      <c r="AS45" s="48"/>
      <c r="AT45" s="48"/>
      <c r="AU45" s="36"/>
      <c r="AV45" s="36"/>
      <c r="AW45" s="36"/>
      <c r="AX45" s="23"/>
      <c r="AY45" s="36"/>
      <c r="AZ45" s="4"/>
      <c r="BC45" s="7"/>
      <c r="BD45" s="7"/>
    </row>
    <row r="46" spans="1:60" x14ac:dyDescent="0.25">
      <c r="A46" s="5" t="s">
        <v>817</v>
      </c>
      <c r="B46" s="6" t="s">
        <v>1623</v>
      </c>
      <c r="C46" s="13"/>
      <c r="E46" s="35"/>
      <c r="F46" s="35"/>
      <c r="G46" s="35"/>
      <c r="H46" s="35"/>
      <c r="I46" s="35"/>
      <c r="J46" s="35"/>
      <c r="K46" s="35"/>
      <c r="L46" s="35"/>
      <c r="M46" s="35"/>
      <c r="N46" s="35"/>
      <c r="O46" s="35"/>
      <c r="P46" s="35"/>
      <c r="Q46" s="35"/>
      <c r="R46" s="36"/>
      <c r="S46" s="36"/>
      <c r="T46" s="36"/>
      <c r="U46" s="90"/>
      <c r="V46" s="90"/>
      <c r="W46" s="90"/>
      <c r="AI46" s="46"/>
      <c r="AJ46" s="46"/>
      <c r="AK46" s="46"/>
      <c r="AR46" s="48"/>
      <c r="AS46" s="48"/>
      <c r="AT46" s="48"/>
      <c r="AU46" s="36"/>
      <c r="AV46" s="36"/>
      <c r="AW46" s="36"/>
      <c r="AX46" s="23"/>
      <c r="AY46" s="36"/>
      <c r="AZ46" s="4"/>
      <c r="BC46" s="7"/>
      <c r="BD46" s="7"/>
    </row>
    <row r="47" spans="1:60" s="18" customFormat="1" x14ac:dyDescent="0.25">
      <c r="A47" s="5" t="s">
        <v>819</v>
      </c>
      <c r="B47" s="6" t="s">
        <v>1624</v>
      </c>
      <c r="C47" s="13"/>
      <c r="E47" s="35"/>
      <c r="F47" s="51"/>
      <c r="G47" s="51"/>
      <c r="H47" s="51"/>
      <c r="I47" s="51"/>
      <c r="J47" s="51"/>
      <c r="K47" s="51"/>
      <c r="L47" s="51"/>
      <c r="M47" s="51"/>
      <c r="N47" s="51"/>
      <c r="O47" s="51"/>
      <c r="P47" s="51"/>
      <c r="Q47" s="51"/>
      <c r="R47" s="39"/>
      <c r="S47" s="39"/>
      <c r="T47" s="39"/>
      <c r="U47" s="89"/>
      <c r="V47" s="89"/>
      <c r="W47" s="89"/>
      <c r="X47" s="47"/>
      <c r="Y47" s="47"/>
      <c r="Z47" s="47"/>
      <c r="AA47" s="49"/>
      <c r="AB47" s="49"/>
      <c r="AC47" s="49"/>
      <c r="AD47" s="81"/>
      <c r="AE47" s="81"/>
      <c r="AF47" s="81"/>
      <c r="AG47" s="49"/>
      <c r="AH47" s="49"/>
      <c r="AI47" s="46"/>
      <c r="AJ47" s="46"/>
      <c r="AK47" s="46"/>
      <c r="AL47" s="88"/>
      <c r="AM47" s="88"/>
      <c r="AN47" s="88"/>
      <c r="AO47" s="47"/>
      <c r="AP47" s="47"/>
      <c r="AQ47" s="47"/>
      <c r="AR47" s="48"/>
      <c r="AS47" s="48"/>
      <c r="AT47" s="48"/>
      <c r="AU47" s="39"/>
      <c r="AV47" s="39"/>
      <c r="AW47" s="39"/>
      <c r="AX47" s="34"/>
      <c r="AY47" s="36"/>
      <c r="AZ47" s="4"/>
      <c r="BC47" s="7"/>
      <c r="BD47" s="7"/>
    </row>
    <row r="48" spans="1:60" s="18" customFormat="1" x14ac:dyDescent="0.25">
      <c r="A48" s="5" t="s">
        <v>824</v>
      </c>
      <c r="B48" s="6" t="s">
        <v>1625</v>
      </c>
      <c r="C48" s="13"/>
      <c r="E48" s="35"/>
      <c r="F48" s="51"/>
      <c r="G48" s="51"/>
      <c r="H48" s="51"/>
      <c r="I48" s="51"/>
      <c r="J48" s="51"/>
      <c r="K48" s="51"/>
      <c r="L48" s="51"/>
      <c r="M48" s="51"/>
      <c r="N48" s="51"/>
      <c r="O48" s="51"/>
      <c r="P48" s="51"/>
      <c r="Q48" s="51"/>
      <c r="R48" s="39"/>
      <c r="S48" s="39"/>
      <c r="T48" s="39"/>
      <c r="U48" s="89"/>
      <c r="V48" s="89"/>
      <c r="W48" s="89"/>
      <c r="X48" s="47"/>
      <c r="Y48" s="47"/>
      <c r="Z48" s="47"/>
      <c r="AA48" s="49"/>
      <c r="AB48" s="49"/>
      <c r="AC48" s="49"/>
      <c r="AD48" s="81"/>
      <c r="AE48" s="81"/>
      <c r="AF48" s="81"/>
      <c r="AG48" s="49"/>
      <c r="AH48" s="49"/>
      <c r="AI48" s="46"/>
      <c r="AJ48" s="46"/>
      <c r="AK48" s="46"/>
      <c r="AL48" s="88"/>
      <c r="AM48" s="88"/>
      <c r="AN48" s="88"/>
      <c r="AO48" s="47"/>
      <c r="AP48" s="47"/>
      <c r="AQ48" s="47"/>
      <c r="AR48" s="48"/>
      <c r="AS48" s="48"/>
      <c r="AT48" s="48"/>
      <c r="AU48" s="39"/>
      <c r="AV48" s="39"/>
      <c r="AW48" s="39"/>
      <c r="AX48" s="34"/>
      <c r="AY48" s="36"/>
      <c r="AZ48" s="4"/>
      <c r="BC48" s="7"/>
      <c r="BD48" s="7"/>
    </row>
    <row r="49" spans="1:56" s="18" customFormat="1" x14ac:dyDescent="0.25">
      <c r="A49" s="5" t="s">
        <v>826</v>
      </c>
      <c r="B49" s="6" t="s">
        <v>1626</v>
      </c>
      <c r="C49" s="13"/>
      <c r="E49" s="35"/>
      <c r="F49" s="51"/>
      <c r="G49" s="51"/>
      <c r="H49" s="51"/>
      <c r="I49" s="51"/>
      <c r="J49" s="51"/>
      <c r="K49" s="51"/>
      <c r="L49" s="51"/>
      <c r="M49" s="51"/>
      <c r="N49" s="51"/>
      <c r="O49" s="51"/>
      <c r="P49" s="51"/>
      <c r="Q49" s="51"/>
      <c r="R49" s="39"/>
      <c r="S49" s="39"/>
      <c r="T49" s="39"/>
      <c r="U49" s="89"/>
      <c r="V49" s="89"/>
      <c r="W49" s="89"/>
      <c r="X49" s="47"/>
      <c r="Y49" s="47"/>
      <c r="Z49" s="47"/>
      <c r="AA49" s="49"/>
      <c r="AB49" s="49"/>
      <c r="AC49" s="49"/>
      <c r="AD49" s="81"/>
      <c r="AE49" s="81"/>
      <c r="AF49" s="81"/>
      <c r="AG49" s="49"/>
      <c r="AH49" s="49"/>
      <c r="AI49" s="46"/>
      <c r="AJ49" s="46"/>
      <c r="AK49" s="46"/>
      <c r="AL49" s="88"/>
      <c r="AM49" s="88"/>
      <c r="AN49" s="88"/>
      <c r="AO49" s="47"/>
      <c r="AP49" s="47"/>
      <c r="AQ49" s="47"/>
      <c r="AR49" s="48"/>
      <c r="AS49" s="48"/>
      <c r="AT49" s="48"/>
      <c r="AU49" s="39"/>
      <c r="AV49" s="39"/>
      <c r="AW49" s="39"/>
      <c r="AX49" s="34"/>
      <c r="AY49" s="36"/>
      <c r="AZ49" s="4"/>
      <c r="BC49" s="7"/>
      <c r="BD49" s="7"/>
    </row>
    <row r="50" spans="1:56" s="14" customFormat="1" x14ac:dyDescent="0.25">
      <c r="A50" s="5" t="s">
        <v>814</v>
      </c>
      <c r="B50" s="6" t="s">
        <v>815</v>
      </c>
      <c r="C50" s="13"/>
      <c r="E50" s="44"/>
      <c r="F50" s="44"/>
      <c r="G50" s="44"/>
      <c r="H50" s="44"/>
      <c r="I50" s="44"/>
      <c r="J50" s="44"/>
      <c r="K50" s="44"/>
      <c r="L50" s="44"/>
      <c r="M50" s="44"/>
      <c r="N50" s="44"/>
      <c r="O50" s="44"/>
      <c r="P50" s="44"/>
      <c r="Q50" s="44"/>
      <c r="R50" s="27"/>
      <c r="S50" s="27"/>
      <c r="T50" s="27"/>
      <c r="U50" s="50"/>
      <c r="V50" s="50"/>
      <c r="W50" s="50"/>
      <c r="X50" s="44"/>
      <c r="Y50" s="44"/>
      <c r="Z50" s="44"/>
      <c r="AA50" s="50"/>
      <c r="AB50" s="50"/>
      <c r="AC50" s="50"/>
      <c r="AD50" s="82"/>
      <c r="AE50" s="82"/>
      <c r="AF50" s="82"/>
      <c r="AG50" s="50"/>
      <c r="AH50" s="50"/>
      <c r="AI50" s="27"/>
      <c r="AJ50" s="27"/>
      <c r="AK50" s="28"/>
      <c r="AL50" s="43"/>
      <c r="AM50" s="43"/>
      <c r="AN50" s="43"/>
      <c r="AO50" s="44"/>
      <c r="AP50" s="44"/>
      <c r="AQ50" s="44"/>
      <c r="AR50" s="44"/>
      <c r="AS50" s="44"/>
      <c r="AT50" s="44"/>
      <c r="AW50" s="43"/>
      <c r="AZ50" s="24"/>
      <c r="BA50"/>
    </row>
    <row r="51" spans="1:56" s="14" customFormat="1" x14ac:dyDescent="0.25">
      <c r="A51" s="5" t="s">
        <v>821</v>
      </c>
      <c r="B51" s="6" t="s">
        <v>822</v>
      </c>
      <c r="C51" s="13"/>
      <c r="E51" s="44"/>
      <c r="F51" s="44"/>
      <c r="G51" s="44"/>
      <c r="H51" s="44"/>
      <c r="I51" s="44"/>
      <c r="J51" s="44"/>
      <c r="K51" s="44"/>
      <c r="L51" s="44"/>
      <c r="M51" s="44"/>
      <c r="N51" s="44"/>
      <c r="O51" s="44"/>
      <c r="P51" s="44"/>
      <c r="Q51" s="44"/>
      <c r="R51" s="27"/>
      <c r="S51" s="27"/>
      <c r="T51" s="27"/>
      <c r="U51" s="50"/>
      <c r="V51" s="50"/>
      <c r="W51" s="50"/>
      <c r="X51" s="44"/>
      <c r="Y51" s="44"/>
      <c r="Z51" s="44"/>
      <c r="AA51" s="50"/>
      <c r="AB51" s="50"/>
      <c r="AC51" s="50"/>
      <c r="AD51" s="82"/>
      <c r="AE51" s="82"/>
      <c r="AF51" s="82"/>
      <c r="AG51" s="50"/>
      <c r="AH51" s="50"/>
      <c r="AI51" s="27"/>
      <c r="AJ51" s="27"/>
      <c r="AK51" s="28"/>
      <c r="AL51" s="43"/>
      <c r="AM51" s="43"/>
      <c r="AN51" s="43"/>
      <c r="AO51" s="44"/>
      <c r="AP51" s="44"/>
      <c r="AQ51" s="44"/>
      <c r="AR51" s="44"/>
      <c r="AS51" s="44"/>
      <c r="AT51" s="44"/>
      <c r="AW51" s="43"/>
      <c r="AZ51" s="24"/>
      <c r="BA51"/>
    </row>
    <row r="52" spans="1:56" s="14" customFormat="1" x14ac:dyDescent="0.25">
      <c r="A52" s="5" t="s">
        <v>828</v>
      </c>
      <c r="B52" s="6" t="s">
        <v>829</v>
      </c>
      <c r="C52" s="13"/>
      <c r="E52" s="44"/>
      <c r="F52" s="44"/>
      <c r="G52" s="44"/>
      <c r="H52" s="44"/>
      <c r="I52" s="44"/>
      <c r="J52" s="44"/>
      <c r="K52" s="44"/>
      <c r="L52" s="44"/>
      <c r="M52" s="44"/>
      <c r="N52" s="44"/>
      <c r="O52" s="44"/>
      <c r="P52" s="44"/>
      <c r="Q52" s="44"/>
      <c r="R52" s="27"/>
      <c r="S52" s="27"/>
      <c r="T52" s="27"/>
      <c r="U52" s="50"/>
      <c r="V52" s="50"/>
      <c r="W52" s="50"/>
      <c r="X52" s="44"/>
      <c r="Y52" s="44"/>
      <c r="Z52" s="44"/>
      <c r="AA52" s="50"/>
      <c r="AB52" s="50"/>
      <c r="AC52" s="50"/>
      <c r="AD52" s="82"/>
      <c r="AE52" s="82"/>
      <c r="AF52" s="82"/>
      <c r="AG52" s="50"/>
      <c r="AH52" s="50"/>
      <c r="AI52" s="27"/>
      <c r="AJ52" s="27"/>
      <c r="AK52" s="28"/>
      <c r="AL52" s="43"/>
      <c r="AM52" s="43"/>
      <c r="AN52" s="43"/>
      <c r="AO52" s="44"/>
      <c r="AP52" s="44"/>
      <c r="AQ52" s="44"/>
      <c r="AR52" s="44"/>
      <c r="AS52" s="44"/>
      <c r="AT52" s="44"/>
      <c r="AW52" s="43"/>
      <c r="AZ52" s="24"/>
      <c r="BA52"/>
    </row>
    <row r="53" spans="1:56" s="14" customFormat="1" x14ac:dyDescent="0.25">
      <c r="A53" s="5" t="s">
        <v>6</v>
      </c>
      <c r="B53" s="6" t="s">
        <v>816</v>
      </c>
      <c r="C53" s="13"/>
      <c r="E53" s="44"/>
      <c r="F53" s="44"/>
      <c r="G53" s="44"/>
      <c r="H53" s="44"/>
      <c r="I53" s="44"/>
      <c r="J53" s="44"/>
      <c r="K53" s="44"/>
      <c r="L53" s="44"/>
      <c r="M53" s="44"/>
      <c r="N53" s="44"/>
      <c r="O53" s="44"/>
      <c r="P53" s="44"/>
      <c r="Q53" s="44"/>
      <c r="R53" s="27"/>
      <c r="S53" s="27"/>
      <c r="T53" s="27"/>
      <c r="U53" s="50"/>
      <c r="V53" s="50"/>
      <c r="W53" s="50"/>
      <c r="X53" s="44"/>
      <c r="Y53" s="44"/>
      <c r="Z53" s="44"/>
      <c r="AA53" s="50"/>
      <c r="AB53" s="50"/>
      <c r="AC53" s="50"/>
      <c r="AD53" s="82"/>
      <c r="AE53" s="82"/>
      <c r="AF53" s="82"/>
      <c r="AG53" s="50"/>
      <c r="AH53" s="50"/>
      <c r="AI53" s="27"/>
      <c r="AJ53" s="27"/>
      <c r="AK53" s="28"/>
      <c r="AL53" s="43"/>
      <c r="AM53" s="43"/>
      <c r="AN53" s="43"/>
      <c r="AO53" s="44"/>
      <c r="AP53" s="44"/>
      <c r="AQ53" s="44"/>
      <c r="AR53" s="44"/>
      <c r="AS53" s="44"/>
      <c r="AT53" s="44"/>
      <c r="AW53" s="43"/>
      <c r="AZ53" s="24"/>
      <c r="BA53"/>
    </row>
    <row r="54" spans="1:56" s="14" customFormat="1" x14ac:dyDescent="0.25">
      <c r="A54" s="5" t="s">
        <v>10</v>
      </c>
      <c r="B54" s="6" t="s">
        <v>823</v>
      </c>
      <c r="C54" s="13"/>
      <c r="E54" s="44"/>
      <c r="F54" s="44"/>
      <c r="G54" s="44"/>
      <c r="H54" s="44"/>
      <c r="I54" s="44"/>
      <c r="J54" s="44"/>
      <c r="K54" s="44"/>
      <c r="L54" s="44"/>
      <c r="M54" s="44"/>
      <c r="N54" s="44"/>
      <c r="O54" s="44"/>
      <c r="P54" s="44"/>
      <c r="Q54" s="44"/>
      <c r="R54" s="27"/>
      <c r="S54" s="27"/>
      <c r="T54" s="27"/>
      <c r="U54" s="50"/>
      <c r="V54" s="50"/>
      <c r="W54" s="50"/>
      <c r="X54" s="44"/>
      <c r="Y54" s="44"/>
      <c r="Z54" s="44"/>
      <c r="AA54" s="50"/>
      <c r="AB54" s="50"/>
      <c r="AC54" s="50"/>
      <c r="AD54" s="82"/>
      <c r="AE54" s="82"/>
      <c r="AF54" s="82"/>
      <c r="AG54" s="50"/>
      <c r="AH54" s="50"/>
      <c r="AI54" s="27"/>
      <c r="AJ54" s="27"/>
      <c r="AK54" s="28"/>
      <c r="AL54" s="43"/>
      <c r="AM54" s="43"/>
      <c r="AN54" s="43"/>
      <c r="AO54" s="44"/>
      <c r="AP54" s="44"/>
      <c r="AQ54" s="44"/>
      <c r="AR54" s="44"/>
      <c r="AS54" s="44"/>
      <c r="AT54" s="44"/>
      <c r="AW54" s="43"/>
      <c r="AZ54" s="24"/>
      <c r="BA54"/>
    </row>
    <row r="55" spans="1:56" s="14" customFormat="1" x14ac:dyDescent="0.25">
      <c r="A55" s="5" t="s">
        <v>14</v>
      </c>
      <c r="B55" s="6" t="s">
        <v>830</v>
      </c>
      <c r="C55" s="13"/>
      <c r="E55" s="44"/>
      <c r="F55" s="44"/>
      <c r="G55" s="44"/>
      <c r="H55" s="44"/>
      <c r="I55" s="44"/>
      <c r="J55" s="44"/>
      <c r="K55" s="44"/>
      <c r="L55" s="44"/>
      <c r="M55" s="44"/>
      <c r="N55" s="44"/>
      <c r="O55" s="44"/>
      <c r="P55" s="44"/>
      <c r="Q55" s="44"/>
      <c r="R55" s="27"/>
      <c r="S55" s="27"/>
      <c r="T55" s="27"/>
      <c r="U55" s="50"/>
      <c r="V55" s="50"/>
      <c r="W55" s="50"/>
      <c r="X55" s="44"/>
      <c r="Y55" s="44"/>
      <c r="Z55" s="44"/>
      <c r="AA55" s="50"/>
      <c r="AB55" s="50"/>
      <c r="AC55" s="50"/>
      <c r="AD55" s="82"/>
      <c r="AE55" s="82"/>
      <c r="AF55" s="82"/>
      <c r="AG55" s="50"/>
      <c r="AH55" s="50"/>
      <c r="AI55" s="27"/>
      <c r="AJ55" s="27"/>
      <c r="AK55" s="28"/>
      <c r="AL55" s="43"/>
      <c r="AM55" s="43"/>
      <c r="AN55" s="43"/>
      <c r="AO55" s="44"/>
      <c r="AP55" s="44"/>
      <c r="AQ55" s="44"/>
      <c r="AR55" s="44"/>
      <c r="AS55" s="44"/>
      <c r="AT55" s="44"/>
      <c r="AW55" s="43"/>
      <c r="AZ55" s="24"/>
      <c r="BA55"/>
    </row>
    <row r="56" spans="1:56" s="14" customFormat="1" x14ac:dyDescent="0.25">
      <c r="A56" s="7" t="s">
        <v>831</v>
      </c>
      <c r="B56" s="6" t="s">
        <v>1627</v>
      </c>
      <c r="C56" s="13"/>
      <c r="E56" s="44"/>
      <c r="F56" s="44"/>
      <c r="G56" s="44"/>
      <c r="H56" s="44"/>
      <c r="I56" s="44"/>
      <c r="J56" s="44"/>
      <c r="K56" s="44"/>
      <c r="L56" s="44"/>
      <c r="M56" s="44"/>
      <c r="N56" s="44"/>
      <c r="O56" s="44"/>
      <c r="P56" s="44"/>
      <c r="Q56" s="44"/>
      <c r="R56" s="27"/>
      <c r="S56" s="27"/>
      <c r="T56" s="27"/>
      <c r="U56" s="50"/>
      <c r="V56" s="50"/>
      <c r="W56" s="50"/>
      <c r="X56" s="44"/>
      <c r="Y56" s="44"/>
      <c r="Z56" s="44"/>
      <c r="AA56" s="50"/>
      <c r="AB56" s="50"/>
      <c r="AC56" s="50"/>
      <c r="AD56" s="82"/>
      <c r="AE56" s="82"/>
      <c r="AF56" s="82"/>
      <c r="AG56" s="50"/>
      <c r="AH56" s="50"/>
      <c r="AI56" s="27"/>
      <c r="AJ56" s="27"/>
      <c r="AK56" s="28"/>
      <c r="AL56" s="43"/>
      <c r="AM56" s="43"/>
      <c r="AN56" s="43"/>
      <c r="AO56" s="44"/>
      <c r="AP56" s="44"/>
      <c r="AQ56" s="44"/>
      <c r="AR56" s="44"/>
      <c r="AS56" s="44"/>
      <c r="AT56" s="44"/>
      <c r="AW56" s="43"/>
      <c r="AZ56" s="24"/>
      <c r="BA56"/>
    </row>
    <row r="57" spans="1:56" s="14" customFormat="1" x14ac:dyDescent="0.25">
      <c r="A57" s="7" t="s">
        <v>833</v>
      </c>
      <c r="B57" s="6" t="s">
        <v>1628</v>
      </c>
      <c r="C57" s="13"/>
      <c r="E57" s="45"/>
      <c r="F57" s="45"/>
      <c r="G57" s="45"/>
      <c r="H57" s="45"/>
      <c r="I57" s="44"/>
      <c r="J57" s="44"/>
      <c r="K57" s="45"/>
      <c r="L57" s="45"/>
      <c r="M57" s="44"/>
      <c r="N57" s="44"/>
      <c r="O57" s="45"/>
      <c r="P57" s="45"/>
      <c r="Q57" s="44"/>
      <c r="R57" s="28"/>
      <c r="S57" s="28"/>
      <c r="T57" s="27"/>
      <c r="U57" s="50"/>
      <c r="V57" s="50"/>
      <c r="W57" s="50"/>
      <c r="X57" s="44"/>
      <c r="Y57" s="44"/>
      <c r="Z57" s="44"/>
      <c r="AA57" s="50"/>
      <c r="AB57" s="50"/>
      <c r="AC57" s="50"/>
      <c r="AD57" s="82"/>
      <c r="AE57" s="82"/>
      <c r="AF57" s="82"/>
      <c r="AG57" s="50"/>
      <c r="AH57" s="50"/>
      <c r="AI57" s="27"/>
      <c r="AJ57" s="27"/>
      <c r="AK57" s="28"/>
      <c r="AL57" s="43"/>
      <c r="AM57" s="43"/>
      <c r="AN57" s="43"/>
      <c r="AO57" s="44"/>
      <c r="AP57" s="44"/>
      <c r="AQ57" s="44"/>
      <c r="AR57" s="44"/>
      <c r="AS57" s="44"/>
      <c r="AT57" s="44"/>
      <c r="AW57" s="43"/>
      <c r="AZ57" s="24"/>
      <c r="BA57"/>
    </row>
    <row r="58" spans="1:56" s="14" customFormat="1" x14ac:dyDescent="0.25">
      <c r="A58" s="7" t="s">
        <v>835</v>
      </c>
      <c r="B58" s="6" t="s">
        <v>1629</v>
      </c>
      <c r="C58" s="13"/>
      <c r="E58" s="44"/>
      <c r="F58" s="44"/>
      <c r="G58" s="44"/>
      <c r="H58" s="44"/>
      <c r="I58" s="44"/>
      <c r="J58" s="44"/>
      <c r="K58" s="44"/>
      <c r="L58" s="44"/>
      <c r="M58" s="44"/>
      <c r="N58" s="44"/>
      <c r="O58" s="44"/>
      <c r="P58" s="44"/>
      <c r="Q58" s="44"/>
      <c r="R58" s="27"/>
      <c r="S58" s="27"/>
      <c r="T58" s="27"/>
      <c r="U58" s="50"/>
      <c r="V58" s="50"/>
      <c r="W58" s="50"/>
      <c r="X58" s="44"/>
      <c r="Y58" s="44"/>
      <c r="Z58" s="44"/>
      <c r="AA58" s="50"/>
      <c r="AB58" s="50"/>
      <c r="AC58" s="50"/>
      <c r="AD58" s="82"/>
      <c r="AE58" s="82"/>
      <c r="AF58" s="82"/>
      <c r="AG58" s="50"/>
      <c r="AH58" s="50"/>
      <c r="AI58" s="27"/>
      <c r="AJ58" s="27"/>
      <c r="AK58" s="28"/>
      <c r="AL58" s="43"/>
      <c r="AM58" s="43"/>
      <c r="AN58" s="43"/>
      <c r="AO58" s="44"/>
      <c r="AP58" s="44"/>
      <c r="AQ58" s="44"/>
      <c r="AR58" s="44"/>
      <c r="AS58" s="44"/>
      <c r="AT58" s="44"/>
      <c r="AW58" s="43"/>
      <c r="AZ58" s="24"/>
      <c r="BA58"/>
    </row>
    <row r="59" spans="1:56" s="14" customFormat="1" x14ac:dyDescent="0.25">
      <c r="A59" s="5" t="s">
        <v>851</v>
      </c>
      <c r="B59" s="6" t="s">
        <v>854</v>
      </c>
      <c r="C59" s="13"/>
      <c r="E59" s="44"/>
      <c r="F59" s="44"/>
      <c r="G59" s="44"/>
      <c r="H59" s="44"/>
      <c r="I59" s="44"/>
      <c r="J59" s="44"/>
      <c r="K59" s="44"/>
      <c r="L59" s="44"/>
      <c r="M59" s="44"/>
      <c r="N59" s="44"/>
      <c r="O59" s="44"/>
      <c r="P59" s="44"/>
      <c r="Q59" s="44"/>
      <c r="R59" s="27"/>
      <c r="S59" s="27"/>
      <c r="T59" s="27"/>
      <c r="U59" s="50"/>
      <c r="V59" s="50"/>
      <c r="W59" s="50"/>
      <c r="X59" s="44"/>
      <c r="Y59" s="44"/>
      <c r="Z59" s="44"/>
      <c r="AA59" s="50"/>
      <c r="AB59" s="50"/>
      <c r="AC59" s="50"/>
      <c r="AD59" s="82"/>
      <c r="AE59" s="82"/>
      <c r="AF59" s="82"/>
      <c r="AG59" s="50"/>
      <c r="AH59" s="50"/>
      <c r="AI59" s="27"/>
      <c r="AJ59" s="27"/>
      <c r="AK59" s="28"/>
      <c r="AL59" s="43"/>
      <c r="AM59" s="43"/>
      <c r="AN59" s="43"/>
      <c r="AO59" s="44"/>
      <c r="AP59" s="44"/>
      <c r="AQ59" s="44"/>
      <c r="AR59" s="44"/>
      <c r="AS59" s="44"/>
      <c r="AT59" s="44"/>
      <c r="AW59" s="43"/>
      <c r="AZ59" s="24"/>
      <c r="BA59"/>
    </row>
    <row r="60" spans="1:56" s="14" customFormat="1" x14ac:dyDescent="0.25">
      <c r="A60" s="5" t="s">
        <v>852</v>
      </c>
      <c r="B60" s="6" t="s">
        <v>855</v>
      </c>
      <c r="C60" s="13"/>
      <c r="E60" s="44"/>
      <c r="F60" s="44"/>
      <c r="G60" s="44"/>
      <c r="H60" s="44"/>
      <c r="I60" s="44"/>
      <c r="J60" s="44"/>
      <c r="K60" s="44"/>
      <c r="L60" s="44"/>
      <c r="M60" s="44"/>
      <c r="N60" s="44"/>
      <c r="O60" s="44"/>
      <c r="P60" s="44"/>
      <c r="Q60" s="44"/>
      <c r="R60" s="27"/>
      <c r="S60" s="27"/>
      <c r="T60" s="27"/>
      <c r="U60" s="50"/>
      <c r="V60" s="50"/>
      <c r="W60" s="50"/>
      <c r="X60" s="44"/>
      <c r="Y60" s="44"/>
      <c r="Z60" s="44"/>
      <c r="AA60" s="50"/>
      <c r="AB60" s="50"/>
      <c r="AC60" s="50"/>
      <c r="AD60" s="82"/>
      <c r="AE60" s="82"/>
      <c r="AF60" s="82"/>
      <c r="AG60" s="50"/>
      <c r="AH60" s="50"/>
      <c r="AI60" s="27"/>
      <c r="AJ60" s="27"/>
      <c r="AK60" s="28"/>
      <c r="AL60" s="43"/>
      <c r="AM60" s="43"/>
      <c r="AN60" s="43"/>
      <c r="AO60" s="44"/>
      <c r="AP60" s="44"/>
      <c r="AQ60" s="44"/>
      <c r="AR60" s="44"/>
      <c r="AS60" s="44"/>
      <c r="AT60" s="44"/>
      <c r="AW60" s="43"/>
      <c r="AZ60" s="24"/>
      <c r="BA60"/>
    </row>
    <row r="61" spans="1:56" s="14" customFormat="1" x14ac:dyDescent="0.25">
      <c r="A61" s="5" t="s">
        <v>853</v>
      </c>
      <c r="B61" s="6" t="s">
        <v>856</v>
      </c>
      <c r="C61" s="13"/>
      <c r="E61" s="44"/>
      <c r="F61" s="44"/>
      <c r="G61" s="44"/>
      <c r="H61" s="44"/>
      <c r="I61" s="44"/>
      <c r="J61" s="44"/>
      <c r="K61" s="44"/>
      <c r="L61" s="44"/>
      <c r="M61" s="44"/>
      <c r="N61" s="44"/>
      <c r="O61" s="44"/>
      <c r="P61" s="44"/>
      <c r="Q61" s="44"/>
      <c r="R61" s="27"/>
      <c r="S61" s="27"/>
      <c r="T61" s="27"/>
      <c r="U61" s="50"/>
      <c r="V61" s="50"/>
      <c r="W61" s="50"/>
      <c r="X61" s="44"/>
      <c r="Y61" s="44"/>
      <c r="Z61" s="44"/>
      <c r="AA61" s="50"/>
      <c r="AB61" s="50"/>
      <c r="AC61" s="50"/>
      <c r="AD61" s="82"/>
      <c r="AE61" s="82"/>
      <c r="AF61" s="82"/>
      <c r="AG61" s="50"/>
      <c r="AH61" s="50"/>
      <c r="AI61" s="27"/>
      <c r="AJ61" s="27"/>
      <c r="AK61" s="28"/>
      <c r="AL61" s="43"/>
      <c r="AM61" s="43"/>
      <c r="AN61" s="43"/>
      <c r="AO61" s="44"/>
      <c r="AP61" s="44"/>
      <c r="AQ61" s="44"/>
      <c r="AR61" s="44"/>
      <c r="AS61" s="44"/>
      <c r="AT61" s="44"/>
      <c r="AW61" s="43"/>
      <c r="AZ61" s="24"/>
      <c r="BA61"/>
    </row>
    <row r="62" spans="1:56" s="14" customFormat="1" x14ac:dyDescent="0.25">
      <c r="A62" t="s">
        <v>1247</v>
      </c>
      <c r="B62" s="7" t="s">
        <v>1248</v>
      </c>
      <c r="C62" s="13"/>
      <c r="E62" s="44"/>
      <c r="F62" s="44"/>
      <c r="G62" s="44"/>
      <c r="H62" s="44"/>
      <c r="I62" s="44"/>
      <c r="J62" s="44"/>
      <c r="K62" s="44"/>
      <c r="L62" s="44"/>
      <c r="M62" s="44"/>
      <c r="N62" s="44"/>
      <c r="O62" s="44"/>
      <c r="P62" s="44"/>
      <c r="Q62" s="44"/>
      <c r="R62" s="27"/>
      <c r="S62" s="27"/>
      <c r="T62" s="27"/>
      <c r="U62" s="50"/>
      <c r="V62" s="50"/>
      <c r="W62" s="50"/>
      <c r="X62" s="44"/>
      <c r="Y62" s="44"/>
      <c r="Z62" s="44"/>
      <c r="AA62" s="50"/>
      <c r="AB62" s="50"/>
      <c r="AC62" s="50"/>
      <c r="AD62" s="82"/>
      <c r="AE62" s="82"/>
      <c r="AF62" s="82"/>
      <c r="AG62" s="50"/>
      <c r="AH62" s="50"/>
      <c r="AI62" s="27"/>
      <c r="AJ62" s="27"/>
      <c r="AK62" s="28"/>
      <c r="AL62" s="43"/>
      <c r="AM62" s="43"/>
      <c r="AN62" s="43"/>
      <c r="AO62" s="44"/>
      <c r="AP62" s="44"/>
      <c r="AQ62" s="44"/>
      <c r="AR62" s="44"/>
      <c r="AS62" s="44"/>
      <c r="AT62" s="44"/>
      <c r="AW62" s="43"/>
      <c r="AZ62" s="24"/>
      <c r="BA62"/>
    </row>
    <row r="63" spans="1:56" s="14" customFormat="1" x14ac:dyDescent="0.25">
      <c r="A63" t="s">
        <v>1249</v>
      </c>
      <c r="B63" s="7" t="s">
        <v>1250</v>
      </c>
      <c r="C63" s="13"/>
      <c r="E63" s="44"/>
      <c r="F63" s="44"/>
      <c r="G63" s="44"/>
      <c r="H63" s="44"/>
      <c r="I63" s="44"/>
      <c r="J63" s="44"/>
      <c r="K63" s="44"/>
      <c r="L63" s="44"/>
      <c r="M63" s="44"/>
      <c r="N63" s="44"/>
      <c r="O63" s="44"/>
      <c r="P63" s="44"/>
      <c r="Q63" s="44"/>
      <c r="R63" s="27"/>
      <c r="S63" s="27"/>
      <c r="T63" s="27"/>
      <c r="U63" s="50"/>
      <c r="V63" s="50"/>
      <c r="W63" s="50"/>
      <c r="X63" s="44"/>
      <c r="Y63" s="44"/>
      <c r="Z63" s="44"/>
      <c r="AA63" s="50"/>
      <c r="AB63" s="50"/>
      <c r="AC63" s="50"/>
      <c r="AD63" s="82"/>
      <c r="AE63" s="82"/>
      <c r="AF63" s="82"/>
      <c r="AG63" s="50"/>
      <c r="AH63" s="50"/>
      <c r="AI63" s="27"/>
      <c r="AJ63" s="27"/>
      <c r="AK63" s="28"/>
      <c r="AL63" s="43"/>
      <c r="AM63" s="43"/>
      <c r="AN63" s="43"/>
      <c r="AO63" s="44"/>
      <c r="AP63" s="44"/>
      <c r="AQ63" s="44"/>
      <c r="AR63" s="44"/>
      <c r="AS63" s="44"/>
      <c r="AT63" s="44"/>
      <c r="AW63" s="43"/>
      <c r="AZ63" s="24"/>
      <c r="BA63"/>
    </row>
    <row r="64" spans="1:56" s="14" customFormat="1" x14ac:dyDescent="0.25">
      <c r="A64" t="s">
        <v>1251</v>
      </c>
      <c r="B64" s="7" t="s">
        <v>1252</v>
      </c>
      <c r="C64" s="13"/>
      <c r="E64" s="44"/>
      <c r="F64" s="44"/>
      <c r="G64" s="44"/>
      <c r="H64" s="44"/>
      <c r="I64" s="44"/>
      <c r="J64" s="44"/>
      <c r="K64" s="44"/>
      <c r="L64" s="44"/>
      <c r="M64" s="44"/>
      <c r="N64" s="44"/>
      <c r="O64" s="44"/>
      <c r="P64" s="44"/>
      <c r="Q64" s="44"/>
      <c r="R64" s="27"/>
      <c r="S64" s="27"/>
      <c r="T64" s="27"/>
      <c r="U64" s="50"/>
      <c r="V64" s="50"/>
      <c r="W64" s="50"/>
      <c r="X64" s="44"/>
      <c r="Y64" s="44"/>
      <c r="Z64" s="44"/>
      <c r="AA64" s="50"/>
      <c r="AB64" s="50"/>
      <c r="AC64" s="50"/>
      <c r="AD64" s="82"/>
      <c r="AE64" s="82"/>
      <c r="AF64" s="82"/>
      <c r="AG64" s="50"/>
      <c r="AH64" s="50"/>
      <c r="AI64" s="27"/>
      <c r="AJ64" s="27"/>
      <c r="AK64" s="28"/>
      <c r="AL64" s="43"/>
      <c r="AM64" s="43"/>
      <c r="AN64" s="43"/>
      <c r="AO64" s="44"/>
      <c r="AP64" s="44"/>
      <c r="AQ64" s="44"/>
      <c r="AR64" s="44"/>
      <c r="AS64" s="44"/>
      <c r="AT64" s="44"/>
      <c r="AW64" s="43"/>
      <c r="AZ64" s="24"/>
      <c r="BA64"/>
    </row>
    <row r="65" spans="1:58" s="14" customFormat="1" x14ac:dyDescent="0.25">
      <c r="A65" s="5" t="s">
        <v>1502</v>
      </c>
      <c r="B65" s="6" t="s">
        <v>1536</v>
      </c>
      <c r="C65" s="13"/>
      <c r="E65" s="44"/>
      <c r="F65" s="44"/>
      <c r="G65" s="44"/>
      <c r="H65" s="44"/>
      <c r="I65" s="44"/>
      <c r="J65" s="44"/>
      <c r="K65" s="44"/>
      <c r="L65" s="44"/>
      <c r="M65" s="44"/>
      <c r="N65" s="44"/>
      <c r="O65" s="44"/>
      <c r="P65" s="44"/>
      <c r="Q65" s="44"/>
      <c r="R65" s="27"/>
      <c r="S65" s="27"/>
      <c r="T65" s="27"/>
      <c r="U65" s="50"/>
      <c r="V65" s="50"/>
      <c r="W65" s="50"/>
      <c r="X65" s="44"/>
      <c r="Y65" s="44"/>
      <c r="Z65" s="44"/>
      <c r="AA65" s="50"/>
      <c r="AB65" s="50"/>
      <c r="AC65" s="50"/>
      <c r="AD65" s="82"/>
      <c r="AE65" s="82"/>
      <c r="AF65" s="82"/>
      <c r="AG65" s="50"/>
      <c r="AH65" s="50"/>
      <c r="AI65" s="27"/>
      <c r="AJ65" s="27"/>
      <c r="AK65" s="28"/>
      <c r="AL65" s="43"/>
      <c r="AM65" s="43"/>
      <c r="AN65" s="43"/>
      <c r="AO65" s="44"/>
      <c r="AP65" s="44"/>
      <c r="AQ65" s="44"/>
      <c r="AR65" s="44"/>
      <c r="AS65" s="44"/>
      <c r="AT65" s="44"/>
      <c r="AW65" s="43"/>
      <c r="AZ65" s="34"/>
      <c r="BA65" s="18"/>
    </row>
    <row r="66" spans="1:58" s="14" customFormat="1" x14ac:dyDescent="0.25">
      <c r="A66" s="5" t="s">
        <v>1503</v>
      </c>
      <c r="B66" s="6" t="s">
        <v>1537</v>
      </c>
      <c r="C66" s="13"/>
      <c r="E66" s="44"/>
      <c r="F66" s="44"/>
      <c r="G66" s="44"/>
      <c r="H66" s="44"/>
      <c r="I66" s="44"/>
      <c r="J66" s="44"/>
      <c r="K66" s="44"/>
      <c r="L66" s="44"/>
      <c r="M66" s="44"/>
      <c r="N66" s="44"/>
      <c r="O66" s="44"/>
      <c r="P66" s="44"/>
      <c r="Q66" s="44"/>
      <c r="R66" s="27"/>
      <c r="S66" s="27"/>
      <c r="T66" s="27"/>
      <c r="U66" s="50"/>
      <c r="V66" s="50"/>
      <c r="W66" s="50"/>
      <c r="X66" s="44"/>
      <c r="Y66" s="44"/>
      <c r="Z66" s="44"/>
      <c r="AA66" s="50"/>
      <c r="AB66" s="50"/>
      <c r="AC66" s="50"/>
      <c r="AD66" s="82"/>
      <c r="AE66" s="82"/>
      <c r="AF66" s="82"/>
      <c r="AG66" s="50"/>
      <c r="AH66" s="50"/>
      <c r="AI66" s="27"/>
      <c r="AJ66" s="27"/>
      <c r="AK66" s="28"/>
      <c r="AL66" s="43"/>
      <c r="AM66" s="43"/>
      <c r="AN66" s="43"/>
      <c r="AO66" s="44"/>
      <c r="AP66" s="44"/>
      <c r="AQ66" s="44"/>
      <c r="AR66" s="44"/>
      <c r="AS66" s="44"/>
      <c r="AT66" s="44"/>
      <c r="AW66" s="43"/>
      <c r="AZ66" s="34"/>
      <c r="BA66" s="18"/>
    </row>
    <row r="67" spans="1:58" s="14" customFormat="1" x14ac:dyDescent="0.25">
      <c r="A67" s="5" t="s">
        <v>1504</v>
      </c>
      <c r="B67" s="6" t="s">
        <v>1538</v>
      </c>
      <c r="C67" s="13"/>
      <c r="E67" s="44"/>
      <c r="F67" s="44"/>
      <c r="G67" s="44"/>
      <c r="H67" s="44"/>
      <c r="I67" s="44"/>
      <c r="J67" s="44"/>
      <c r="K67" s="44"/>
      <c r="L67" s="44"/>
      <c r="M67" s="44"/>
      <c r="N67" s="44"/>
      <c r="O67" s="44"/>
      <c r="P67" s="44"/>
      <c r="Q67" s="44"/>
      <c r="R67" s="27"/>
      <c r="S67" s="27"/>
      <c r="T67" s="27"/>
      <c r="U67" s="50"/>
      <c r="V67" s="50"/>
      <c r="W67" s="50"/>
      <c r="X67" s="44"/>
      <c r="Y67" s="44"/>
      <c r="Z67" s="44"/>
      <c r="AA67" s="50"/>
      <c r="AB67" s="50"/>
      <c r="AC67" s="50"/>
      <c r="AD67" s="82"/>
      <c r="AE67" s="82"/>
      <c r="AF67" s="82"/>
      <c r="AG67" s="50"/>
      <c r="AH67" s="50"/>
      <c r="AI67" s="27"/>
      <c r="AJ67" s="27"/>
      <c r="AK67" s="28"/>
      <c r="AL67" s="43"/>
      <c r="AM67" s="43"/>
      <c r="AN67" s="43"/>
      <c r="AO67" s="44"/>
      <c r="AP67" s="44"/>
      <c r="AQ67" s="44"/>
      <c r="AR67" s="44"/>
      <c r="AS67" s="44"/>
      <c r="AT67" s="44"/>
      <c r="AW67" s="43"/>
      <c r="AZ67" s="34"/>
      <c r="BA67" s="18"/>
    </row>
    <row r="68" spans="1:58" s="14" customFormat="1" x14ac:dyDescent="0.25">
      <c r="A68" s="31" t="s">
        <v>1235</v>
      </c>
      <c r="B68" s="7" t="s">
        <v>1236</v>
      </c>
      <c r="C68" s="13"/>
      <c r="E68" s="44"/>
      <c r="F68" s="44"/>
      <c r="G68" s="44"/>
      <c r="H68" s="44"/>
      <c r="I68" s="44"/>
      <c r="J68" s="44"/>
      <c r="K68" s="44"/>
      <c r="L68" s="44"/>
      <c r="M68" s="44"/>
      <c r="N68" s="44"/>
      <c r="O68" s="44"/>
      <c r="P68" s="44"/>
      <c r="Q68" s="44"/>
      <c r="R68" s="27"/>
      <c r="S68" s="27"/>
      <c r="T68" s="27"/>
      <c r="U68" s="50"/>
      <c r="V68" s="50"/>
      <c r="W68" s="50"/>
      <c r="X68" s="44"/>
      <c r="Y68" s="44"/>
      <c r="Z68" s="44"/>
      <c r="AA68" s="50"/>
      <c r="AB68" s="50"/>
      <c r="AC68" s="50"/>
      <c r="AD68" s="82"/>
      <c r="AE68" s="82"/>
      <c r="AF68" s="82"/>
      <c r="AG68" s="50"/>
      <c r="AH68" s="50"/>
      <c r="AI68" s="27"/>
      <c r="AJ68" s="27"/>
      <c r="AK68" s="28"/>
      <c r="AL68" s="43"/>
      <c r="AM68" s="43"/>
      <c r="AN68" s="43"/>
      <c r="AO68" s="44"/>
      <c r="AP68" s="44"/>
      <c r="AQ68" s="44"/>
      <c r="AR68" s="44"/>
      <c r="AS68" s="44"/>
      <c r="AT68" s="44"/>
      <c r="AW68" s="43"/>
      <c r="AZ68" s="34"/>
      <c r="BA68" s="18"/>
    </row>
    <row r="69" spans="1:58" s="14" customFormat="1" x14ac:dyDescent="0.25">
      <c r="A69" s="31" t="s">
        <v>1237</v>
      </c>
      <c r="B69" s="7" t="s">
        <v>1238</v>
      </c>
      <c r="C69" s="13"/>
      <c r="E69" s="44"/>
      <c r="F69" s="44"/>
      <c r="G69" s="44"/>
      <c r="H69" s="44"/>
      <c r="I69" s="44"/>
      <c r="J69" s="44"/>
      <c r="K69" s="44"/>
      <c r="L69" s="44"/>
      <c r="M69" s="44"/>
      <c r="N69" s="44"/>
      <c r="O69" s="44"/>
      <c r="P69" s="44"/>
      <c r="Q69" s="44"/>
      <c r="R69" s="27"/>
      <c r="S69" s="27"/>
      <c r="T69" s="27"/>
      <c r="U69" s="50"/>
      <c r="V69" s="50"/>
      <c r="W69" s="50"/>
      <c r="X69" s="44"/>
      <c r="Y69" s="44"/>
      <c r="Z69" s="44"/>
      <c r="AA69" s="50"/>
      <c r="AB69" s="50"/>
      <c r="AC69" s="50"/>
      <c r="AD69" s="82"/>
      <c r="AE69" s="82"/>
      <c r="AF69" s="82"/>
      <c r="AG69" s="50"/>
      <c r="AH69" s="50"/>
      <c r="AI69" s="27"/>
      <c r="AJ69" s="27"/>
      <c r="AK69" s="28"/>
      <c r="AL69" s="43"/>
      <c r="AM69" s="43"/>
      <c r="AN69" s="43"/>
      <c r="AO69" s="44"/>
      <c r="AP69" s="44"/>
      <c r="AQ69" s="44"/>
      <c r="AR69" s="44"/>
      <c r="AS69" s="44"/>
      <c r="AT69" s="44"/>
      <c r="AW69" s="43"/>
      <c r="AZ69" s="34"/>
      <c r="BA69" s="18"/>
    </row>
    <row r="70" spans="1:58" s="14" customFormat="1" x14ac:dyDescent="0.25">
      <c r="A70" s="31" t="s">
        <v>1630</v>
      </c>
      <c r="B70" s="96" t="s">
        <v>1631</v>
      </c>
      <c r="C70" s="13"/>
      <c r="E70" s="44"/>
      <c r="F70" s="44"/>
      <c r="G70" s="44"/>
      <c r="H70" s="44"/>
      <c r="I70" s="44"/>
      <c r="J70" s="44"/>
      <c r="K70" s="44"/>
      <c r="L70" s="44"/>
      <c r="M70" s="44"/>
      <c r="N70" s="44"/>
      <c r="O70" s="44"/>
      <c r="P70" s="44"/>
      <c r="Q70" s="44"/>
      <c r="R70" s="27"/>
      <c r="S70" s="27"/>
      <c r="T70" s="27"/>
      <c r="U70" s="50"/>
      <c r="V70" s="50"/>
      <c r="W70" s="50"/>
      <c r="X70" s="44"/>
      <c r="Y70" s="44"/>
      <c r="Z70" s="44"/>
      <c r="AA70" s="50"/>
      <c r="AB70" s="50"/>
      <c r="AC70" s="50"/>
      <c r="AD70" s="82"/>
      <c r="AE70" s="82"/>
      <c r="AF70" s="82"/>
      <c r="AG70" s="50"/>
      <c r="AH70" s="50"/>
      <c r="AI70" s="27"/>
      <c r="AJ70" s="27"/>
      <c r="AK70" s="28"/>
      <c r="AL70" s="43"/>
      <c r="AM70" s="43"/>
      <c r="AN70" s="43"/>
      <c r="AO70" s="44"/>
      <c r="AP70" s="44"/>
      <c r="AQ70" s="44"/>
      <c r="AR70" s="44"/>
      <c r="AS70" s="44"/>
      <c r="AT70" s="44"/>
      <c r="AW70" s="43"/>
      <c r="AZ70" s="34"/>
      <c r="BA70" s="18"/>
    </row>
    <row r="71" spans="1:58" s="14" customFormat="1" x14ac:dyDescent="0.25">
      <c r="A71" s="31" t="s">
        <v>1239</v>
      </c>
      <c r="B71" s="7" t="s">
        <v>1240</v>
      </c>
      <c r="C71" s="13"/>
      <c r="E71" s="44"/>
      <c r="F71" s="44"/>
      <c r="G71" s="44"/>
      <c r="H71" s="44"/>
      <c r="I71" s="44"/>
      <c r="J71" s="44"/>
      <c r="K71" s="44"/>
      <c r="L71" s="44"/>
      <c r="M71" s="44"/>
      <c r="N71" s="44"/>
      <c r="O71" s="44"/>
      <c r="P71" s="44"/>
      <c r="Q71" s="44"/>
      <c r="R71" s="27"/>
      <c r="S71" s="27"/>
      <c r="T71" s="27"/>
      <c r="U71" s="50"/>
      <c r="V71" s="50"/>
      <c r="W71" s="50"/>
      <c r="X71" s="44"/>
      <c r="Y71" s="44"/>
      <c r="Z71" s="44"/>
      <c r="AA71" s="50"/>
      <c r="AB71" s="50"/>
      <c r="AC71" s="50"/>
      <c r="AD71" s="82"/>
      <c r="AE71" s="82"/>
      <c r="AF71" s="82"/>
      <c r="AG71" s="50"/>
      <c r="AH71" s="50"/>
      <c r="AI71" s="27"/>
      <c r="AJ71" s="27"/>
      <c r="AK71" s="28"/>
      <c r="AL71" s="43"/>
      <c r="AM71" s="43"/>
      <c r="AN71" s="43"/>
      <c r="AO71" s="44"/>
      <c r="AP71" s="44"/>
      <c r="AQ71" s="44"/>
      <c r="AR71" s="44"/>
      <c r="AS71" s="44"/>
      <c r="AT71" s="44"/>
      <c r="AW71" s="43"/>
      <c r="AZ71" s="34"/>
      <c r="BA71" s="18"/>
    </row>
    <row r="72" spans="1:58" s="14" customFormat="1" x14ac:dyDescent="0.25">
      <c r="A72" s="31" t="s">
        <v>1632</v>
      </c>
      <c r="B72" s="96" t="s">
        <v>1633</v>
      </c>
      <c r="C72" s="13"/>
      <c r="E72" s="44"/>
      <c r="F72" s="44"/>
      <c r="G72" s="44"/>
      <c r="H72" s="44"/>
      <c r="I72" s="44"/>
      <c r="J72" s="44"/>
      <c r="K72" s="44"/>
      <c r="L72" s="44"/>
      <c r="M72" s="44"/>
      <c r="N72" s="44"/>
      <c r="O72" s="44"/>
      <c r="P72" s="44"/>
      <c r="Q72" s="44"/>
      <c r="R72" s="27"/>
      <c r="S72" s="27"/>
      <c r="T72" s="27"/>
      <c r="U72" s="50"/>
      <c r="V72" s="50"/>
      <c r="W72" s="50"/>
      <c r="X72" s="44"/>
      <c r="Y72" s="44"/>
      <c r="Z72" s="44"/>
      <c r="AA72" s="50"/>
      <c r="AB72" s="50"/>
      <c r="AC72" s="50"/>
      <c r="AD72" s="82"/>
      <c r="AE72" s="82"/>
      <c r="AF72" s="82"/>
      <c r="AG72" s="50"/>
      <c r="AH72" s="50"/>
      <c r="AI72" s="27"/>
      <c r="AJ72" s="27"/>
      <c r="AK72" s="28"/>
      <c r="AL72" s="43"/>
      <c r="AM72" s="43"/>
      <c r="AN72" s="43"/>
      <c r="AO72" s="44"/>
      <c r="AP72" s="44"/>
      <c r="AQ72" s="44"/>
      <c r="AR72" s="44"/>
      <c r="AS72" s="44"/>
      <c r="AT72" s="44"/>
      <c r="AW72" s="43"/>
      <c r="AZ72" s="34"/>
      <c r="BA72" s="18"/>
    </row>
    <row r="73" spans="1:58" s="14" customFormat="1" x14ac:dyDescent="0.25">
      <c r="A73" s="7" t="s">
        <v>1177</v>
      </c>
      <c r="B73" s="7" t="s">
        <v>1232</v>
      </c>
      <c r="C73" s="13"/>
      <c r="E73" s="44"/>
      <c r="F73" s="44"/>
      <c r="G73" s="44"/>
      <c r="H73" s="44"/>
      <c r="I73" s="44"/>
      <c r="J73" s="44"/>
      <c r="K73" s="44"/>
      <c r="L73" s="44"/>
      <c r="M73" s="44"/>
      <c r="N73" s="44"/>
      <c r="O73" s="44"/>
      <c r="P73" s="44"/>
      <c r="Q73" s="44"/>
      <c r="R73" s="27"/>
      <c r="S73" s="27"/>
      <c r="T73" s="27"/>
      <c r="U73" s="50"/>
      <c r="V73" s="50"/>
      <c r="W73" s="50"/>
      <c r="X73" s="44"/>
      <c r="Y73" s="44"/>
      <c r="Z73" s="44"/>
      <c r="AA73" s="50"/>
      <c r="AB73" s="50"/>
      <c r="AC73" s="50"/>
      <c r="AD73" s="82"/>
      <c r="AE73" s="82"/>
      <c r="AF73" s="82"/>
      <c r="AG73" s="50"/>
      <c r="AH73" s="50"/>
      <c r="AI73" s="27"/>
      <c r="AJ73" s="27"/>
      <c r="AK73" s="28"/>
      <c r="AL73" s="43"/>
      <c r="AM73" s="43"/>
      <c r="AN73" s="43"/>
      <c r="AO73" s="44"/>
      <c r="AP73" s="44"/>
      <c r="AQ73" s="44"/>
      <c r="AR73" s="44"/>
      <c r="AS73" s="44"/>
      <c r="AT73" s="44"/>
      <c r="AW73" s="43"/>
      <c r="AZ73" s="34"/>
      <c r="BA73" s="18"/>
    </row>
    <row r="74" spans="1:58" s="14" customFormat="1" x14ac:dyDescent="0.25">
      <c r="A74" s="7" t="s">
        <v>1178</v>
      </c>
      <c r="B74" s="7" t="s">
        <v>1233</v>
      </c>
      <c r="C74" s="13"/>
      <c r="E74" s="44"/>
      <c r="F74" s="44"/>
      <c r="G74" s="44"/>
      <c r="H74" s="44"/>
      <c r="I74" s="44"/>
      <c r="J74" s="44"/>
      <c r="K74" s="44"/>
      <c r="L74" s="44"/>
      <c r="M74" s="44"/>
      <c r="N74" s="44"/>
      <c r="O74" s="44"/>
      <c r="P74" s="44"/>
      <c r="Q74" s="44"/>
      <c r="R74" s="27"/>
      <c r="S74" s="27"/>
      <c r="T74" s="27"/>
      <c r="U74" s="50"/>
      <c r="V74" s="50"/>
      <c r="W74" s="50"/>
      <c r="X74" s="44"/>
      <c r="Y74" s="44"/>
      <c r="Z74" s="44"/>
      <c r="AA74" s="50"/>
      <c r="AB74" s="50"/>
      <c r="AC74" s="50"/>
      <c r="AD74" s="82"/>
      <c r="AE74" s="82"/>
      <c r="AF74" s="82"/>
      <c r="AG74" s="50"/>
      <c r="AH74" s="50"/>
      <c r="AI74" s="27"/>
      <c r="AJ74" s="27"/>
      <c r="AK74" s="28"/>
      <c r="AL74" s="43"/>
      <c r="AM74" s="43"/>
      <c r="AN74" s="43"/>
      <c r="AO74" s="44"/>
      <c r="AP74" s="44"/>
      <c r="AQ74" s="44"/>
      <c r="AR74" s="44"/>
      <c r="AS74" s="44"/>
      <c r="AT74" s="44"/>
      <c r="AW74" s="43"/>
      <c r="AZ74" s="34"/>
      <c r="BA74" s="18"/>
    </row>
    <row r="75" spans="1:58" s="14" customFormat="1" x14ac:dyDescent="0.25">
      <c r="A75" s="7" t="s">
        <v>1179</v>
      </c>
      <c r="B75" s="7" t="s">
        <v>1234</v>
      </c>
      <c r="C75" s="13"/>
      <c r="E75" s="44"/>
      <c r="F75" s="44"/>
      <c r="G75" s="44"/>
      <c r="H75" s="44"/>
      <c r="I75" s="44"/>
      <c r="J75" s="44"/>
      <c r="K75" s="44"/>
      <c r="L75" s="44"/>
      <c r="M75" s="44"/>
      <c r="N75" s="44"/>
      <c r="O75" s="44"/>
      <c r="P75" s="44"/>
      <c r="Q75" s="44"/>
      <c r="R75" s="27"/>
      <c r="S75" s="27"/>
      <c r="T75" s="27"/>
      <c r="U75" s="50"/>
      <c r="V75" s="50"/>
      <c r="W75" s="50"/>
      <c r="X75" s="44"/>
      <c r="Y75" s="44"/>
      <c r="Z75" s="44"/>
      <c r="AA75" s="50"/>
      <c r="AB75" s="50"/>
      <c r="AC75" s="50"/>
      <c r="AD75" s="82"/>
      <c r="AE75" s="82"/>
      <c r="AF75" s="82"/>
      <c r="AG75" s="50"/>
      <c r="AH75" s="50"/>
      <c r="AI75" s="27"/>
      <c r="AJ75" s="27"/>
      <c r="AK75" s="28"/>
      <c r="AL75" s="43"/>
      <c r="AM75" s="43"/>
      <c r="AN75" s="43"/>
      <c r="AO75" s="44"/>
      <c r="AP75" s="44"/>
      <c r="AQ75" s="44"/>
      <c r="AR75" s="44"/>
      <c r="AS75" s="44"/>
      <c r="AT75" s="44"/>
      <c r="AW75" s="43"/>
      <c r="AZ75" s="34"/>
      <c r="BA75" s="18"/>
    </row>
    <row r="76" spans="1:58" s="14" customFormat="1" x14ac:dyDescent="0.25">
      <c r="A76" s="7" t="s">
        <v>1382</v>
      </c>
      <c r="B76" s="7" t="s">
        <v>1634</v>
      </c>
      <c r="C76" s="13"/>
      <c r="E76" s="44"/>
      <c r="F76" s="44"/>
      <c r="G76" s="44"/>
      <c r="H76" s="44"/>
      <c r="I76" s="44"/>
      <c r="J76" s="44"/>
      <c r="K76" s="44"/>
      <c r="L76" s="44"/>
      <c r="M76" s="44"/>
      <c r="N76" s="44"/>
      <c r="O76" s="44"/>
      <c r="P76" s="44"/>
      <c r="Q76" s="44"/>
      <c r="R76" s="27"/>
      <c r="S76" s="27"/>
      <c r="T76" s="27"/>
      <c r="U76" s="50"/>
      <c r="V76" s="50"/>
      <c r="W76" s="50"/>
      <c r="X76" s="44"/>
      <c r="Y76" s="44"/>
      <c r="Z76" s="44"/>
      <c r="AA76" s="50"/>
      <c r="AB76" s="50"/>
      <c r="AC76" s="50"/>
      <c r="AD76" s="82"/>
      <c r="AE76" s="82"/>
      <c r="AF76" s="82"/>
      <c r="AG76" s="50"/>
      <c r="AH76" s="50"/>
      <c r="AI76" s="27"/>
      <c r="AJ76" s="27"/>
      <c r="AK76" s="28"/>
      <c r="AL76" s="43"/>
      <c r="AM76" s="43"/>
      <c r="AN76" s="43"/>
      <c r="AO76" s="44"/>
      <c r="AP76" s="44"/>
      <c r="AQ76" s="44"/>
      <c r="AR76" s="44"/>
      <c r="AS76" s="44"/>
      <c r="AT76" s="44"/>
      <c r="AW76" s="43"/>
      <c r="AZ76" s="34"/>
      <c r="BA76" s="18"/>
    </row>
    <row r="77" spans="1:58" s="14" customFormat="1" x14ac:dyDescent="0.25">
      <c r="A77" s="7" t="s">
        <v>1383</v>
      </c>
      <c r="B77" s="7" t="s">
        <v>1635</v>
      </c>
      <c r="C77" s="13"/>
      <c r="E77" s="44"/>
      <c r="F77" s="44"/>
      <c r="G77" s="44"/>
      <c r="H77" s="44"/>
      <c r="I77" s="44"/>
      <c r="J77" s="44"/>
      <c r="K77" s="44"/>
      <c r="L77" s="44"/>
      <c r="M77" s="44"/>
      <c r="N77" s="44"/>
      <c r="O77" s="44"/>
      <c r="P77" s="44"/>
      <c r="Q77" s="44"/>
      <c r="R77" s="27"/>
      <c r="S77" s="27"/>
      <c r="T77" s="27"/>
      <c r="U77" s="50"/>
      <c r="V77" s="50"/>
      <c r="W77" s="50"/>
      <c r="X77" s="44"/>
      <c r="Y77" s="44"/>
      <c r="Z77" s="44"/>
      <c r="AA77" s="50"/>
      <c r="AB77" s="50"/>
      <c r="AC77" s="50"/>
      <c r="AD77" s="82"/>
      <c r="AE77" s="82"/>
      <c r="AF77" s="82"/>
      <c r="AG77" s="50"/>
      <c r="AH77" s="50"/>
      <c r="AI77" s="27"/>
      <c r="AJ77" s="27"/>
      <c r="AK77" s="28"/>
      <c r="AL77" s="43"/>
      <c r="AM77" s="43"/>
      <c r="AN77" s="43"/>
      <c r="AO77" s="44"/>
      <c r="AP77" s="44"/>
      <c r="AQ77" s="44"/>
      <c r="AR77" s="44"/>
      <c r="AS77" s="44"/>
      <c r="AT77" s="44"/>
      <c r="AW77" s="43"/>
      <c r="AZ77" s="34"/>
      <c r="BA77" s="18"/>
    </row>
    <row r="78" spans="1:58" s="14" customFormat="1" x14ac:dyDescent="0.25">
      <c r="A78" s="7" t="s">
        <v>1384</v>
      </c>
      <c r="B78" s="7" t="s">
        <v>1636</v>
      </c>
      <c r="C78" s="13"/>
      <c r="E78" s="44"/>
      <c r="F78" s="44"/>
      <c r="G78" s="44"/>
      <c r="H78" s="44"/>
      <c r="I78" s="44"/>
      <c r="J78" s="44"/>
      <c r="K78" s="44"/>
      <c r="L78" s="44"/>
      <c r="M78" s="44"/>
      <c r="N78" s="44"/>
      <c r="O78" s="44"/>
      <c r="P78" s="44"/>
      <c r="Q78" s="44"/>
      <c r="R78" s="27"/>
      <c r="S78" s="27"/>
      <c r="T78" s="27"/>
      <c r="U78" s="50"/>
      <c r="V78" s="50"/>
      <c r="W78" s="50"/>
      <c r="X78" s="44"/>
      <c r="Y78" s="44"/>
      <c r="Z78" s="44"/>
      <c r="AA78" s="50"/>
      <c r="AB78" s="50"/>
      <c r="AC78" s="50"/>
      <c r="AD78" s="82"/>
      <c r="AE78" s="82"/>
      <c r="AF78" s="82"/>
      <c r="AG78" s="50"/>
      <c r="AH78" s="50"/>
      <c r="AI78" s="27"/>
      <c r="AJ78" s="27"/>
      <c r="AK78" s="28"/>
      <c r="AL78" s="43"/>
      <c r="AM78" s="43"/>
      <c r="AN78" s="43"/>
      <c r="AO78" s="44"/>
      <c r="AP78" s="44"/>
      <c r="AQ78" s="44"/>
      <c r="AR78" s="44"/>
      <c r="AS78" s="44"/>
      <c r="AT78" s="44"/>
      <c r="AW78" s="43"/>
      <c r="AZ78" s="34"/>
      <c r="BA78" s="18"/>
    </row>
    <row r="79" spans="1:58" s="14" customFormat="1" x14ac:dyDescent="0.25">
      <c r="A79" s="7" t="s">
        <v>1267</v>
      </c>
      <c r="B79" s="7" t="s">
        <v>1276</v>
      </c>
      <c r="C79" s="13"/>
      <c r="E79" s="44"/>
      <c r="F79" s="44"/>
      <c r="G79" s="44"/>
      <c r="H79" s="44"/>
      <c r="I79" s="44"/>
      <c r="J79" s="44"/>
      <c r="K79" s="44"/>
      <c r="L79" s="44"/>
      <c r="M79" s="44"/>
      <c r="N79" s="44"/>
      <c r="O79" s="44"/>
      <c r="P79" s="44"/>
      <c r="Q79" s="44"/>
      <c r="R79" s="27"/>
      <c r="S79" s="27"/>
      <c r="T79" s="27"/>
      <c r="U79" s="50"/>
      <c r="V79" s="50"/>
      <c r="W79" s="50"/>
      <c r="X79" s="44"/>
      <c r="Y79" s="44"/>
      <c r="Z79" s="44"/>
      <c r="AA79" s="50"/>
      <c r="AB79" s="50"/>
      <c r="AC79" s="50"/>
      <c r="AD79" s="82"/>
      <c r="AE79" s="82"/>
      <c r="AF79" s="82"/>
      <c r="AG79" s="50"/>
      <c r="AH79" s="50"/>
      <c r="AI79" s="27"/>
      <c r="AJ79" s="27"/>
      <c r="AK79" s="28"/>
      <c r="AL79" s="43"/>
      <c r="AM79" s="43"/>
      <c r="AN79" s="43"/>
      <c r="AO79" s="44"/>
      <c r="AP79" s="44"/>
      <c r="AQ79" s="44"/>
      <c r="AR79" s="44"/>
      <c r="AS79" s="44"/>
      <c r="AT79" s="44"/>
      <c r="AW79" s="43"/>
      <c r="AZ79" s="34"/>
      <c r="BA79" s="18"/>
      <c r="BB79" s="18"/>
      <c r="BC79" s="18"/>
      <c r="BD79" s="18"/>
      <c r="BE79" s="18"/>
      <c r="BF79" s="18"/>
    </row>
    <row r="80" spans="1:58" s="14" customFormat="1" x14ac:dyDescent="0.25">
      <c r="A80" s="7" t="s">
        <v>1268</v>
      </c>
      <c r="B80" s="7" t="s">
        <v>1277</v>
      </c>
      <c r="C80" s="13"/>
      <c r="E80" s="44"/>
      <c r="F80" s="44"/>
      <c r="G80" s="44"/>
      <c r="H80" s="44"/>
      <c r="I80" s="44"/>
      <c r="J80" s="44"/>
      <c r="K80" s="44"/>
      <c r="L80" s="44"/>
      <c r="M80" s="44"/>
      <c r="N80" s="44"/>
      <c r="O80" s="44"/>
      <c r="P80" s="44"/>
      <c r="Q80" s="44"/>
      <c r="R80" s="27"/>
      <c r="S80" s="27"/>
      <c r="T80" s="27"/>
      <c r="U80" s="50"/>
      <c r="V80" s="50"/>
      <c r="W80" s="50"/>
      <c r="X80" s="44"/>
      <c r="Y80" s="44"/>
      <c r="Z80" s="44"/>
      <c r="AA80" s="50"/>
      <c r="AB80" s="50"/>
      <c r="AC80" s="50"/>
      <c r="AD80" s="82"/>
      <c r="AE80" s="82"/>
      <c r="AF80" s="82"/>
      <c r="AG80" s="50"/>
      <c r="AH80" s="50"/>
      <c r="AI80" s="27"/>
      <c r="AJ80" s="27"/>
      <c r="AK80" s="28"/>
      <c r="AL80" s="43"/>
      <c r="AM80" s="43"/>
      <c r="AN80" s="43"/>
      <c r="AO80" s="44"/>
      <c r="AP80" s="44"/>
      <c r="AQ80" s="44"/>
      <c r="AR80" s="44"/>
      <c r="AS80" s="44"/>
      <c r="AT80" s="44"/>
      <c r="AW80" s="43"/>
      <c r="AZ80" s="34"/>
      <c r="BA80" s="18"/>
      <c r="BB80" s="18"/>
      <c r="BC80" s="18"/>
      <c r="BD80" s="18"/>
      <c r="BE80" s="18"/>
      <c r="BF80" s="18"/>
    </row>
    <row r="81" spans="1:58" s="14" customFormat="1" x14ac:dyDescent="0.25">
      <c r="A81" s="7" t="s">
        <v>1269</v>
      </c>
      <c r="B81" s="7" t="s">
        <v>1278</v>
      </c>
      <c r="C81" s="13"/>
      <c r="E81" s="44"/>
      <c r="F81" s="44"/>
      <c r="G81" s="44"/>
      <c r="H81" s="44"/>
      <c r="I81" s="44"/>
      <c r="J81" s="44"/>
      <c r="K81" s="44"/>
      <c r="L81" s="44"/>
      <c r="M81" s="44"/>
      <c r="N81" s="44"/>
      <c r="O81" s="44"/>
      <c r="P81" s="44"/>
      <c r="Q81" s="44"/>
      <c r="R81" s="27"/>
      <c r="S81" s="27"/>
      <c r="T81" s="27"/>
      <c r="U81" s="50"/>
      <c r="V81" s="50"/>
      <c r="W81" s="50"/>
      <c r="X81" s="44"/>
      <c r="Y81" s="44"/>
      <c r="Z81" s="44"/>
      <c r="AA81" s="50"/>
      <c r="AB81" s="50"/>
      <c r="AC81" s="50"/>
      <c r="AD81" s="82"/>
      <c r="AE81" s="82"/>
      <c r="AF81" s="82"/>
      <c r="AG81" s="50"/>
      <c r="AH81" s="50"/>
      <c r="AI81" s="27"/>
      <c r="AJ81" s="27"/>
      <c r="AK81" s="28"/>
      <c r="AL81" s="43"/>
      <c r="AM81" s="43"/>
      <c r="AN81" s="43"/>
      <c r="AO81" s="44"/>
      <c r="AP81" s="44"/>
      <c r="AQ81" s="44"/>
      <c r="AR81" s="44"/>
      <c r="AS81" s="44"/>
      <c r="AT81" s="44"/>
      <c r="AW81" s="43"/>
      <c r="AZ81" s="18"/>
      <c r="BA81" s="18"/>
      <c r="BB81" s="18"/>
      <c r="BC81" s="18"/>
      <c r="BD81" s="18"/>
      <c r="BE81" s="18"/>
      <c r="BF81" s="18"/>
    </row>
    <row r="82" spans="1:58" s="14" customFormat="1" x14ac:dyDescent="0.25">
      <c r="A82" s="7" t="s">
        <v>1270</v>
      </c>
      <c r="B82" s="7" t="s">
        <v>1273</v>
      </c>
      <c r="C82" s="13"/>
      <c r="E82" s="44"/>
      <c r="F82" s="44"/>
      <c r="G82" s="44"/>
      <c r="H82" s="44"/>
      <c r="I82" s="44"/>
      <c r="J82" s="44"/>
      <c r="K82" s="44"/>
      <c r="L82" s="44"/>
      <c r="M82" s="44"/>
      <c r="N82" s="44"/>
      <c r="O82" s="44"/>
      <c r="P82" s="44"/>
      <c r="Q82" s="44"/>
      <c r="R82" s="27"/>
      <c r="S82" s="27"/>
      <c r="T82" s="27"/>
      <c r="U82" s="50"/>
      <c r="V82" s="50"/>
      <c r="W82" s="50"/>
      <c r="X82" s="44"/>
      <c r="Y82" s="44"/>
      <c r="Z82" s="44"/>
      <c r="AA82" s="50"/>
      <c r="AB82" s="50"/>
      <c r="AC82" s="50"/>
      <c r="AD82" s="82"/>
      <c r="AE82" s="82"/>
      <c r="AF82" s="82"/>
      <c r="AG82" s="50"/>
      <c r="AH82" s="50"/>
      <c r="AI82" s="27"/>
      <c r="AJ82" s="27"/>
      <c r="AK82" s="28"/>
      <c r="AL82" s="43"/>
      <c r="AM82" s="43"/>
      <c r="AN82" s="43"/>
      <c r="AO82" s="44"/>
      <c r="AP82" s="44"/>
      <c r="AQ82" s="44"/>
      <c r="AR82" s="44"/>
      <c r="AS82" s="44"/>
      <c r="AT82" s="44"/>
      <c r="AW82" s="43"/>
      <c r="BB82" s="43"/>
      <c r="BC82" s="43"/>
    </row>
    <row r="83" spans="1:58" s="14" customFormat="1" x14ac:dyDescent="0.25">
      <c r="A83" s="7" t="s">
        <v>1271</v>
      </c>
      <c r="B83" s="7" t="s">
        <v>1274</v>
      </c>
      <c r="C83" s="13"/>
      <c r="E83" s="44"/>
      <c r="F83" s="44"/>
      <c r="G83" s="44"/>
      <c r="H83" s="44"/>
      <c r="I83" s="44"/>
      <c r="J83" s="44"/>
      <c r="K83" s="44"/>
      <c r="L83" s="44"/>
      <c r="M83" s="44"/>
      <c r="N83" s="44"/>
      <c r="O83" s="44"/>
      <c r="P83" s="44"/>
      <c r="Q83" s="44"/>
      <c r="R83" s="27"/>
      <c r="S83" s="27"/>
      <c r="T83" s="27"/>
      <c r="U83" s="50"/>
      <c r="V83" s="50"/>
      <c r="W83" s="50"/>
      <c r="X83" s="44"/>
      <c r="Y83" s="44"/>
      <c r="Z83" s="44"/>
      <c r="AA83" s="50"/>
      <c r="AB83" s="50"/>
      <c r="AC83" s="50"/>
      <c r="AD83" s="82"/>
      <c r="AE83" s="82"/>
      <c r="AF83" s="82"/>
      <c r="AG83" s="50"/>
      <c r="AH83" s="50"/>
      <c r="AI83" s="27"/>
      <c r="AJ83" s="27"/>
      <c r="AK83" s="28"/>
      <c r="AL83" s="43"/>
      <c r="AM83" s="43"/>
      <c r="AN83" s="43"/>
      <c r="AO83" s="44"/>
      <c r="AP83" s="44"/>
      <c r="AQ83" s="44"/>
      <c r="AR83" s="44"/>
      <c r="AS83" s="44"/>
      <c r="AT83" s="44"/>
      <c r="AW83" s="43"/>
      <c r="BB83" s="43"/>
      <c r="BC83" s="43"/>
    </row>
    <row r="84" spans="1:58" s="14" customFormat="1" x14ac:dyDescent="0.25">
      <c r="A84" s="7" t="s">
        <v>1272</v>
      </c>
      <c r="B84" s="7" t="s">
        <v>1275</v>
      </c>
      <c r="C84" s="13"/>
      <c r="E84" s="44"/>
      <c r="F84" s="44"/>
      <c r="G84" s="44"/>
      <c r="H84" s="44"/>
      <c r="I84" s="44"/>
      <c r="J84" s="44"/>
      <c r="K84" s="44"/>
      <c r="L84" s="44"/>
      <c r="M84" s="44"/>
      <c r="N84" s="44"/>
      <c r="O84" s="44"/>
      <c r="P84" s="44"/>
      <c r="Q84" s="44"/>
      <c r="R84" s="27"/>
      <c r="S84" s="27"/>
      <c r="T84" s="27"/>
      <c r="U84" s="50"/>
      <c r="V84" s="50"/>
      <c r="W84" s="50"/>
      <c r="X84" s="44"/>
      <c r="Y84" s="44"/>
      <c r="Z84" s="44"/>
      <c r="AA84" s="50"/>
      <c r="AB84" s="50"/>
      <c r="AC84" s="50"/>
      <c r="AD84" s="82"/>
      <c r="AE84" s="82"/>
      <c r="AF84" s="82"/>
      <c r="AG84" s="50"/>
      <c r="AH84" s="50"/>
      <c r="AI84" s="27"/>
      <c r="AJ84" s="27"/>
      <c r="AK84" s="28"/>
      <c r="AL84" s="43"/>
      <c r="AM84" s="43"/>
      <c r="AN84" s="43"/>
      <c r="AO84" s="44"/>
      <c r="AP84" s="44"/>
      <c r="AQ84" s="44"/>
      <c r="AR84" s="44"/>
      <c r="AS84" s="44"/>
      <c r="AT84" s="44"/>
      <c r="AW84" s="43"/>
      <c r="BB84" s="43"/>
      <c r="BC84" s="43"/>
    </row>
    <row r="85" spans="1:58" s="14" customFormat="1" x14ac:dyDescent="0.25">
      <c r="A85" s="7"/>
      <c r="B85" s="7"/>
      <c r="C85" s="13"/>
      <c r="E85" s="44"/>
      <c r="F85" s="44"/>
      <c r="G85" s="44"/>
      <c r="H85" s="44"/>
      <c r="I85" s="44"/>
      <c r="J85" s="44"/>
      <c r="K85" s="44"/>
      <c r="L85" s="44"/>
      <c r="M85" s="44"/>
      <c r="N85" s="44"/>
      <c r="O85" s="44"/>
      <c r="P85" s="44"/>
      <c r="Q85" s="44"/>
      <c r="R85" s="27"/>
      <c r="S85" s="27"/>
      <c r="T85" s="27"/>
      <c r="U85" s="50"/>
      <c r="V85" s="50"/>
      <c r="W85" s="50"/>
      <c r="X85" s="44"/>
      <c r="Y85" s="44"/>
      <c r="Z85" s="44"/>
      <c r="AA85" s="50"/>
      <c r="AB85" s="50"/>
      <c r="AC85" s="50"/>
      <c r="AD85" s="82"/>
      <c r="AE85" s="82"/>
      <c r="AF85" s="82"/>
      <c r="AG85" s="50"/>
      <c r="AH85" s="50"/>
      <c r="AI85" s="27"/>
      <c r="AJ85" s="27"/>
      <c r="AK85" s="28"/>
      <c r="AL85" s="43"/>
      <c r="AM85" s="43"/>
      <c r="AN85" s="43"/>
      <c r="AO85" s="44"/>
      <c r="AP85" s="44"/>
      <c r="AQ85" s="44"/>
      <c r="AR85" s="44"/>
      <c r="AS85" s="44"/>
      <c r="AT85" s="44"/>
      <c r="AW85" s="43"/>
      <c r="BB85" s="43"/>
      <c r="BC85" s="43"/>
    </row>
    <row r="86" spans="1:58" s="14" customFormat="1" x14ac:dyDescent="0.25">
      <c r="A86" s="7" t="s">
        <v>843</v>
      </c>
      <c r="B86" s="6" t="s">
        <v>857</v>
      </c>
      <c r="C86" s="13"/>
      <c r="E86" s="44"/>
      <c r="F86" s="44"/>
      <c r="G86" s="44"/>
      <c r="H86" s="44"/>
      <c r="I86" s="44"/>
      <c r="J86" s="44"/>
      <c r="K86" s="44"/>
      <c r="L86" s="44"/>
      <c r="M86" s="44"/>
      <c r="N86" s="44"/>
      <c r="O86" s="44"/>
      <c r="P86" s="44"/>
      <c r="Q86" s="44"/>
      <c r="R86" s="27"/>
      <c r="S86" s="27"/>
      <c r="T86" s="27"/>
      <c r="U86" s="50"/>
      <c r="V86" s="50"/>
      <c r="W86" s="50"/>
      <c r="X86" s="44"/>
      <c r="Y86" s="44"/>
      <c r="Z86" s="44"/>
      <c r="AA86" s="50"/>
      <c r="AB86" s="50"/>
      <c r="AC86" s="50"/>
      <c r="AD86" s="82"/>
      <c r="AE86" s="82"/>
      <c r="AF86" s="82"/>
      <c r="AG86" s="50"/>
      <c r="AH86" s="50"/>
      <c r="AI86" s="27"/>
      <c r="AJ86" s="27"/>
      <c r="AK86" s="28"/>
      <c r="AL86" s="43"/>
      <c r="AM86" s="43"/>
      <c r="AN86" s="43"/>
      <c r="AO86" s="44"/>
      <c r="AP86" s="44"/>
      <c r="AQ86" s="44"/>
      <c r="AR86" s="44"/>
      <c r="AS86" s="44"/>
      <c r="AT86" s="44"/>
      <c r="AW86" s="43"/>
      <c r="BB86" s="43"/>
      <c r="BC86" s="43"/>
    </row>
    <row r="87" spans="1:58" s="14" customFormat="1" x14ac:dyDescent="0.25">
      <c r="A87" s="7" t="s">
        <v>858</v>
      </c>
      <c r="B87" s="6" t="s">
        <v>859</v>
      </c>
      <c r="C87" s="13"/>
      <c r="E87" s="44"/>
      <c r="F87" s="44"/>
      <c r="G87" s="44"/>
      <c r="H87" s="44"/>
      <c r="I87" s="44"/>
      <c r="J87" s="44"/>
      <c r="K87" s="44"/>
      <c r="L87" s="44"/>
      <c r="M87" s="44"/>
      <c r="N87" s="44"/>
      <c r="O87" s="44"/>
      <c r="P87" s="44"/>
      <c r="Q87" s="44"/>
      <c r="R87" s="27"/>
      <c r="S87" s="27"/>
      <c r="T87" s="27"/>
      <c r="U87" s="50"/>
      <c r="V87" s="50"/>
      <c r="W87" s="50"/>
      <c r="X87" s="44"/>
      <c r="Y87" s="44"/>
      <c r="Z87" s="44"/>
      <c r="AA87" s="50"/>
      <c r="AB87" s="50"/>
      <c r="AC87" s="50"/>
      <c r="AD87" s="82"/>
      <c r="AE87" s="82"/>
      <c r="AF87" s="82"/>
      <c r="AG87" s="50"/>
      <c r="AH87" s="50"/>
      <c r="AI87" s="27"/>
      <c r="AJ87" s="27"/>
      <c r="AK87" s="28"/>
      <c r="AL87" s="43"/>
      <c r="AM87" s="43"/>
      <c r="AN87" s="43"/>
      <c r="AO87" s="44"/>
      <c r="AP87" s="44"/>
      <c r="AQ87" s="44"/>
      <c r="AR87" s="44"/>
      <c r="AS87" s="44"/>
      <c r="AT87" s="44"/>
      <c r="AW87" s="43"/>
      <c r="BB87" s="43"/>
      <c r="BC87" s="43"/>
    </row>
    <row r="88" spans="1:58" s="14" customFormat="1" x14ac:dyDescent="0.25">
      <c r="A88" s="7" t="s">
        <v>860</v>
      </c>
      <c r="B88" s="6" t="s">
        <v>861</v>
      </c>
      <c r="C88" s="13"/>
      <c r="E88" s="44"/>
      <c r="F88" s="44"/>
      <c r="G88" s="44"/>
      <c r="H88" s="44"/>
      <c r="I88" s="44"/>
      <c r="J88" s="44"/>
      <c r="K88" s="44"/>
      <c r="L88" s="44"/>
      <c r="M88" s="44"/>
      <c r="N88" s="44"/>
      <c r="O88" s="44"/>
      <c r="P88" s="44"/>
      <c r="Q88" s="44"/>
      <c r="R88" s="27"/>
      <c r="S88" s="27"/>
      <c r="T88" s="27"/>
      <c r="U88" s="50"/>
      <c r="V88" s="50"/>
      <c r="W88" s="50"/>
      <c r="X88" s="44"/>
      <c r="Y88" s="44"/>
      <c r="Z88" s="44"/>
      <c r="AA88" s="50"/>
      <c r="AB88" s="50"/>
      <c r="AC88" s="50"/>
      <c r="AD88" s="82"/>
      <c r="AE88" s="82"/>
      <c r="AF88" s="82"/>
      <c r="AG88" s="50"/>
      <c r="AH88" s="50"/>
      <c r="AI88" s="27"/>
      <c r="AJ88" s="27"/>
      <c r="AK88" s="28"/>
      <c r="AL88" s="43"/>
      <c r="AM88" s="43"/>
      <c r="AN88" s="43"/>
      <c r="AO88" s="44"/>
      <c r="AP88" s="44"/>
      <c r="AQ88" s="44"/>
      <c r="AR88" s="44"/>
      <c r="AS88" s="44"/>
      <c r="AT88" s="44"/>
      <c r="AW88" s="43"/>
      <c r="BB88" s="43"/>
      <c r="BC88" s="43"/>
    </row>
    <row r="89" spans="1:58" s="14" customFormat="1" x14ac:dyDescent="0.25">
      <c r="A89" s="7" t="s">
        <v>862</v>
      </c>
      <c r="B89" s="6" t="s">
        <v>863</v>
      </c>
      <c r="C89" s="13"/>
      <c r="E89" s="44"/>
      <c r="F89" s="44"/>
      <c r="G89" s="44"/>
      <c r="H89" s="44"/>
      <c r="I89" s="44"/>
      <c r="J89" s="44"/>
      <c r="K89" s="44"/>
      <c r="L89" s="44"/>
      <c r="M89" s="44"/>
      <c r="N89" s="44"/>
      <c r="O89" s="44"/>
      <c r="P89" s="44"/>
      <c r="Q89" s="44"/>
      <c r="R89" s="27"/>
      <c r="S89" s="27"/>
      <c r="T89" s="27"/>
      <c r="U89" s="50"/>
      <c r="V89" s="50"/>
      <c r="W89" s="50"/>
      <c r="X89" s="44"/>
      <c r="Y89" s="44"/>
      <c r="Z89" s="44"/>
      <c r="AA89" s="50"/>
      <c r="AB89" s="50"/>
      <c r="AC89" s="50"/>
      <c r="AD89" s="82"/>
      <c r="AE89" s="82"/>
      <c r="AF89" s="82"/>
      <c r="AG89" s="50"/>
      <c r="AH89" s="50"/>
      <c r="AI89" s="27"/>
      <c r="AJ89" s="27"/>
      <c r="AK89" s="28"/>
      <c r="AL89" s="43"/>
      <c r="AM89" s="43"/>
      <c r="AN89" s="43"/>
      <c r="AO89" s="44"/>
      <c r="AP89" s="44"/>
      <c r="AQ89" s="44"/>
      <c r="AR89" s="44"/>
      <c r="AS89" s="44"/>
      <c r="AT89" s="44"/>
      <c r="AW89" s="43"/>
      <c r="BB89" s="43"/>
      <c r="BC89" s="43"/>
    </row>
    <row r="90" spans="1:58" s="14" customFormat="1" x14ac:dyDescent="0.25">
      <c r="A90" s="7" t="s">
        <v>846</v>
      </c>
      <c r="B90" s="6" t="s">
        <v>864</v>
      </c>
      <c r="C90" s="13"/>
      <c r="E90" s="44"/>
      <c r="F90" s="44"/>
      <c r="G90" s="44"/>
      <c r="H90" s="44"/>
      <c r="I90" s="44"/>
      <c r="J90" s="44"/>
      <c r="K90" s="44"/>
      <c r="L90" s="44"/>
      <c r="M90" s="44"/>
      <c r="N90" s="44"/>
      <c r="O90" s="44"/>
      <c r="P90" s="44"/>
      <c r="Q90" s="44"/>
      <c r="R90" s="27"/>
      <c r="S90" s="27"/>
      <c r="T90" s="27"/>
      <c r="U90" s="50"/>
      <c r="V90" s="50"/>
      <c r="W90" s="50"/>
      <c r="X90" s="44"/>
      <c r="Y90" s="44"/>
      <c r="Z90" s="44"/>
      <c r="AA90" s="50"/>
      <c r="AB90" s="50"/>
      <c r="AC90" s="50"/>
      <c r="AD90" s="82"/>
      <c r="AE90" s="82"/>
      <c r="AF90" s="82"/>
      <c r="AG90" s="50"/>
      <c r="AH90" s="50"/>
      <c r="AI90" s="27"/>
      <c r="AJ90" s="27"/>
      <c r="AK90" s="28"/>
      <c r="AL90" s="43"/>
      <c r="AM90" s="43"/>
      <c r="AN90" s="43"/>
      <c r="AO90" s="44"/>
      <c r="AP90" s="44"/>
      <c r="AQ90" s="44"/>
      <c r="AR90" s="44"/>
      <c r="AS90" s="44"/>
      <c r="AT90" s="44"/>
      <c r="AW90" s="43"/>
      <c r="BB90" s="43"/>
      <c r="BC90" s="43"/>
    </row>
    <row r="91" spans="1:58" s="14" customFormat="1" x14ac:dyDescent="0.25">
      <c r="A91" s="7" t="s">
        <v>847</v>
      </c>
      <c r="B91" s="6" t="s">
        <v>865</v>
      </c>
      <c r="C91" s="13"/>
      <c r="E91" s="44"/>
      <c r="F91" s="44"/>
      <c r="G91" s="44"/>
      <c r="H91" s="44"/>
      <c r="I91" s="44"/>
      <c r="J91" s="44"/>
      <c r="K91" s="44"/>
      <c r="L91" s="44"/>
      <c r="M91" s="44"/>
      <c r="N91" s="44"/>
      <c r="O91" s="44"/>
      <c r="P91" s="44"/>
      <c r="Q91" s="44"/>
      <c r="R91" s="27"/>
      <c r="S91" s="27"/>
      <c r="T91" s="27"/>
      <c r="U91" s="50"/>
      <c r="V91" s="50"/>
      <c r="W91" s="50"/>
      <c r="X91" s="44"/>
      <c r="Y91" s="44"/>
      <c r="Z91" s="44"/>
      <c r="AA91" s="50"/>
      <c r="AB91" s="50"/>
      <c r="AC91" s="50"/>
      <c r="AD91" s="82"/>
      <c r="AE91" s="82"/>
      <c r="AF91" s="82"/>
      <c r="AG91" s="50"/>
      <c r="AH91" s="50"/>
      <c r="AI91" s="27"/>
      <c r="AJ91" s="27"/>
      <c r="AK91" s="28"/>
      <c r="AL91" s="43"/>
      <c r="AM91" s="43"/>
      <c r="AN91" s="43"/>
      <c r="AO91" s="44"/>
      <c r="AP91" s="44"/>
      <c r="AQ91" s="44"/>
      <c r="AR91" s="44"/>
      <c r="AS91" s="44"/>
      <c r="AT91" s="44"/>
      <c r="AW91" s="43"/>
      <c r="BB91" s="43"/>
      <c r="BC91" s="43"/>
    </row>
    <row r="92" spans="1:58" s="14" customFormat="1" x14ac:dyDescent="0.25">
      <c r="A92"/>
      <c r="B92"/>
      <c r="C92" s="13"/>
      <c r="E92" s="44"/>
      <c r="F92" s="44"/>
      <c r="G92" s="44"/>
      <c r="H92" s="44"/>
      <c r="I92" s="44"/>
      <c r="J92" s="44"/>
      <c r="K92" s="44"/>
      <c r="L92" s="44"/>
      <c r="M92" s="44"/>
      <c r="N92" s="44"/>
      <c r="O92" s="44"/>
      <c r="P92" s="44"/>
      <c r="Q92" s="44"/>
      <c r="R92" s="27"/>
      <c r="S92" s="27"/>
      <c r="T92" s="27"/>
      <c r="U92" s="50"/>
      <c r="V92" s="50"/>
      <c r="W92" s="50"/>
      <c r="X92" s="44"/>
      <c r="Y92" s="44"/>
      <c r="Z92" s="44"/>
      <c r="AA92" s="50"/>
      <c r="AB92" s="50"/>
      <c r="AC92" s="50"/>
      <c r="AD92" s="82"/>
      <c r="AE92" s="82"/>
      <c r="AF92" s="82"/>
      <c r="AG92" s="50"/>
      <c r="AH92" s="50"/>
      <c r="AI92" s="27"/>
      <c r="AJ92" s="27"/>
      <c r="AK92" s="28"/>
      <c r="AL92" s="43"/>
      <c r="AM92" s="43"/>
      <c r="AN92" s="43"/>
      <c r="AO92" s="44"/>
      <c r="AP92" s="44"/>
      <c r="AQ92" s="44"/>
      <c r="AR92" s="44"/>
      <c r="AS92" s="44"/>
      <c r="AT92" s="44"/>
      <c r="AW92" s="43"/>
      <c r="BB92" s="43"/>
      <c r="BC92" s="43"/>
    </row>
    <row r="93" spans="1:58" s="14" customFormat="1" x14ac:dyDescent="0.25">
      <c r="A93" s="77" t="s">
        <v>844</v>
      </c>
      <c r="B93"/>
      <c r="C93" s="13"/>
      <c r="E93" s="44"/>
      <c r="F93" s="44"/>
      <c r="G93" s="44"/>
      <c r="H93" s="44"/>
      <c r="I93" s="44"/>
      <c r="J93" s="44"/>
      <c r="K93" s="44"/>
      <c r="L93" s="44"/>
      <c r="M93" s="44"/>
      <c r="N93" s="44"/>
      <c r="O93" s="44"/>
      <c r="P93" s="44"/>
      <c r="Q93" s="44"/>
      <c r="R93" s="27"/>
      <c r="S93" s="27"/>
      <c r="T93" s="27"/>
      <c r="U93" s="50"/>
      <c r="V93" s="50"/>
      <c r="W93" s="50"/>
      <c r="X93" s="44"/>
      <c r="Y93" s="44"/>
      <c r="Z93" s="44"/>
      <c r="AA93" s="50"/>
      <c r="AB93" s="50"/>
      <c r="AC93" s="50"/>
      <c r="AD93" s="82"/>
      <c r="AE93" s="82"/>
      <c r="AF93" s="82"/>
      <c r="AG93" s="50"/>
      <c r="AH93" s="50"/>
      <c r="AI93" s="27"/>
      <c r="AJ93" s="27"/>
      <c r="AK93" s="28"/>
      <c r="AL93" s="43"/>
      <c r="AM93" s="43"/>
      <c r="AN93" s="43"/>
      <c r="AO93" s="44"/>
      <c r="AP93" s="44"/>
      <c r="AQ93" s="44"/>
      <c r="AR93" s="44"/>
      <c r="AS93" s="44"/>
      <c r="AT93" s="44"/>
      <c r="AW93" s="43"/>
      <c r="BB93" s="43"/>
      <c r="BC93" s="43"/>
    </row>
    <row r="94" spans="1:58" s="14" customFormat="1" x14ac:dyDescent="0.25">
      <c r="A94" s="8" t="s">
        <v>845</v>
      </c>
      <c r="E94" s="44"/>
      <c r="F94" s="44"/>
      <c r="G94" s="44"/>
      <c r="H94" s="44"/>
      <c r="I94" s="44"/>
      <c r="J94" s="44"/>
      <c r="K94" s="44"/>
      <c r="L94" s="44"/>
      <c r="M94" s="44"/>
      <c r="N94" s="44"/>
      <c r="O94" s="44"/>
      <c r="P94" s="44"/>
      <c r="Q94" s="44"/>
      <c r="R94" s="27"/>
      <c r="S94" s="27"/>
      <c r="T94" s="27"/>
      <c r="U94" s="50"/>
      <c r="V94" s="50"/>
      <c r="W94" s="50"/>
      <c r="X94" s="44"/>
      <c r="Y94" s="44"/>
      <c r="Z94" s="44"/>
      <c r="AA94" s="50"/>
      <c r="AB94" s="50"/>
      <c r="AC94" s="50"/>
      <c r="AD94" s="82"/>
      <c r="AE94" s="82"/>
      <c r="AF94" s="82"/>
      <c r="AG94" s="50"/>
      <c r="AH94" s="50"/>
      <c r="AI94" s="27"/>
      <c r="AJ94" s="27"/>
      <c r="AK94" s="28"/>
      <c r="AL94" s="43"/>
      <c r="AM94" s="43"/>
      <c r="AN94" s="43"/>
      <c r="AO94" s="44"/>
      <c r="AP94" s="44"/>
      <c r="AQ94" s="44"/>
      <c r="AR94" s="44"/>
      <c r="AS94" s="44"/>
      <c r="AT94" s="44"/>
      <c r="AW94" s="43"/>
      <c r="BB94" s="43"/>
      <c r="BC94" s="43"/>
    </row>
    <row r="95" spans="1:58" s="14" customFormat="1" x14ac:dyDescent="0.25">
      <c r="E95" s="44"/>
      <c r="F95" s="44"/>
      <c r="G95" s="44"/>
      <c r="H95" s="44"/>
      <c r="I95" s="44"/>
      <c r="J95" s="44"/>
      <c r="K95" s="44"/>
      <c r="L95" s="44"/>
      <c r="M95" s="44"/>
      <c r="N95" s="44"/>
      <c r="O95" s="44"/>
      <c r="P95" s="44"/>
      <c r="Q95" s="44"/>
      <c r="R95" s="27"/>
      <c r="S95" s="27"/>
      <c r="T95" s="27"/>
      <c r="U95" s="50"/>
      <c r="V95" s="50"/>
      <c r="W95" s="50"/>
      <c r="X95" s="44"/>
      <c r="Y95" s="44"/>
      <c r="Z95" s="44"/>
      <c r="AA95" s="50"/>
      <c r="AB95" s="50"/>
      <c r="AC95" s="50"/>
      <c r="AD95" s="82"/>
      <c r="AE95" s="82"/>
      <c r="AF95" s="82"/>
      <c r="AG95" s="50"/>
      <c r="AH95" s="50"/>
      <c r="AI95" s="27"/>
      <c r="AJ95" s="27"/>
      <c r="AK95" s="28"/>
      <c r="AL95" s="43"/>
      <c r="AM95" s="43"/>
      <c r="AN95" s="43"/>
      <c r="AO95" s="44"/>
      <c r="AP95" s="44"/>
      <c r="AQ95" s="44"/>
      <c r="AR95" s="44"/>
      <c r="AS95" s="44"/>
      <c r="AT95" s="44"/>
      <c r="AW95" s="43"/>
      <c r="BB95" s="43"/>
      <c r="BC95" s="43"/>
    </row>
    <row r="96" spans="1:58" s="14" customFormat="1" x14ac:dyDescent="0.25">
      <c r="E96" s="44"/>
      <c r="F96" s="44"/>
      <c r="G96" s="44"/>
      <c r="H96" s="44"/>
      <c r="I96" s="44"/>
      <c r="J96" s="44"/>
      <c r="K96" s="44"/>
      <c r="L96" s="44"/>
      <c r="M96" s="44"/>
      <c r="N96" s="44"/>
      <c r="O96" s="44"/>
      <c r="P96" s="44"/>
      <c r="Q96" s="44"/>
      <c r="R96" s="27"/>
      <c r="S96" s="27"/>
      <c r="T96" s="27"/>
      <c r="U96" s="50"/>
      <c r="V96" s="50"/>
      <c r="W96" s="50"/>
      <c r="X96" s="44"/>
      <c r="Y96" s="44"/>
      <c r="Z96" s="44"/>
      <c r="AA96" s="50"/>
      <c r="AB96" s="50"/>
      <c r="AC96" s="50"/>
      <c r="AD96" s="82"/>
      <c r="AE96" s="82"/>
      <c r="AF96" s="82"/>
      <c r="AG96" s="50"/>
      <c r="AH96" s="50"/>
      <c r="AI96" s="27"/>
      <c r="AJ96" s="27"/>
      <c r="AK96" s="28"/>
      <c r="AL96" s="43"/>
      <c r="AM96" s="43"/>
      <c r="AN96" s="43"/>
      <c r="AO96" s="44"/>
      <c r="AP96" s="44"/>
      <c r="AQ96" s="44"/>
      <c r="AR96" s="44"/>
      <c r="AS96" s="44"/>
      <c r="AT96" s="44"/>
      <c r="AW96" s="43"/>
      <c r="BB96" s="43"/>
      <c r="BC96" s="43"/>
    </row>
    <row r="97" spans="5:55" s="14" customFormat="1" x14ac:dyDescent="0.25">
      <c r="E97" s="44"/>
      <c r="F97" s="44"/>
      <c r="G97" s="44"/>
      <c r="H97" s="44"/>
      <c r="I97" s="44"/>
      <c r="J97" s="44"/>
      <c r="K97" s="44"/>
      <c r="L97" s="44"/>
      <c r="M97" s="44"/>
      <c r="N97" s="44"/>
      <c r="O97" s="44"/>
      <c r="P97" s="44"/>
      <c r="Q97" s="44"/>
      <c r="R97" s="27"/>
      <c r="S97" s="27"/>
      <c r="T97" s="27"/>
      <c r="U97" s="50"/>
      <c r="V97" s="50"/>
      <c r="W97" s="50"/>
      <c r="X97" s="44"/>
      <c r="Y97" s="44"/>
      <c r="Z97" s="44"/>
      <c r="AA97" s="50"/>
      <c r="AB97" s="50"/>
      <c r="AC97" s="50"/>
      <c r="AD97" s="82"/>
      <c r="AE97" s="82"/>
      <c r="AF97" s="82"/>
      <c r="AG97" s="50"/>
      <c r="AH97" s="50"/>
      <c r="AI97" s="27"/>
      <c r="AJ97" s="27"/>
      <c r="AK97" s="28"/>
      <c r="AL97" s="43"/>
      <c r="AM97" s="43"/>
      <c r="AN97" s="43"/>
      <c r="AO97" s="44"/>
      <c r="AP97" s="44"/>
      <c r="AQ97" s="44"/>
      <c r="AR97" s="44"/>
      <c r="AS97" s="44"/>
      <c r="AT97" s="44"/>
      <c r="AW97" s="43"/>
      <c r="BB97" s="43"/>
      <c r="BC97" s="43"/>
    </row>
    <row r="98" spans="5:55" s="14" customFormat="1" x14ac:dyDescent="0.25">
      <c r="E98" s="44"/>
      <c r="F98" s="44"/>
      <c r="G98" s="44"/>
      <c r="H98" s="44"/>
      <c r="I98" s="44"/>
      <c r="J98" s="44"/>
      <c r="K98" s="44"/>
      <c r="L98" s="44"/>
      <c r="M98" s="44"/>
      <c r="N98" s="44"/>
      <c r="O98" s="44"/>
      <c r="P98" s="44"/>
      <c r="Q98" s="44"/>
      <c r="R98" s="27"/>
      <c r="S98" s="27"/>
      <c r="T98" s="27"/>
      <c r="U98" s="50"/>
      <c r="V98" s="50"/>
      <c r="W98" s="50"/>
      <c r="X98" s="44"/>
      <c r="Y98" s="44"/>
      <c r="Z98" s="44"/>
      <c r="AA98" s="50"/>
      <c r="AB98" s="50"/>
      <c r="AC98" s="50"/>
      <c r="AD98" s="82"/>
      <c r="AE98" s="82"/>
      <c r="AF98" s="82"/>
      <c r="AG98" s="50"/>
      <c r="AH98" s="50"/>
      <c r="AI98" s="27"/>
      <c r="AJ98" s="27"/>
      <c r="AK98" s="28"/>
      <c r="AL98" s="43"/>
      <c r="AM98" s="43"/>
      <c r="AN98" s="43"/>
      <c r="AO98" s="44"/>
      <c r="AP98" s="44"/>
      <c r="AQ98" s="44"/>
      <c r="AR98" s="44"/>
      <c r="AS98" s="44"/>
      <c r="AT98" s="44"/>
      <c r="AW98" s="43"/>
      <c r="BB98" s="43"/>
      <c r="BC98" s="43"/>
    </row>
    <row r="99" spans="5:55" s="14" customFormat="1" x14ac:dyDescent="0.25">
      <c r="E99" s="44"/>
      <c r="F99" s="44"/>
      <c r="G99" s="44"/>
      <c r="H99" s="44"/>
      <c r="I99" s="44"/>
      <c r="J99" s="44"/>
      <c r="K99" s="44"/>
      <c r="L99" s="44"/>
      <c r="M99" s="44"/>
      <c r="N99" s="44"/>
      <c r="O99" s="44"/>
      <c r="P99" s="44"/>
      <c r="Q99" s="44"/>
      <c r="R99" s="27"/>
      <c r="S99" s="27"/>
      <c r="T99" s="27"/>
      <c r="U99" s="50"/>
      <c r="V99" s="50"/>
      <c r="W99" s="50"/>
      <c r="X99" s="44"/>
      <c r="Y99" s="44"/>
      <c r="Z99" s="44"/>
      <c r="AA99" s="50"/>
      <c r="AB99" s="50"/>
      <c r="AC99" s="50"/>
      <c r="AD99" s="82"/>
      <c r="AE99" s="82"/>
      <c r="AF99" s="82"/>
      <c r="AG99" s="50"/>
      <c r="AH99" s="50"/>
      <c r="AI99" s="27"/>
      <c r="AJ99" s="27"/>
      <c r="AK99" s="28"/>
      <c r="AL99" s="43"/>
      <c r="AM99" s="43"/>
      <c r="AN99" s="43"/>
      <c r="AO99" s="44"/>
      <c r="AP99" s="44"/>
      <c r="AQ99" s="44"/>
      <c r="AR99" s="44"/>
      <c r="AS99" s="44"/>
      <c r="AT99" s="44"/>
      <c r="AW99" s="43"/>
      <c r="BB99" s="43"/>
      <c r="BC99" s="43"/>
    </row>
    <row r="100" spans="5:55" s="14" customFormat="1" x14ac:dyDescent="0.25">
      <c r="E100" s="44"/>
      <c r="F100" s="44"/>
      <c r="G100" s="44"/>
      <c r="H100" s="44"/>
      <c r="I100" s="44"/>
      <c r="J100" s="44"/>
      <c r="K100" s="44"/>
      <c r="L100" s="44"/>
      <c r="M100" s="44"/>
      <c r="N100" s="44"/>
      <c r="O100" s="44"/>
      <c r="P100" s="44"/>
      <c r="Q100" s="44"/>
      <c r="R100" s="27"/>
      <c r="S100" s="27"/>
      <c r="T100" s="27"/>
      <c r="U100" s="50"/>
      <c r="V100" s="50"/>
      <c r="W100" s="50"/>
      <c r="X100" s="44"/>
      <c r="Y100" s="44"/>
      <c r="Z100" s="44"/>
      <c r="AA100" s="50"/>
      <c r="AB100" s="50"/>
      <c r="AC100" s="50"/>
      <c r="AD100" s="82"/>
      <c r="AE100" s="82"/>
      <c r="AF100" s="82"/>
      <c r="AG100" s="50"/>
      <c r="AH100" s="50"/>
      <c r="AI100" s="27"/>
      <c r="AJ100" s="27"/>
      <c r="AK100" s="28"/>
      <c r="AL100" s="43"/>
      <c r="AM100" s="43"/>
      <c r="AN100" s="43"/>
      <c r="AO100" s="44"/>
      <c r="AP100" s="44"/>
      <c r="AQ100" s="44"/>
      <c r="AR100" s="44"/>
      <c r="AS100" s="44"/>
      <c r="AT100" s="44"/>
      <c r="AW100" s="43"/>
      <c r="BB100" s="43"/>
      <c r="BC100" s="43"/>
    </row>
    <row r="101" spans="5:55" s="14" customFormat="1" x14ac:dyDescent="0.25">
      <c r="E101" s="44"/>
      <c r="F101" s="44"/>
      <c r="G101" s="44"/>
      <c r="H101" s="44"/>
      <c r="I101" s="44"/>
      <c r="J101" s="44"/>
      <c r="K101" s="44"/>
      <c r="L101" s="44"/>
      <c r="M101" s="44"/>
      <c r="N101" s="44"/>
      <c r="O101" s="44"/>
      <c r="P101" s="44"/>
      <c r="Q101" s="44"/>
      <c r="R101" s="27"/>
      <c r="S101" s="27"/>
      <c r="T101" s="27"/>
      <c r="U101" s="50"/>
      <c r="V101" s="50"/>
      <c r="W101" s="50"/>
      <c r="X101" s="44"/>
      <c r="Y101" s="44"/>
      <c r="Z101" s="44"/>
      <c r="AA101" s="50"/>
      <c r="AB101" s="50"/>
      <c r="AC101" s="50"/>
      <c r="AD101" s="82"/>
      <c r="AE101" s="82"/>
      <c r="AF101" s="82"/>
      <c r="AG101" s="50"/>
      <c r="AH101" s="50"/>
      <c r="AI101" s="27"/>
      <c r="AJ101" s="27"/>
      <c r="AK101" s="28"/>
      <c r="AL101" s="43"/>
      <c r="AM101" s="43"/>
      <c r="AN101" s="43"/>
      <c r="AO101" s="44"/>
      <c r="AP101" s="44"/>
      <c r="AQ101" s="44"/>
      <c r="AR101" s="44"/>
      <c r="AS101" s="44"/>
      <c r="AT101" s="44"/>
      <c r="AW101" s="43"/>
    </row>
    <row r="102" spans="5:55" s="14" customFormat="1" x14ac:dyDescent="0.25">
      <c r="E102" s="44"/>
      <c r="F102" s="44"/>
      <c r="G102" s="44"/>
      <c r="H102" s="44"/>
      <c r="I102" s="44"/>
      <c r="J102" s="44"/>
      <c r="K102" s="44"/>
      <c r="L102" s="44"/>
      <c r="M102" s="44"/>
      <c r="N102" s="44"/>
      <c r="O102" s="44"/>
      <c r="P102" s="44"/>
      <c r="Q102" s="44"/>
      <c r="R102" s="27"/>
      <c r="S102" s="27"/>
      <c r="T102" s="27"/>
      <c r="U102" s="50"/>
      <c r="V102" s="50"/>
      <c r="W102" s="50"/>
      <c r="X102" s="44"/>
      <c r="Y102" s="44"/>
      <c r="Z102" s="44"/>
      <c r="AA102" s="50"/>
      <c r="AB102" s="50"/>
      <c r="AC102" s="50"/>
      <c r="AD102" s="82"/>
      <c r="AE102" s="82"/>
      <c r="AF102" s="82"/>
      <c r="AG102" s="50"/>
      <c r="AH102" s="50"/>
      <c r="AI102" s="27"/>
      <c r="AJ102" s="27"/>
      <c r="AK102" s="28"/>
      <c r="AL102" s="43"/>
      <c r="AM102" s="43"/>
      <c r="AN102" s="43"/>
      <c r="AO102" s="44"/>
      <c r="AP102" s="44"/>
      <c r="AQ102" s="44"/>
      <c r="AR102" s="44"/>
      <c r="AS102" s="44"/>
      <c r="AT102" s="44"/>
      <c r="AW102" s="43"/>
    </row>
    <row r="103" spans="5:55" s="14" customFormat="1" x14ac:dyDescent="0.25">
      <c r="E103" s="44"/>
      <c r="F103" s="44"/>
      <c r="G103" s="44"/>
      <c r="H103" s="44"/>
      <c r="I103" s="44"/>
      <c r="J103" s="44"/>
      <c r="K103" s="44"/>
      <c r="L103" s="44"/>
      <c r="M103" s="44"/>
      <c r="N103" s="44"/>
      <c r="O103" s="44"/>
      <c r="P103" s="44"/>
      <c r="Q103" s="44"/>
      <c r="R103" s="27"/>
      <c r="S103" s="27"/>
      <c r="T103" s="27"/>
      <c r="U103" s="50"/>
      <c r="V103" s="50"/>
      <c r="W103" s="50"/>
      <c r="X103" s="44"/>
      <c r="Y103" s="44"/>
      <c r="Z103" s="44"/>
      <c r="AA103" s="50"/>
      <c r="AB103" s="50"/>
      <c r="AC103" s="50"/>
      <c r="AD103" s="82"/>
      <c r="AE103" s="82"/>
      <c r="AF103" s="82"/>
      <c r="AG103" s="50"/>
      <c r="AH103" s="50"/>
      <c r="AI103" s="27"/>
      <c r="AJ103" s="27"/>
      <c r="AK103" s="28"/>
      <c r="AL103" s="43"/>
      <c r="AM103" s="43"/>
      <c r="AN103" s="43"/>
      <c r="AO103" s="44"/>
      <c r="AP103" s="44"/>
      <c r="AQ103" s="44"/>
      <c r="AR103" s="44"/>
      <c r="AS103" s="44"/>
      <c r="AT103" s="44"/>
      <c r="AW103" s="43"/>
    </row>
    <row r="104" spans="5:55" s="14" customFormat="1" x14ac:dyDescent="0.25">
      <c r="E104" s="44"/>
      <c r="F104" s="44"/>
      <c r="G104" s="44"/>
      <c r="H104" s="44"/>
      <c r="I104" s="44"/>
      <c r="J104" s="44"/>
      <c r="K104" s="44"/>
      <c r="L104" s="44"/>
      <c r="M104" s="44"/>
      <c r="N104" s="44"/>
      <c r="O104" s="44"/>
      <c r="P104" s="44"/>
      <c r="Q104" s="44"/>
      <c r="R104" s="27"/>
      <c r="S104" s="27"/>
      <c r="T104" s="27"/>
      <c r="U104" s="50"/>
      <c r="V104" s="50"/>
      <c r="W104" s="50"/>
      <c r="X104" s="44"/>
      <c r="Y104" s="44"/>
      <c r="Z104" s="44"/>
      <c r="AA104" s="50"/>
      <c r="AB104" s="50"/>
      <c r="AC104" s="50"/>
      <c r="AD104" s="82"/>
      <c r="AE104" s="82"/>
      <c r="AF104" s="82"/>
      <c r="AG104" s="50"/>
      <c r="AH104" s="50"/>
      <c r="AI104" s="27"/>
      <c r="AJ104" s="27"/>
      <c r="AK104" s="28"/>
      <c r="AL104" s="43"/>
      <c r="AM104" s="43"/>
      <c r="AN104" s="43"/>
      <c r="AO104" s="44"/>
      <c r="AP104" s="44"/>
      <c r="AQ104" s="44"/>
      <c r="AR104" s="44"/>
      <c r="AS104" s="44"/>
      <c r="AT104" s="44"/>
      <c r="AW104" s="43"/>
    </row>
    <row r="105" spans="5:55" s="14" customFormat="1" x14ac:dyDescent="0.25">
      <c r="E105" s="44"/>
      <c r="F105" s="44"/>
      <c r="G105" s="44"/>
      <c r="H105" s="44"/>
      <c r="I105" s="44"/>
      <c r="J105" s="44"/>
      <c r="K105" s="44"/>
      <c r="L105" s="44"/>
      <c r="M105" s="44"/>
      <c r="N105" s="44"/>
      <c r="O105" s="44"/>
      <c r="P105" s="44"/>
      <c r="Q105" s="44"/>
      <c r="R105" s="27"/>
      <c r="S105" s="27"/>
      <c r="T105" s="27"/>
      <c r="U105" s="50"/>
      <c r="V105" s="50"/>
      <c r="W105" s="50"/>
      <c r="X105" s="44"/>
      <c r="Y105" s="44"/>
      <c r="Z105" s="44"/>
      <c r="AA105" s="50"/>
      <c r="AB105" s="50"/>
      <c r="AC105" s="50"/>
      <c r="AD105" s="82"/>
      <c r="AE105" s="82"/>
      <c r="AF105" s="82"/>
      <c r="AG105" s="50"/>
      <c r="AH105" s="50"/>
      <c r="AI105" s="27"/>
      <c r="AJ105" s="27"/>
      <c r="AK105" s="28"/>
      <c r="AL105" s="43"/>
      <c r="AM105" s="43"/>
      <c r="AN105" s="43"/>
      <c r="AO105" s="44"/>
      <c r="AP105" s="44"/>
      <c r="AQ105" s="44"/>
      <c r="AR105" s="44"/>
      <c r="AS105" s="44"/>
      <c r="AT105" s="44"/>
      <c r="AW105" s="43"/>
    </row>
    <row r="106" spans="5:55" s="14" customFormat="1" x14ac:dyDescent="0.25">
      <c r="E106" s="44"/>
      <c r="F106" s="44"/>
      <c r="G106" s="44"/>
      <c r="H106" s="44"/>
      <c r="I106" s="44"/>
      <c r="J106" s="44"/>
      <c r="K106" s="44"/>
      <c r="L106" s="44"/>
      <c r="M106" s="44"/>
      <c r="N106" s="44"/>
      <c r="O106" s="44"/>
      <c r="P106" s="44"/>
      <c r="Q106" s="44"/>
      <c r="R106" s="27"/>
      <c r="S106" s="27"/>
      <c r="T106" s="27"/>
      <c r="U106" s="50"/>
      <c r="V106" s="50"/>
      <c r="W106" s="50"/>
      <c r="X106" s="44"/>
      <c r="Y106" s="44"/>
      <c r="Z106" s="44"/>
      <c r="AA106" s="50"/>
      <c r="AB106" s="50"/>
      <c r="AC106" s="50"/>
      <c r="AD106" s="82"/>
      <c r="AE106" s="82"/>
      <c r="AF106" s="82"/>
      <c r="AG106" s="50"/>
      <c r="AH106" s="50"/>
      <c r="AI106" s="27"/>
      <c r="AJ106" s="27"/>
      <c r="AK106" s="28"/>
      <c r="AL106" s="43"/>
      <c r="AM106" s="43"/>
      <c r="AN106" s="43"/>
      <c r="AO106" s="44"/>
      <c r="AP106" s="44"/>
      <c r="AQ106" s="44"/>
      <c r="AR106" s="44"/>
      <c r="AS106" s="44"/>
      <c r="AT106" s="44"/>
      <c r="AW106" s="43"/>
    </row>
    <row r="107" spans="5:55" s="14" customFormat="1" x14ac:dyDescent="0.25">
      <c r="E107" s="44"/>
      <c r="F107" s="44"/>
      <c r="G107" s="44"/>
      <c r="H107" s="44"/>
      <c r="I107" s="44"/>
      <c r="J107" s="44"/>
      <c r="K107" s="44"/>
      <c r="L107" s="44"/>
      <c r="M107" s="44"/>
      <c r="N107" s="44"/>
      <c r="O107" s="44"/>
      <c r="P107" s="44"/>
      <c r="Q107" s="44"/>
      <c r="R107" s="27"/>
      <c r="S107" s="27"/>
      <c r="T107" s="27"/>
      <c r="U107" s="50"/>
      <c r="V107" s="50"/>
      <c r="W107" s="50"/>
      <c r="X107" s="44"/>
      <c r="Y107" s="44"/>
      <c r="Z107" s="44"/>
      <c r="AA107" s="50"/>
      <c r="AB107" s="50"/>
      <c r="AC107" s="50"/>
      <c r="AD107" s="82"/>
      <c r="AE107" s="82"/>
      <c r="AF107" s="82"/>
      <c r="AG107" s="50"/>
      <c r="AH107" s="50"/>
      <c r="AI107" s="27"/>
      <c r="AJ107" s="27"/>
      <c r="AK107" s="28"/>
      <c r="AL107" s="43"/>
      <c r="AM107" s="43"/>
      <c r="AN107" s="43"/>
      <c r="AO107" s="44"/>
      <c r="AP107" s="44"/>
      <c r="AQ107" s="44"/>
      <c r="AR107" s="44"/>
      <c r="AS107" s="44"/>
      <c r="AT107" s="44"/>
      <c r="AW107" s="43"/>
    </row>
    <row r="108" spans="5:55" s="14" customFormat="1" x14ac:dyDescent="0.25">
      <c r="E108" s="44"/>
      <c r="F108" s="44"/>
      <c r="G108" s="44"/>
      <c r="H108" s="44"/>
      <c r="I108" s="44"/>
      <c r="J108" s="44"/>
      <c r="K108" s="44"/>
      <c r="L108" s="44"/>
      <c r="M108" s="44"/>
      <c r="N108" s="44"/>
      <c r="O108" s="44"/>
      <c r="P108" s="44"/>
      <c r="Q108" s="44"/>
      <c r="R108" s="27"/>
      <c r="S108" s="27"/>
      <c r="T108" s="27"/>
      <c r="U108" s="50"/>
      <c r="V108" s="50"/>
      <c r="W108" s="50"/>
      <c r="X108" s="44"/>
      <c r="Y108" s="44"/>
      <c r="Z108" s="44"/>
      <c r="AA108" s="50"/>
      <c r="AB108" s="50"/>
      <c r="AC108" s="50"/>
      <c r="AD108" s="82"/>
      <c r="AE108" s="82"/>
      <c r="AF108" s="82"/>
      <c r="AG108" s="50"/>
      <c r="AH108" s="50"/>
      <c r="AI108" s="27"/>
      <c r="AJ108" s="27"/>
      <c r="AK108" s="28"/>
      <c r="AL108" s="43"/>
      <c r="AM108" s="43"/>
      <c r="AN108" s="43"/>
      <c r="AO108" s="44"/>
      <c r="AP108" s="44"/>
      <c r="AQ108" s="44"/>
      <c r="AR108" s="44"/>
      <c r="AS108" s="44"/>
      <c r="AT108" s="44"/>
      <c r="AW108" s="4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3"/>
  <sheetViews>
    <sheetView zoomScale="70" zoomScaleNormal="70" workbookViewId="0">
      <pane xSplit="2" ySplit="1" topLeftCell="C335" activePane="bottomRight" state="frozen"/>
      <selection pane="topRight" activeCell="C1" sqref="C1"/>
      <selection pane="bottomLeft" activeCell="A2" sqref="A2"/>
      <selection pane="bottomRight" activeCell="F363" sqref="F363"/>
    </sheetView>
  </sheetViews>
  <sheetFormatPr defaultColWidth="11.42578125" defaultRowHeight="15" x14ac:dyDescent="0.25"/>
  <cols>
    <col min="1" max="1" width="20" bestFit="1" customWidth="1"/>
    <col min="2" max="2" width="27.140625" bestFit="1" customWidth="1"/>
    <col min="3" max="3" width="14" style="1" bestFit="1" customWidth="1"/>
    <col min="4" max="5" width="15.28515625" style="1" bestFit="1" customWidth="1"/>
    <col min="6" max="6" width="14.42578125" style="1" bestFit="1" customWidth="1"/>
    <col min="7" max="8" width="15.28515625" style="1" bestFit="1" customWidth="1"/>
    <col min="9" max="9" width="14.42578125" style="1" bestFit="1" customWidth="1"/>
    <col min="10" max="11" width="16.28515625" style="1" bestFit="1" customWidth="1"/>
    <col min="12" max="12" width="15.42578125" style="1" bestFit="1" customWidth="1"/>
    <col min="13" max="14" width="16.28515625" style="1" bestFit="1" customWidth="1"/>
    <col min="15" max="15" width="15.42578125" style="1" bestFit="1" customWidth="1"/>
    <col min="16" max="17" width="17.85546875" style="1" bestFit="1" customWidth="1"/>
    <col min="18" max="18" width="17.140625" style="1" bestFit="1" customWidth="1"/>
    <col min="19" max="20" width="17.85546875" style="1" bestFit="1" customWidth="1"/>
    <col min="21" max="21" width="17.140625" style="1" bestFit="1" customWidth="1"/>
  </cols>
  <sheetData>
    <row r="1" spans="1:21" x14ac:dyDescent="0.25">
      <c r="A1" t="s">
        <v>0</v>
      </c>
      <c r="B1" t="s">
        <v>1</v>
      </c>
      <c r="C1" s="1" t="s">
        <v>1834</v>
      </c>
      <c r="D1" s="110" t="s">
        <v>1835</v>
      </c>
      <c r="E1" s="1" t="s">
        <v>1836</v>
      </c>
      <c r="F1" s="1" t="s">
        <v>1837</v>
      </c>
      <c r="G1" s="1" t="s">
        <v>1838</v>
      </c>
      <c r="H1" s="1" t="s">
        <v>1839</v>
      </c>
      <c r="I1" s="1" t="s">
        <v>1840</v>
      </c>
      <c r="J1" s="1" t="s">
        <v>1841</v>
      </c>
      <c r="K1" s="1" t="s">
        <v>1842</v>
      </c>
      <c r="L1" s="1" t="s">
        <v>1843</v>
      </c>
      <c r="M1" s="1" t="s">
        <v>1844</v>
      </c>
      <c r="N1" s="1" t="s">
        <v>1845</v>
      </c>
      <c r="O1" s="1" t="s">
        <v>1846</v>
      </c>
      <c r="P1" s="1" t="s">
        <v>1847</v>
      </c>
      <c r="Q1" s="1" t="s">
        <v>1848</v>
      </c>
      <c r="R1" s="1" t="s">
        <v>1849</v>
      </c>
      <c r="S1" s="1" t="s">
        <v>1850</v>
      </c>
      <c r="T1" s="1" t="s">
        <v>1851</v>
      </c>
      <c r="U1" s="1" t="s">
        <v>1852</v>
      </c>
    </row>
    <row r="2" spans="1:21" x14ac:dyDescent="0.25">
      <c r="A2" t="s">
        <v>25</v>
      </c>
      <c r="B2" t="s">
        <v>26</v>
      </c>
      <c r="C2" s="1">
        <v>-1.2795079899999999</v>
      </c>
      <c r="D2" s="110">
        <v>-0.90449020000000002</v>
      </c>
      <c r="E2" s="1">
        <v>-0.80467489999999997</v>
      </c>
      <c r="F2" s="1">
        <v>-0.71656750000000002</v>
      </c>
      <c r="G2" s="1">
        <v>-1.5210196600000001</v>
      </c>
      <c r="H2" s="1">
        <v>-1.0992398000000001</v>
      </c>
      <c r="I2" s="1">
        <v>-0.97275940000000005</v>
      </c>
      <c r="J2" s="1">
        <v>-0.99232284999999998</v>
      </c>
      <c r="K2" s="1">
        <v>-0.89290121</v>
      </c>
      <c r="L2" s="1">
        <v>-0.79659290000000005</v>
      </c>
      <c r="M2" s="1">
        <v>-1.5932037349999999</v>
      </c>
      <c r="N2" s="1">
        <v>-1.180797568</v>
      </c>
      <c r="O2" s="1">
        <v>-1.0381512340000001</v>
      </c>
      <c r="P2" s="1">
        <v>-1.0123913899999999</v>
      </c>
      <c r="Q2" s="1">
        <v>-0.92110040999999998</v>
      </c>
      <c r="R2" s="1">
        <v>-0.81808499999999995</v>
      </c>
      <c r="S2" s="1">
        <v>-1.6096967799999999</v>
      </c>
      <c r="T2" s="1">
        <v>-1.20686534</v>
      </c>
      <c r="U2" s="1">
        <v>-1.0557132789999999</v>
      </c>
    </row>
    <row r="3" spans="1:21" x14ac:dyDescent="0.25">
      <c r="A3" t="s">
        <v>28</v>
      </c>
      <c r="B3" t="s">
        <v>29</v>
      </c>
      <c r="C3" s="1">
        <v>-0.96391663999999999</v>
      </c>
      <c r="D3" s="110">
        <v>-0.95724929999999997</v>
      </c>
      <c r="E3" s="1">
        <v>-1.0217782</v>
      </c>
      <c r="F3" s="1">
        <v>-1.0586572999999999</v>
      </c>
      <c r="G3" s="1">
        <v>-0.94774623999999996</v>
      </c>
      <c r="H3" s="1">
        <v>-0.99779260999999997</v>
      </c>
      <c r="I3" s="1">
        <v>-1.2726199899999999</v>
      </c>
      <c r="J3" s="1">
        <v>-0.97219805000000004</v>
      </c>
      <c r="K3" s="1">
        <v>-1.02882312</v>
      </c>
      <c r="L3" s="1">
        <v>-1.0737806999999999</v>
      </c>
      <c r="M3" s="1">
        <v>-0.960031631</v>
      </c>
      <c r="N3" s="1">
        <v>-1.004305088</v>
      </c>
      <c r="O3" s="1">
        <v>-1.284977888</v>
      </c>
      <c r="P3" s="1">
        <v>-0.99510573999999996</v>
      </c>
      <c r="Q3" s="1">
        <v>-1.0644220200000001</v>
      </c>
      <c r="R3" s="1">
        <v>-1.0999034999999999</v>
      </c>
      <c r="S3" s="1">
        <v>-0.97885800099999998</v>
      </c>
      <c r="T3" s="1">
        <v>-1.03721325</v>
      </c>
      <c r="U3" s="1">
        <v>-1.306323889</v>
      </c>
    </row>
    <row r="4" spans="1:21" x14ac:dyDescent="0.25">
      <c r="A4" t="s">
        <v>1324</v>
      </c>
      <c r="B4" t="s">
        <v>1325</v>
      </c>
      <c r="C4" s="1">
        <v>-1.0592378200000001</v>
      </c>
      <c r="D4" s="110">
        <v>-1.0507116999999999</v>
      </c>
      <c r="E4" s="1">
        <v>-1.1325288</v>
      </c>
      <c r="F4" s="1">
        <v>-1.0967781000000001</v>
      </c>
      <c r="G4" s="1">
        <v>-1.0630869700000001</v>
      </c>
      <c r="H4" s="1">
        <v>-1.3175797499999999</v>
      </c>
      <c r="I4" s="1">
        <v>-1.3161401699999999</v>
      </c>
      <c r="J4" s="1">
        <v>-1.05417673</v>
      </c>
      <c r="K4" s="1">
        <v>-1.13070917</v>
      </c>
      <c r="L4" s="1">
        <v>-1.1009348999999999</v>
      </c>
      <c r="M4" s="1">
        <v>-1.065934677</v>
      </c>
      <c r="N4" s="1">
        <v>-1.3158976769999999</v>
      </c>
      <c r="O4" s="1">
        <v>-1.3195368270000001</v>
      </c>
      <c r="P4" s="1">
        <v>-1.01728386</v>
      </c>
      <c r="Q4" s="1">
        <v>-1.09807232</v>
      </c>
      <c r="R4" s="1">
        <v>-1.0703791</v>
      </c>
      <c r="S4" s="1">
        <v>-1.035614791</v>
      </c>
      <c r="T4" s="1">
        <v>-1.28572767</v>
      </c>
      <c r="U4" s="1">
        <v>-1.294568562</v>
      </c>
    </row>
    <row r="5" spans="1:21" x14ac:dyDescent="0.25">
      <c r="A5" t="s">
        <v>1326</v>
      </c>
      <c r="B5" t="s">
        <v>1327</v>
      </c>
      <c r="C5" s="1">
        <v>-0.95438540000000005</v>
      </c>
      <c r="D5" s="110">
        <v>-0.96489440000000004</v>
      </c>
      <c r="E5" s="1">
        <v>-1.0887505</v>
      </c>
      <c r="F5" s="1">
        <v>-1.1300007999999999</v>
      </c>
      <c r="G5" s="1">
        <v>-0.91168015999999996</v>
      </c>
      <c r="H5" s="1">
        <v>-1.1624013200000001</v>
      </c>
      <c r="I5" s="1">
        <v>-1.4280572899999999</v>
      </c>
      <c r="J5" s="1">
        <v>-0.99063522999999998</v>
      </c>
      <c r="K5" s="1">
        <v>-1.1019835200000001</v>
      </c>
      <c r="L5" s="1">
        <v>-1.1558345000000001</v>
      </c>
      <c r="M5" s="1">
        <v>-0.93283489900000005</v>
      </c>
      <c r="N5" s="1">
        <v>-1.17463417</v>
      </c>
      <c r="O5" s="1">
        <v>-1.4491670379999999</v>
      </c>
      <c r="P5" s="1">
        <v>-0.98207005999999997</v>
      </c>
      <c r="Q5" s="1">
        <v>-1.11050201</v>
      </c>
      <c r="R5" s="1">
        <v>-1.1562458</v>
      </c>
      <c r="S5" s="1">
        <v>-0.92579573500000001</v>
      </c>
      <c r="T5" s="1">
        <v>-1.18250879</v>
      </c>
      <c r="U5" s="1">
        <v>-1.449503137</v>
      </c>
    </row>
    <row r="6" spans="1:21" x14ac:dyDescent="0.25">
      <c r="A6" t="s">
        <v>1328</v>
      </c>
      <c r="B6" t="s">
        <v>1329</v>
      </c>
      <c r="C6" s="1">
        <v>-1.0098472700000001</v>
      </c>
      <c r="D6" s="110">
        <v>-0.84284349999999997</v>
      </c>
      <c r="E6" s="1">
        <v>-0.96323479999999995</v>
      </c>
      <c r="F6" s="1">
        <v>-0.88932679999999997</v>
      </c>
      <c r="G6" s="1">
        <v>-0.83985264999999998</v>
      </c>
      <c r="H6" s="1">
        <v>-0.91054652000000003</v>
      </c>
      <c r="I6" s="1">
        <v>-0.95117775000000004</v>
      </c>
      <c r="J6" s="1">
        <v>-1.1353168499999999</v>
      </c>
      <c r="K6" s="1">
        <v>-1.2640070999999999</v>
      </c>
      <c r="L6" s="1">
        <v>-1.1544846</v>
      </c>
      <c r="M6" s="1">
        <v>-1.0802178090000001</v>
      </c>
      <c r="N6" s="1">
        <v>-1.1885850689999999</v>
      </c>
      <c r="O6" s="1">
        <v>-1.1678483799999999</v>
      </c>
      <c r="P6" s="1">
        <v>-1.1058017200000001</v>
      </c>
      <c r="Q6" s="1">
        <v>-1.2460448399999999</v>
      </c>
      <c r="R6" s="1">
        <v>-1.1338386</v>
      </c>
      <c r="S6" s="1">
        <v>-1.0559612060000001</v>
      </c>
      <c r="T6" s="1">
        <v>-1.17198048</v>
      </c>
      <c r="U6" s="1">
        <v>-1.1509777800000001</v>
      </c>
    </row>
    <row r="7" spans="1:21" x14ac:dyDescent="0.25">
      <c r="A7" t="s">
        <v>31</v>
      </c>
      <c r="B7" t="s">
        <v>32</v>
      </c>
      <c r="C7" s="1">
        <v>-1.2643973500000001</v>
      </c>
      <c r="D7" s="110">
        <v>-1.1412340000000001</v>
      </c>
      <c r="E7" s="1">
        <v>-1.0694977000000001</v>
      </c>
      <c r="F7" s="1">
        <v>-1.0820969</v>
      </c>
      <c r="G7" s="1">
        <v>-1.33693237</v>
      </c>
      <c r="H7" s="1">
        <v>-1.17518871</v>
      </c>
      <c r="I7" s="1">
        <v>-1.2957580099999999</v>
      </c>
      <c r="J7" s="1">
        <v>-1.1763623299999999</v>
      </c>
      <c r="K7" s="1">
        <v>-1.09605102</v>
      </c>
      <c r="L7" s="1">
        <v>-1.1157497999999999</v>
      </c>
      <c r="M7" s="1">
        <v>-1.3658020799999999</v>
      </c>
      <c r="N7" s="1">
        <v>-1.1997350280000001</v>
      </c>
      <c r="O7" s="1">
        <v>-1.323257106</v>
      </c>
      <c r="P7" s="1">
        <v>-1.19081901</v>
      </c>
      <c r="Q7" s="1">
        <v>-1.12509138</v>
      </c>
      <c r="R7" s="1">
        <v>-1.1353011</v>
      </c>
      <c r="S7" s="1">
        <v>-1.377683094</v>
      </c>
      <c r="T7" s="1">
        <v>-1.2265803900000001</v>
      </c>
      <c r="U7" s="1">
        <v>-1.339233261</v>
      </c>
    </row>
    <row r="8" spans="1:21" x14ac:dyDescent="0.25">
      <c r="A8" t="s">
        <v>34</v>
      </c>
      <c r="B8" t="s">
        <v>35</v>
      </c>
      <c r="C8" s="1">
        <v>-1.2452923300000001</v>
      </c>
      <c r="D8" s="110">
        <v>-1.1846379</v>
      </c>
      <c r="E8" s="1">
        <v>-1.1654723</v>
      </c>
      <c r="F8" s="1">
        <v>-1.1478617</v>
      </c>
      <c r="G8" s="1">
        <v>-1.3266844499999999</v>
      </c>
      <c r="H8" s="1">
        <v>-1.2563943</v>
      </c>
      <c r="I8" s="1">
        <v>-1.2251765299999999</v>
      </c>
      <c r="J8" s="1">
        <v>-1.1639574500000001</v>
      </c>
      <c r="K8" s="1">
        <v>-1.13696636</v>
      </c>
      <c r="L8" s="1">
        <v>-1.1304780999999999</v>
      </c>
      <c r="M8" s="1">
        <v>-1.3096885330000001</v>
      </c>
      <c r="N8" s="1">
        <v>-1.2300430099999999</v>
      </c>
      <c r="O8" s="1">
        <v>-1.2109717040000001</v>
      </c>
      <c r="P8" s="1">
        <v>-1.13824539</v>
      </c>
      <c r="Q8" s="1">
        <v>-1.11748669</v>
      </c>
      <c r="R8" s="1">
        <v>-1.1107056</v>
      </c>
      <c r="S8" s="1">
        <v>-1.288557435</v>
      </c>
      <c r="T8" s="1">
        <v>-1.2120356999999999</v>
      </c>
      <c r="U8" s="1">
        <v>-1.1948148629999999</v>
      </c>
    </row>
    <row r="9" spans="1:21" x14ac:dyDescent="0.25">
      <c r="A9" t="s">
        <v>37</v>
      </c>
      <c r="B9" t="s">
        <v>38</v>
      </c>
      <c r="C9" s="1">
        <v>-1.0064900800000001</v>
      </c>
      <c r="D9" s="110">
        <v>-1.0255080999999999</v>
      </c>
      <c r="E9" s="1">
        <v>-0.98215110000000005</v>
      </c>
      <c r="F9" s="1">
        <v>-0.98723110000000003</v>
      </c>
      <c r="G9" s="1">
        <v>-1.03629997</v>
      </c>
      <c r="H9" s="1">
        <v>-0.86067260999999995</v>
      </c>
      <c r="I9" s="1">
        <v>-0.95958818999999995</v>
      </c>
      <c r="J9" s="1">
        <v>-0.98315140999999995</v>
      </c>
      <c r="K9" s="1">
        <v>-0.94283843000000001</v>
      </c>
      <c r="L9" s="1">
        <v>-0.94802940000000002</v>
      </c>
      <c r="M9" s="1">
        <v>-1.001489686</v>
      </c>
      <c r="N9" s="1">
        <v>-0.82433137300000003</v>
      </c>
      <c r="O9" s="1">
        <v>-0.92755498599999997</v>
      </c>
      <c r="P9" s="1">
        <v>-1.00279707</v>
      </c>
      <c r="Q9" s="1">
        <v>-0.95660999999999996</v>
      </c>
      <c r="R9" s="1">
        <v>-0.96261819999999998</v>
      </c>
      <c r="S9" s="1">
        <v>-1.017635193</v>
      </c>
      <c r="T9" s="1">
        <v>-0.83706201999999996</v>
      </c>
      <c r="U9" s="1">
        <v>-0.93947608500000002</v>
      </c>
    </row>
    <row r="10" spans="1:21" x14ac:dyDescent="0.25">
      <c r="A10" t="s">
        <v>41</v>
      </c>
      <c r="B10" t="s">
        <v>42</v>
      </c>
      <c r="C10" s="1">
        <v>-0.9856009</v>
      </c>
      <c r="D10" s="110">
        <v>-0.96393989999999996</v>
      </c>
      <c r="E10" s="1">
        <v>-1.0245226000000001</v>
      </c>
      <c r="F10" s="1">
        <v>-1.0586442</v>
      </c>
      <c r="G10" s="1">
        <v>-1.0050158600000001</v>
      </c>
      <c r="H10" s="1">
        <v>-1.0141594899999999</v>
      </c>
      <c r="I10" s="1">
        <v>-0.94204507000000004</v>
      </c>
      <c r="J10" s="1">
        <v>-0.96339293999999998</v>
      </c>
      <c r="K10" s="1">
        <v>-1.0233838500000001</v>
      </c>
      <c r="L10" s="1">
        <v>-1.0582571000000001</v>
      </c>
      <c r="M10" s="1">
        <v>-1.0045663650000001</v>
      </c>
      <c r="N10" s="1">
        <v>-1.0131067949999999</v>
      </c>
      <c r="O10" s="1">
        <v>-0.94172871499999999</v>
      </c>
      <c r="P10" s="1">
        <v>-0.95239172000000005</v>
      </c>
      <c r="Q10" s="1">
        <v>-1.01229652</v>
      </c>
      <c r="R10" s="1">
        <v>-1.0485135999999999</v>
      </c>
      <c r="S10" s="1">
        <v>-0.99552516999999996</v>
      </c>
      <c r="T10" s="1">
        <v>-1.0028575</v>
      </c>
      <c r="U10" s="1">
        <v>-0.93376696299999995</v>
      </c>
    </row>
    <row r="11" spans="1:21" x14ac:dyDescent="0.25">
      <c r="A11" t="s">
        <v>44</v>
      </c>
      <c r="B11" t="s">
        <v>45</v>
      </c>
      <c r="C11" s="1">
        <v>-0.79052115000000001</v>
      </c>
      <c r="D11" s="110">
        <v>-0.81285430000000003</v>
      </c>
      <c r="E11" s="1">
        <v>-0.86365530000000001</v>
      </c>
      <c r="F11" s="1">
        <v>-0.90969160000000004</v>
      </c>
      <c r="G11" s="1">
        <v>-0.79174339000000005</v>
      </c>
      <c r="H11" s="1">
        <v>-0.80884308999999999</v>
      </c>
      <c r="I11" s="1">
        <v>-0.85214515000000002</v>
      </c>
      <c r="J11" s="1">
        <v>-0.79459195999999999</v>
      </c>
      <c r="K11" s="1">
        <v>-0.84945952000000002</v>
      </c>
      <c r="L11" s="1">
        <v>-0.89227009999999995</v>
      </c>
      <c r="M11" s="1">
        <v>-0.77673477000000002</v>
      </c>
      <c r="N11" s="1">
        <v>-0.79572033099999995</v>
      </c>
      <c r="O11" s="1">
        <v>-0.83790940000000003</v>
      </c>
      <c r="P11" s="1">
        <v>-0.77416443999999995</v>
      </c>
      <c r="Q11" s="1">
        <v>-0.82102414000000001</v>
      </c>
      <c r="R11" s="1">
        <v>-0.87051860000000003</v>
      </c>
      <c r="S11" s="1">
        <v>-0.759946703</v>
      </c>
      <c r="T11" s="1">
        <v>-0.76943423</v>
      </c>
      <c r="U11" s="1">
        <v>-0.82013541499999998</v>
      </c>
    </row>
    <row r="12" spans="1:21" x14ac:dyDescent="0.25">
      <c r="A12" t="s">
        <v>47</v>
      </c>
      <c r="B12" t="s">
        <v>48</v>
      </c>
      <c r="C12" s="1">
        <v>-0.94230364</v>
      </c>
      <c r="D12" s="110">
        <v>-0.98544889999999996</v>
      </c>
      <c r="E12" s="1">
        <v>-0.97485029999999995</v>
      </c>
      <c r="F12" s="1">
        <v>-0.99778420000000001</v>
      </c>
      <c r="G12" s="1">
        <v>-0.92619066000000005</v>
      </c>
      <c r="H12" s="1">
        <v>-0.98484068000000002</v>
      </c>
      <c r="I12" s="1">
        <v>-0.94195899999999999</v>
      </c>
      <c r="J12" s="1">
        <v>-0.96148332999999997</v>
      </c>
      <c r="K12" s="1">
        <v>-0.94774398000000004</v>
      </c>
      <c r="L12" s="1">
        <v>-0.97652099999999997</v>
      </c>
      <c r="M12" s="1">
        <v>-0.90649488700000003</v>
      </c>
      <c r="N12" s="1">
        <v>-0.95978318500000004</v>
      </c>
      <c r="O12" s="1">
        <v>-0.92458404299999997</v>
      </c>
      <c r="P12" s="1">
        <v>-0.98545665999999998</v>
      </c>
      <c r="Q12" s="1">
        <v>-0.97536086</v>
      </c>
      <c r="R12" s="1">
        <v>-0.9993649</v>
      </c>
      <c r="S12" s="1">
        <v>-0.92619703399999997</v>
      </c>
      <c r="T12" s="1">
        <v>-0.98531265000000001</v>
      </c>
      <c r="U12" s="1">
        <v>-0.94325070099999997</v>
      </c>
    </row>
    <row r="13" spans="1:21" x14ac:dyDescent="0.25">
      <c r="A13" t="s">
        <v>50</v>
      </c>
      <c r="B13" t="s">
        <v>51</v>
      </c>
      <c r="C13" s="1">
        <v>-1.12460063</v>
      </c>
      <c r="D13" s="110">
        <v>-1.1565430000000001</v>
      </c>
      <c r="E13" s="1">
        <v>-1.1025125</v>
      </c>
      <c r="F13" s="1">
        <v>-1.2050683</v>
      </c>
      <c r="G13" s="1">
        <v>-1.00521496</v>
      </c>
      <c r="H13" s="1">
        <v>-0.91921041999999997</v>
      </c>
      <c r="I13" s="1">
        <v>-1.14349733</v>
      </c>
      <c r="J13" s="1">
        <v>-1.25556014</v>
      </c>
      <c r="K13" s="1">
        <v>-1.2093174600000001</v>
      </c>
      <c r="L13" s="1">
        <v>-1.2938988</v>
      </c>
      <c r="M13" s="1">
        <v>-1.086590846</v>
      </c>
      <c r="N13" s="1">
        <v>-1.0179426149999999</v>
      </c>
      <c r="O13" s="1">
        <v>-1.2160841229999999</v>
      </c>
      <c r="P13" s="1">
        <v>-1.1548238</v>
      </c>
      <c r="Q13" s="1">
        <v>-1.0998706499999999</v>
      </c>
      <c r="R13" s="1">
        <v>-1.2009856000000001</v>
      </c>
      <c r="S13" s="1">
        <v>-1.0038020969999999</v>
      </c>
      <c r="T13" s="1">
        <v>-0.91676829999999998</v>
      </c>
      <c r="U13" s="1">
        <v>-1.1401611949999999</v>
      </c>
    </row>
    <row r="14" spans="1:21" x14ac:dyDescent="0.25">
      <c r="A14" t="s">
        <v>53</v>
      </c>
      <c r="B14" t="s">
        <v>54</v>
      </c>
      <c r="C14" s="1">
        <v>-0.88643685999999999</v>
      </c>
      <c r="D14" s="110">
        <v>-1.081618</v>
      </c>
      <c r="E14" s="1">
        <v>-1.1196451999999999</v>
      </c>
      <c r="F14" s="1">
        <v>-1.1813402</v>
      </c>
      <c r="G14" s="1">
        <v>-0.73427600999999998</v>
      </c>
      <c r="H14" s="1">
        <v>-0.90158055999999998</v>
      </c>
      <c r="I14" s="1">
        <v>-1.05370751</v>
      </c>
      <c r="J14" s="1">
        <v>-1.06818156</v>
      </c>
      <c r="K14" s="1">
        <v>-1.1010269800000001</v>
      </c>
      <c r="L14" s="1">
        <v>-1.170064</v>
      </c>
      <c r="M14" s="1">
        <v>-0.72323342099999999</v>
      </c>
      <c r="N14" s="1">
        <v>-0.88436959299999995</v>
      </c>
      <c r="O14" s="1">
        <v>-1.044493363</v>
      </c>
      <c r="P14" s="1">
        <v>-1.0051609500000001</v>
      </c>
      <c r="Q14" s="1">
        <v>-1.03889973</v>
      </c>
      <c r="R14" s="1">
        <v>-1.1148951</v>
      </c>
      <c r="S14" s="1">
        <v>-0.67144081</v>
      </c>
      <c r="T14" s="1">
        <v>-0.82693821000000001</v>
      </c>
      <c r="U14" s="1">
        <v>-0.99941271200000004</v>
      </c>
    </row>
    <row r="15" spans="1:21" x14ac:dyDescent="0.25">
      <c r="A15" t="s">
        <v>56</v>
      </c>
      <c r="B15" t="s">
        <v>57</v>
      </c>
      <c r="C15" s="1">
        <v>-1.5688921600000001</v>
      </c>
      <c r="D15" s="110">
        <v>-1.495018</v>
      </c>
      <c r="E15" s="1">
        <v>-1.4990074</v>
      </c>
      <c r="F15" s="1">
        <v>-1.5137243</v>
      </c>
      <c r="G15" s="1">
        <v>-1.5923432</v>
      </c>
      <c r="H15" s="1">
        <v>-1.6438852900000001</v>
      </c>
      <c r="I15" s="1">
        <v>-1.6218449100000001</v>
      </c>
      <c r="J15" s="1">
        <v>-1.53890171</v>
      </c>
      <c r="K15" s="1">
        <v>-1.5500739299999999</v>
      </c>
      <c r="L15" s="1">
        <v>-1.5523895000000001</v>
      </c>
      <c r="M15" s="1">
        <v>-1.628408423</v>
      </c>
      <c r="N15" s="1">
        <v>-1.691091959</v>
      </c>
      <c r="O15" s="1">
        <v>-1.6534397709999999</v>
      </c>
      <c r="P15" s="1">
        <v>-1.4915448200000001</v>
      </c>
      <c r="Q15" s="1">
        <v>-1.49401717</v>
      </c>
      <c r="R15" s="1">
        <v>-1.5065630999999999</v>
      </c>
      <c r="S15" s="1">
        <v>-1.589488821</v>
      </c>
      <c r="T15" s="1">
        <v>-1.63927223</v>
      </c>
      <c r="U15" s="1">
        <v>-1.6159932210000001</v>
      </c>
    </row>
    <row r="16" spans="1:21" x14ac:dyDescent="0.25">
      <c r="A16" t="s">
        <v>59</v>
      </c>
      <c r="B16" t="s">
        <v>60</v>
      </c>
      <c r="C16" s="1">
        <v>-1.07727039</v>
      </c>
      <c r="D16" s="110">
        <v>-1.1082638</v>
      </c>
      <c r="E16" s="1">
        <v>-1.0816927999999999</v>
      </c>
      <c r="F16" s="1">
        <v>-1.1581811</v>
      </c>
      <c r="G16" s="1">
        <v>-0.97469348</v>
      </c>
      <c r="H16" s="1">
        <v>-0.91767609999999999</v>
      </c>
      <c r="I16" s="1">
        <v>-1.0506471799999999</v>
      </c>
      <c r="J16" s="1">
        <v>-1.1888340500000001</v>
      </c>
      <c r="K16" s="1">
        <v>-1.1631423599999999</v>
      </c>
      <c r="L16" s="1">
        <v>-1.2314919</v>
      </c>
      <c r="M16" s="1">
        <v>-1.0409090160000001</v>
      </c>
      <c r="N16" s="1">
        <v>-0.99296928399999995</v>
      </c>
      <c r="O16" s="1">
        <v>-1.110552223</v>
      </c>
      <c r="P16" s="1">
        <v>-1.11018284</v>
      </c>
      <c r="Q16" s="1">
        <v>-1.08443618</v>
      </c>
      <c r="R16" s="1">
        <v>-1.1620942999999999</v>
      </c>
      <c r="S16" s="1">
        <v>-0.97627061999999998</v>
      </c>
      <c r="T16" s="1">
        <v>-0.92021207999999999</v>
      </c>
      <c r="U16" s="1">
        <v>-1.0538447440000001</v>
      </c>
    </row>
    <row r="17" spans="1:21" x14ac:dyDescent="0.25">
      <c r="A17" t="s">
        <v>62</v>
      </c>
      <c r="B17" t="s">
        <v>63</v>
      </c>
      <c r="C17" s="1">
        <v>-1.1098074200000001</v>
      </c>
      <c r="D17" s="110">
        <v>-1.1458968</v>
      </c>
      <c r="E17" s="1">
        <v>-1.1166617999999999</v>
      </c>
      <c r="F17" s="1">
        <v>-1.1870045</v>
      </c>
      <c r="G17" s="1">
        <v>-0.95022624</v>
      </c>
      <c r="H17" s="1">
        <v>-0.96563885999999999</v>
      </c>
      <c r="I17" s="1">
        <v>-1.0711844100000001</v>
      </c>
      <c r="J17" s="1">
        <v>-1.2708911300000001</v>
      </c>
      <c r="K17" s="1">
        <v>-1.24341915</v>
      </c>
      <c r="L17" s="1">
        <v>-1.3006614000000001</v>
      </c>
      <c r="M17" s="1">
        <v>-1.0529511250000001</v>
      </c>
      <c r="N17" s="1">
        <v>-1.082815254</v>
      </c>
      <c r="O17" s="1">
        <v>-1.164057889</v>
      </c>
      <c r="P17" s="1">
        <v>-1.21532777</v>
      </c>
      <c r="Q17" s="1">
        <v>-1.19197592</v>
      </c>
      <c r="R17" s="1">
        <v>-1.2535746000000001</v>
      </c>
      <c r="S17" s="1">
        <v>-1.0072871560000001</v>
      </c>
      <c r="T17" s="1">
        <v>-1.03526034</v>
      </c>
      <c r="U17" s="1">
        <v>-1.1255814070000001</v>
      </c>
    </row>
    <row r="18" spans="1:21" x14ac:dyDescent="0.25">
      <c r="A18" t="s">
        <v>1336</v>
      </c>
      <c r="B18" t="s">
        <v>1335</v>
      </c>
      <c r="C18" s="1">
        <v>-1.22179836</v>
      </c>
      <c r="D18" s="110">
        <v>-1.2470958999999999</v>
      </c>
      <c r="E18" s="1">
        <v>-1.2349505999999999</v>
      </c>
      <c r="F18" s="1">
        <v>-1.2887944</v>
      </c>
      <c r="G18" s="1">
        <v>-1.0978105</v>
      </c>
      <c r="H18" s="1">
        <v>-1.1485830800000001</v>
      </c>
      <c r="I18" s="1">
        <v>-1.3512777499999999</v>
      </c>
      <c r="J18" s="1">
        <v>-1.34000915</v>
      </c>
      <c r="K18" s="1">
        <v>-1.3327808400000001</v>
      </c>
      <c r="L18" s="1">
        <v>-1.3725997999999999</v>
      </c>
      <c r="M18" s="1">
        <v>-1.1741699350000001</v>
      </c>
      <c r="N18" s="1">
        <v>-1.2390188559999999</v>
      </c>
      <c r="O18" s="1">
        <v>-1.4197583659999999</v>
      </c>
      <c r="P18" s="1">
        <v>-1.33944412</v>
      </c>
      <c r="Q18" s="1">
        <v>-1.33366875</v>
      </c>
      <c r="R18" s="1">
        <v>-1.3727788999999999</v>
      </c>
      <c r="S18" s="1">
        <v>-1.173705569</v>
      </c>
      <c r="T18" s="1">
        <v>-1.23983965</v>
      </c>
      <c r="U18" s="1">
        <v>-1.4199047339999999</v>
      </c>
    </row>
    <row r="19" spans="1:21" x14ac:dyDescent="0.25">
      <c r="A19" t="s">
        <v>65</v>
      </c>
      <c r="B19" t="s">
        <v>66</v>
      </c>
      <c r="C19" s="1">
        <v>-1.0525451400000001</v>
      </c>
      <c r="D19" s="110">
        <v>-1.0909145</v>
      </c>
      <c r="E19" s="1">
        <v>-1.1014515</v>
      </c>
      <c r="F19" s="1">
        <v>-1.1008925000000001</v>
      </c>
      <c r="G19" s="1">
        <v>-1.0552614899999999</v>
      </c>
      <c r="H19" s="1">
        <v>-1.2087787400000001</v>
      </c>
      <c r="I19" s="1">
        <v>-1.05330192</v>
      </c>
      <c r="J19" s="1">
        <v>-1.0485903999999999</v>
      </c>
      <c r="K19" s="1">
        <v>-1.05558329</v>
      </c>
      <c r="L19" s="1">
        <v>-1.0629632</v>
      </c>
      <c r="M19" s="1">
        <v>-1.020477984</v>
      </c>
      <c r="N19" s="1">
        <v>-1.166377437</v>
      </c>
      <c r="O19" s="1">
        <v>-1.0223084200000001</v>
      </c>
      <c r="P19" s="1">
        <v>-1.0979692000000001</v>
      </c>
      <c r="Q19" s="1">
        <v>-1.1094006000000001</v>
      </c>
      <c r="R19" s="1">
        <v>-1.1085860000000001</v>
      </c>
      <c r="S19" s="1">
        <v>-1.0610592569999999</v>
      </c>
      <c r="T19" s="1">
        <v>-1.2161269800000001</v>
      </c>
      <c r="U19" s="1">
        <v>-1.0595885410000001</v>
      </c>
    </row>
    <row r="20" spans="1:21" x14ac:dyDescent="0.25">
      <c r="A20" t="s">
        <v>68</v>
      </c>
      <c r="B20" t="s">
        <v>69</v>
      </c>
      <c r="C20" s="1">
        <v>-1.05577086</v>
      </c>
      <c r="D20" s="110">
        <v>-1.076047</v>
      </c>
      <c r="E20" s="1">
        <v>-1.0991959</v>
      </c>
      <c r="F20" s="1">
        <v>-0.8820614</v>
      </c>
      <c r="G20" s="1">
        <v>-1.1345927099999999</v>
      </c>
      <c r="H20" s="1">
        <v>-1.1969034599999999</v>
      </c>
      <c r="I20" s="1">
        <v>-0.9918264</v>
      </c>
      <c r="J20" s="1">
        <v>-0.97180533999999996</v>
      </c>
      <c r="K20" s="1">
        <v>-0.99366940999999998</v>
      </c>
      <c r="L20" s="1">
        <v>-0.78723980000000005</v>
      </c>
      <c r="M20" s="1">
        <v>-1.0489231750000001</v>
      </c>
      <c r="N20" s="1">
        <v>-1.0993531439999999</v>
      </c>
      <c r="O20" s="1">
        <v>-0.91434407900000003</v>
      </c>
      <c r="P20" s="1">
        <v>-1.08518257</v>
      </c>
      <c r="Q20" s="1">
        <v>-1.1081233100000001</v>
      </c>
      <c r="R20" s="1">
        <v>-0.88774299999999995</v>
      </c>
      <c r="S20" s="1">
        <v>-1.1421006629999999</v>
      </c>
      <c r="T20" s="1">
        <v>-1.20515609</v>
      </c>
      <c r="U20" s="1">
        <v>-0.99646904599999997</v>
      </c>
    </row>
    <row r="21" spans="1:21" x14ac:dyDescent="0.25">
      <c r="A21" t="s">
        <v>71</v>
      </c>
      <c r="B21" t="s">
        <v>72</v>
      </c>
      <c r="C21" s="1">
        <v>-0.65483221000000003</v>
      </c>
      <c r="D21" s="110">
        <v>-0.80911149999999998</v>
      </c>
      <c r="E21" s="1">
        <v>-0.80024689999999998</v>
      </c>
      <c r="F21" s="1">
        <v>-0.74848250000000005</v>
      </c>
      <c r="G21" s="1">
        <v>-0.53754141</v>
      </c>
      <c r="H21" s="1">
        <v>-0.64716178999999996</v>
      </c>
      <c r="I21" s="1">
        <v>-0.64679971000000003</v>
      </c>
      <c r="J21" s="1">
        <v>-0.77805530000000001</v>
      </c>
      <c r="K21" s="1">
        <v>-0.77000778999999997</v>
      </c>
      <c r="L21" s="1">
        <v>-0.72000649999999999</v>
      </c>
      <c r="M21" s="1">
        <v>-0.51201829099999996</v>
      </c>
      <c r="N21" s="1">
        <v>-0.61920825700000004</v>
      </c>
      <c r="O21" s="1">
        <v>-0.62353082800000004</v>
      </c>
      <c r="P21" s="1">
        <v>-0.87380550999999995</v>
      </c>
      <c r="Q21" s="1">
        <v>-0.86896934999999997</v>
      </c>
      <c r="R21" s="1">
        <v>-0.80595760000000005</v>
      </c>
      <c r="S21" s="1">
        <v>-0.59070926000000001</v>
      </c>
      <c r="T21" s="1">
        <v>-0.71068984999999996</v>
      </c>
      <c r="U21" s="1">
        <v>-0.69376478399999997</v>
      </c>
    </row>
    <row r="22" spans="1:21" x14ac:dyDescent="0.25">
      <c r="A22" t="s">
        <v>74</v>
      </c>
      <c r="B22" t="s">
        <v>75</v>
      </c>
      <c r="C22" s="1">
        <v>-0.98364476000000001</v>
      </c>
      <c r="D22" s="110">
        <v>-1.0635952</v>
      </c>
      <c r="E22" s="1">
        <v>-1.0823147</v>
      </c>
      <c r="F22" s="1">
        <v>-0.94528880000000004</v>
      </c>
      <c r="G22" s="1">
        <v>-1.0786120100000001</v>
      </c>
      <c r="H22" s="1">
        <v>-1.1067306400000001</v>
      </c>
      <c r="I22" s="1">
        <v>-1.03523356</v>
      </c>
      <c r="J22" s="1">
        <v>-0.89667419999999998</v>
      </c>
      <c r="K22" s="1">
        <v>-0.91544837000000001</v>
      </c>
      <c r="L22" s="1">
        <v>-0.79305380000000003</v>
      </c>
      <c r="M22" s="1">
        <v>-0.94143035100000005</v>
      </c>
      <c r="N22" s="1">
        <v>-0.95247679299999999</v>
      </c>
      <c r="O22" s="1">
        <v>-0.91083645899999999</v>
      </c>
      <c r="P22" s="1">
        <v>-1.0059006500000001</v>
      </c>
      <c r="Q22" s="1">
        <v>-1.0186506799999999</v>
      </c>
      <c r="R22" s="1">
        <v>-0.88658479999999995</v>
      </c>
      <c r="S22" s="1">
        <v>-1.0311965869999999</v>
      </c>
      <c r="T22" s="1">
        <v>-1.0478785900000001</v>
      </c>
      <c r="U22" s="1">
        <v>-0.98726423799999996</v>
      </c>
    </row>
    <row r="23" spans="1:21" x14ac:dyDescent="0.25">
      <c r="A23" t="s">
        <v>76</v>
      </c>
      <c r="B23" t="s">
        <v>77</v>
      </c>
      <c r="C23" s="1">
        <v>-0.83138780000000001</v>
      </c>
      <c r="D23" s="110">
        <v>-1.0137373000000001</v>
      </c>
      <c r="E23" s="1">
        <v>-1.1953958</v>
      </c>
      <c r="F23" s="1">
        <v>-0.97385330000000003</v>
      </c>
      <c r="G23" s="1">
        <v>-0.82772056000000005</v>
      </c>
      <c r="H23" s="1">
        <v>-1.2272651000000001</v>
      </c>
      <c r="I23" s="1">
        <v>-0.92346974999999998</v>
      </c>
      <c r="J23" s="1">
        <v>-0.83876006000000003</v>
      </c>
      <c r="K23" s="1">
        <v>-1.0194041199999999</v>
      </c>
      <c r="L23" s="1">
        <v>-0.814473</v>
      </c>
      <c r="M23" s="1">
        <v>-0.68391798699999995</v>
      </c>
      <c r="N23" s="1">
        <v>-1.064575657</v>
      </c>
      <c r="O23" s="1">
        <v>-0.79323394800000002</v>
      </c>
      <c r="P23" s="1">
        <v>-1.00494105</v>
      </c>
      <c r="Q23" s="1">
        <v>-1.18426214</v>
      </c>
      <c r="R23" s="1">
        <v>-0.96043120000000004</v>
      </c>
      <c r="S23" s="1">
        <v>-0.82049150500000001</v>
      </c>
      <c r="T23" s="1">
        <v>-1.2169729499999999</v>
      </c>
      <c r="U23" s="1">
        <v>-0.91250201399999997</v>
      </c>
    </row>
    <row r="24" spans="1:21" x14ac:dyDescent="0.25">
      <c r="A24" t="s">
        <v>79</v>
      </c>
      <c r="B24" t="s">
        <v>80</v>
      </c>
      <c r="C24" s="1">
        <v>-0.78025593999999998</v>
      </c>
      <c r="D24" s="110">
        <v>-0.89780559999999998</v>
      </c>
      <c r="E24" s="1">
        <v>-0.96326310000000004</v>
      </c>
      <c r="F24" s="1">
        <v>-0.75437650000000001</v>
      </c>
      <c r="G24" s="1">
        <v>-0.76486511999999995</v>
      </c>
      <c r="H24" s="1">
        <v>-0.86880236</v>
      </c>
      <c r="I24" s="1">
        <v>-0.66506032999999998</v>
      </c>
      <c r="J24" s="1">
        <v>-0.79745723999999996</v>
      </c>
      <c r="K24" s="1">
        <v>-0.85935419999999996</v>
      </c>
      <c r="L24" s="1">
        <v>-0.66353470000000003</v>
      </c>
      <c r="M24" s="1">
        <v>-0.68239518099999996</v>
      </c>
      <c r="N24" s="1">
        <v>-0.77274737100000002</v>
      </c>
      <c r="O24" s="1">
        <v>-0.59082996200000004</v>
      </c>
      <c r="P24" s="1">
        <v>-0.92724457999999998</v>
      </c>
      <c r="Q24" s="1">
        <v>-0.99453303999999998</v>
      </c>
      <c r="R24" s="1">
        <v>-0.78052379999999999</v>
      </c>
      <c r="S24" s="1">
        <v>-0.78905909399999996</v>
      </c>
      <c r="T24" s="1">
        <v>-0.89770877000000004</v>
      </c>
      <c r="U24" s="1">
        <v>-0.68642630100000002</v>
      </c>
    </row>
    <row r="25" spans="1:21" x14ac:dyDescent="0.25">
      <c r="A25" t="s">
        <v>79</v>
      </c>
      <c r="B25" t="s">
        <v>82</v>
      </c>
      <c r="C25" s="1">
        <v>-0.92576638</v>
      </c>
      <c r="D25" s="110">
        <v>-1.0281777000000001</v>
      </c>
      <c r="E25" s="1">
        <v>-1.1362676</v>
      </c>
      <c r="F25" s="1">
        <v>-1.0142241000000001</v>
      </c>
      <c r="G25" s="1">
        <v>-0.95891696999999998</v>
      </c>
      <c r="H25" s="1">
        <v>-1.19274006</v>
      </c>
      <c r="I25" s="1">
        <v>-1.0651749100000001</v>
      </c>
      <c r="J25" s="1">
        <v>-0.89568755</v>
      </c>
      <c r="K25" s="1">
        <v>-1.00505541</v>
      </c>
      <c r="L25" s="1">
        <v>-0.89315770000000005</v>
      </c>
      <c r="M25" s="1">
        <v>-0.85003178400000001</v>
      </c>
      <c r="N25" s="1">
        <v>-1.071445532</v>
      </c>
      <c r="O25" s="1">
        <v>-0.96624691500000004</v>
      </c>
      <c r="P25" s="1">
        <v>-1.0006138499999999</v>
      </c>
      <c r="Q25" s="1">
        <v>-1.1049522199999999</v>
      </c>
      <c r="R25" s="1">
        <v>-0.98335969999999995</v>
      </c>
      <c r="S25" s="1">
        <v>-0.93626399699999996</v>
      </c>
      <c r="T25" s="1">
        <v>-1.1637916800000001</v>
      </c>
      <c r="U25" s="1">
        <v>-1.0399544169999999</v>
      </c>
    </row>
    <row r="26" spans="1:21" x14ac:dyDescent="0.25">
      <c r="A26" t="s">
        <v>79</v>
      </c>
      <c r="B26" t="s">
        <v>84</v>
      </c>
      <c r="C26" s="1">
        <v>-0.75911941999999999</v>
      </c>
      <c r="D26" s="110">
        <v>-0.93368589999999996</v>
      </c>
      <c r="E26" s="1">
        <v>-1.0591364000000001</v>
      </c>
      <c r="F26" s="1">
        <v>-0.91337809999999997</v>
      </c>
      <c r="G26" s="1">
        <v>-0.73741387000000003</v>
      </c>
      <c r="H26" s="1">
        <v>-0.98265643000000003</v>
      </c>
      <c r="I26" s="1">
        <v>-0.85076677999999994</v>
      </c>
      <c r="J26" s="1">
        <v>-0.79375052999999995</v>
      </c>
      <c r="K26" s="1">
        <v>-0.91733469000000001</v>
      </c>
      <c r="L26" s="1">
        <v>-0.78611509999999996</v>
      </c>
      <c r="M26" s="1">
        <v>-0.62240991899999998</v>
      </c>
      <c r="N26" s="1">
        <v>-0.85157273700000002</v>
      </c>
      <c r="O26" s="1">
        <v>-0.74677526100000002</v>
      </c>
      <c r="P26" s="1">
        <v>-0.89024254000000003</v>
      </c>
      <c r="Q26" s="1">
        <v>-1.0115065000000001</v>
      </c>
      <c r="R26" s="1">
        <v>-0.87014119999999995</v>
      </c>
      <c r="S26" s="1">
        <v>-0.70171052599999995</v>
      </c>
      <c r="T26" s="1">
        <v>-0.93862661000000003</v>
      </c>
      <c r="U26" s="1">
        <v>-0.81543620000000006</v>
      </c>
    </row>
    <row r="27" spans="1:21" x14ac:dyDescent="0.25">
      <c r="A27" t="s">
        <v>79</v>
      </c>
      <c r="B27" t="s">
        <v>86</v>
      </c>
      <c r="C27" s="1">
        <v>-0.70709076000000004</v>
      </c>
      <c r="D27" s="110">
        <v>-0.90623810000000005</v>
      </c>
      <c r="E27" s="1">
        <v>-1.0184036000000001</v>
      </c>
      <c r="F27" s="1">
        <v>-0.81466419999999995</v>
      </c>
      <c r="G27" s="1">
        <v>-0.73819100000000004</v>
      </c>
      <c r="H27" s="1">
        <v>-0.94253180000000003</v>
      </c>
      <c r="I27" s="1">
        <v>-0.66717177000000005</v>
      </c>
      <c r="J27" s="1">
        <v>-0.69069873000000004</v>
      </c>
      <c r="K27" s="1">
        <v>-0.79964672999999997</v>
      </c>
      <c r="L27" s="1">
        <v>-0.61870849999999999</v>
      </c>
      <c r="M27" s="1">
        <v>-0.56105300999999996</v>
      </c>
      <c r="N27" s="1">
        <v>-0.74030955399999998</v>
      </c>
      <c r="O27" s="1">
        <v>-0.50704883000000001</v>
      </c>
      <c r="P27" s="1">
        <v>-0.84876985999999999</v>
      </c>
      <c r="Q27" s="1">
        <v>-0.95523968000000004</v>
      </c>
      <c r="R27" s="1">
        <v>-0.75697499999999995</v>
      </c>
      <c r="S27" s="1">
        <v>-0.69096155500000001</v>
      </c>
      <c r="T27" s="1">
        <v>-0.88414207</v>
      </c>
      <c r="U27" s="1">
        <v>-0.62003168900000005</v>
      </c>
    </row>
    <row r="28" spans="1:21" x14ac:dyDescent="0.25">
      <c r="A28" t="s">
        <v>79</v>
      </c>
      <c r="B28" t="s">
        <v>88</v>
      </c>
      <c r="C28" s="1">
        <v>-0.92598828</v>
      </c>
      <c r="D28" s="110">
        <v>-0.9761917</v>
      </c>
      <c r="E28" s="1">
        <v>-1.0793263</v>
      </c>
      <c r="F28" s="1">
        <v>-0.88307259999999999</v>
      </c>
      <c r="G28" s="1">
        <v>-0.94220550000000003</v>
      </c>
      <c r="H28" s="1">
        <v>-1.1412513900000001</v>
      </c>
      <c r="I28" s="1">
        <v>-0.89023158000000002</v>
      </c>
      <c r="J28" s="1">
        <v>-0.90624320999999997</v>
      </c>
      <c r="K28" s="1">
        <v>-1.0142156600000001</v>
      </c>
      <c r="L28" s="1">
        <v>-0.81837009999999999</v>
      </c>
      <c r="M28" s="1">
        <v>-0.88471931299999995</v>
      </c>
      <c r="N28" s="1">
        <v>-1.081062075</v>
      </c>
      <c r="O28" s="1">
        <v>-0.83736066200000003</v>
      </c>
      <c r="P28" s="1">
        <v>-0.98366547000000004</v>
      </c>
      <c r="Q28" s="1">
        <v>-1.0853557</v>
      </c>
      <c r="R28" s="1">
        <v>-0.88372870000000003</v>
      </c>
      <c r="S28" s="1">
        <v>-0.94834771600000001</v>
      </c>
      <c r="T28" s="1">
        <v>-1.1468250200000001</v>
      </c>
      <c r="U28" s="1">
        <v>-0.89076776999999996</v>
      </c>
    </row>
    <row r="29" spans="1:21" x14ac:dyDescent="0.25">
      <c r="A29" t="s">
        <v>90</v>
      </c>
      <c r="B29" t="s">
        <v>91</v>
      </c>
      <c r="C29" s="1">
        <v>-0.27395921000000001</v>
      </c>
      <c r="D29" s="110">
        <v>-0.35767260000000001</v>
      </c>
      <c r="E29" s="1">
        <v>-0.49972030000000001</v>
      </c>
      <c r="F29" s="1">
        <v>-0.54252529999999999</v>
      </c>
      <c r="G29" s="1">
        <v>-0.12522836000000001</v>
      </c>
      <c r="H29" s="1">
        <v>-0.25266789000000001</v>
      </c>
      <c r="I29" s="1">
        <v>-0.42773113000000001</v>
      </c>
      <c r="J29" s="1">
        <v>-0.41312567</v>
      </c>
      <c r="K29" s="1">
        <v>-0.56413630000000003</v>
      </c>
      <c r="L29" s="1">
        <v>-0.59140550000000003</v>
      </c>
      <c r="M29" s="1">
        <v>-0.17080171299999999</v>
      </c>
      <c r="N29" s="1">
        <v>-0.31221500499999999</v>
      </c>
      <c r="O29" s="1">
        <v>-0.46767307600000002</v>
      </c>
      <c r="P29" s="1">
        <v>-0.47348885000000002</v>
      </c>
      <c r="Q29" s="1">
        <v>-0.62215308000000002</v>
      </c>
      <c r="R29" s="1">
        <v>-0.64355300000000004</v>
      </c>
      <c r="S29" s="1">
        <v>-0.22041034900000001</v>
      </c>
      <c r="T29" s="1">
        <v>-0.36584661000000002</v>
      </c>
      <c r="U29" s="1">
        <v>-0.51028478799999999</v>
      </c>
    </row>
    <row r="30" spans="1:21" x14ac:dyDescent="0.25">
      <c r="A30" t="s">
        <v>92</v>
      </c>
      <c r="B30" t="s">
        <v>93</v>
      </c>
      <c r="C30" s="1">
        <v>-0.25937893000000001</v>
      </c>
      <c r="D30" s="110">
        <v>-0.43423240000000002</v>
      </c>
      <c r="E30" s="1">
        <v>-0.44902180000000003</v>
      </c>
      <c r="F30" s="1">
        <v>-0.49533329999999998</v>
      </c>
      <c r="G30" s="1">
        <v>-0.23822565000000001</v>
      </c>
      <c r="H30" s="1">
        <v>-0.19972715999999999</v>
      </c>
      <c r="I30" s="1">
        <v>-0.38638546000000001</v>
      </c>
      <c r="J30" s="1">
        <v>-0.27892582999999999</v>
      </c>
      <c r="K30" s="1">
        <v>-0.28768540999999997</v>
      </c>
      <c r="L30" s="1">
        <v>-0.35483779999999998</v>
      </c>
      <c r="M30" s="1">
        <v>-0.110589143</v>
      </c>
      <c r="N30" s="1">
        <v>-5.0585273E-2</v>
      </c>
      <c r="O30" s="1">
        <v>-0.27158116700000001</v>
      </c>
      <c r="P30" s="1">
        <v>-0.52405237999999998</v>
      </c>
      <c r="Q30" s="1">
        <v>-0.54493488999999995</v>
      </c>
      <c r="R30" s="1">
        <v>-0.57669740000000003</v>
      </c>
      <c r="S30" s="1">
        <v>-0.31204297600000003</v>
      </c>
      <c r="T30" s="1">
        <v>-0.28839065000000003</v>
      </c>
      <c r="U30" s="1">
        <v>-0.45287114699999997</v>
      </c>
    </row>
    <row r="31" spans="1:21" x14ac:dyDescent="0.25">
      <c r="A31" t="s">
        <v>95</v>
      </c>
      <c r="B31" t="s">
        <v>96</v>
      </c>
      <c r="C31" s="1">
        <v>-0.40677303999999997</v>
      </c>
      <c r="D31" s="110">
        <v>-0.50975559999999998</v>
      </c>
      <c r="E31" s="1">
        <v>-0.58910569999999995</v>
      </c>
      <c r="F31" s="1">
        <v>-0.55206350000000004</v>
      </c>
      <c r="G31" s="1">
        <v>-0.27861785999999999</v>
      </c>
      <c r="H31" s="1">
        <v>-0.46130722000000002</v>
      </c>
      <c r="I31" s="1">
        <v>-0.42416879000000002</v>
      </c>
      <c r="J31" s="1">
        <v>-0.53476743000000004</v>
      </c>
      <c r="K31" s="1">
        <v>-0.62007159000000001</v>
      </c>
      <c r="L31" s="1">
        <v>-0.57375019999999999</v>
      </c>
      <c r="M31" s="1">
        <v>-0.29917347300000002</v>
      </c>
      <c r="N31" s="1">
        <v>-0.48993255400000002</v>
      </c>
      <c r="O31" s="1">
        <v>-0.44188978099999998</v>
      </c>
      <c r="P31" s="1">
        <v>-0.57378846999999999</v>
      </c>
      <c r="Q31" s="1">
        <v>-0.65648806999999998</v>
      </c>
      <c r="R31" s="1">
        <v>-0.60695299999999996</v>
      </c>
      <c r="S31" s="1">
        <v>-0.33124237000000001</v>
      </c>
      <c r="T31" s="1">
        <v>-0.52359650999999996</v>
      </c>
      <c r="U31" s="1">
        <v>-0.469021138</v>
      </c>
    </row>
    <row r="32" spans="1:21" x14ac:dyDescent="0.25">
      <c r="A32" t="s">
        <v>98</v>
      </c>
      <c r="B32" t="s">
        <v>99</v>
      </c>
      <c r="C32" s="1">
        <v>-0.40081977000000002</v>
      </c>
      <c r="D32" s="110">
        <v>-0.58647419999999995</v>
      </c>
      <c r="E32" s="1">
        <v>-0.67298460000000004</v>
      </c>
      <c r="F32" s="1">
        <v>-0.62508909999999995</v>
      </c>
      <c r="G32" s="1">
        <v>-0.24263491000000001</v>
      </c>
      <c r="H32" s="1">
        <v>-0.47089635000000002</v>
      </c>
      <c r="I32" s="1">
        <v>-0.41792846</v>
      </c>
      <c r="J32" s="1">
        <v>-0.57122932999999998</v>
      </c>
      <c r="K32" s="1">
        <v>-0.66207669000000002</v>
      </c>
      <c r="L32" s="1">
        <v>-0.61036829999999997</v>
      </c>
      <c r="M32" s="1">
        <v>-0.23010609200000001</v>
      </c>
      <c r="N32" s="1">
        <v>-0.460812901</v>
      </c>
      <c r="O32" s="1">
        <v>-0.40589956999999999</v>
      </c>
      <c r="P32" s="1">
        <v>-0.61072751999999997</v>
      </c>
      <c r="Q32" s="1">
        <v>-0.69771782999999998</v>
      </c>
      <c r="R32" s="1">
        <v>-0.64340799999999998</v>
      </c>
      <c r="S32" s="1">
        <v>-0.26256712999999998</v>
      </c>
      <c r="T32" s="1">
        <v>-0.49376012000000002</v>
      </c>
      <c r="U32" s="1">
        <v>-0.43289759500000002</v>
      </c>
    </row>
    <row r="33" spans="1:21" x14ac:dyDescent="0.25">
      <c r="A33" t="s">
        <v>101</v>
      </c>
      <c r="B33" t="s">
        <v>102</v>
      </c>
      <c r="C33" s="1">
        <v>-0.38851071999999998</v>
      </c>
      <c r="D33" s="110">
        <v>-0.54873479999999997</v>
      </c>
      <c r="E33" s="1">
        <v>-0.61478160000000004</v>
      </c>
      <c r="F33" s="1">
        <v>-0.65674100000000002</v>
      </c>
      <c r="G33" s="1">
        <v>-0.27572566999999998</v>
      </c>
      <c r="H33" s="1">
        <v>-0.35221328000000002</v>
      </c>
      <c r="I33" s="1">
        <v>-0.45138252000000001</v>
      </c>
      <c r="J33" s="1">
        <v>-0.50509879999999996</v>
      </c>
      <c r="K33" s="1">
        <v>-0.56839594999999998</v>
      </c>
      <c r="L33" s="1">
        <v>-0.6174655</v>
      </c>
      <c r="M33" s="1">
        <v>-0.23986401900000001</v>
      </c>
      <c r="N33" s="1">
        <v>-0.30933364099999999</v>
      </c>
      <c r="O33" s="1">
        <v>-0.41928897100000001</v>
      </c>
      <c r="P33" s="1">
        <v>-0.61390075</v>
      </c>
      <c r="Q33" s="1">
        <v>-0.68474407000000004</v>
      </c>
      <c r="R33" s="1">
        <v>-0.71694979999999997</v>
      </c>
      <c r="S33" s="1">
        <v>-0.32928138099999998</v>
      </c>
      <c r="T33" s="1">
        <v>-0.41688763000000001</v>
      </c>
      <c r="U33" s="1">
        <v>-0.500581426</v>
      </c>
    </row>
    <row r="34" spans="1:21" x14ac:dyDescent="0.25">
      <c r="A34" t="s">
        <v>104</v>
      </c>
      <c r="B34" t="s">
        <v>105</v>
      </c>
      <c r="C34" s="1">
        <v>-0.28468961999999998</v>
      </c>
      <c r="D34" s="110">
        <v>-0.4041247</v>
      </c>
      <c r="E34" s="1">
        <v>-0.43456669999999997</v>
      </c>
      <c r="F34" s="1">
        <v>-0.48235070000000002</v>
      </c>
      <c r="G34" s="1">
        <v>-0.12382798</v>
      </c>
      <c r="H34" s="1">
        <v>-0.26029527000000002</v>
      </c>
      <c r="I34" s="1">
        <v>-0.35548627999999999</v>
      </c>
      <c r="J34" s="1">
        <v>-0.45156151</v>
      </c>
      <c r="K34" s="1">
        <v>-0.48708095000000001</v>
      </c>
      <c r="L34" s="1">
        <v>-0.52465329999999999</v>
      </c>
      <c r="M34" s="1">
        <v>-0.16281326600000001</v>
      </c>
      <c r="N34" s="1">
        <v>-0.308840279</v>
      </c>
      <c r="O34" s="1">
        <v>-0.39005338699999997</v>
      </c>
      <c r="P34" s="1">
        <v>-0.45758064999999998</v>
      </c>
      <c r="Q34" s="1">
        <v>-0.49109074000000003</v>
      </c>
      <c r="R34" s="1">
        <v>-0.52902530000000003</v>
      </c>
      <c r="S34" s="1">
        <v>-0.16776002000000001</v>
      </c>
      <c r="T34" s="1">
        <v>-0.31254697999999997</v>
      </c>
      <c r="U34" s="1">
        <v>-0.39362596799999999</v>
      </c>
    </row>
    <row r="35" spans="1:21" x14ac:dyDescent="0.25">
      <c r="A35" t="s">
        <v>106</v>
      </c>
      <c r="B35" t="s">
        <v>107</v>
      </c>
      <c r="C35" s="1">
        <v>-0.24803687999999999</v>
      </c>
      <c r="D35" s="110">
        <v>-0.4918341</v>
      </c>
      <c r="E35" s="1">
        <v>-0.48642920000000001</v>
      </c>
      <c r="F35" s="1">
        <v>-0.57142550000000003</v>
      </c>
      <c r="G35" s="1">
        <v>-0.12304697000000001</v>
      </c>
      <c r="H35" s="1">
        <v>-0.16151847</v>
      </c>
      <c r="I35" s="1">
        <v>-0.37897243000000003</v>
      </c>
      <c r="J35" s="1">
        <v>-0.40497440000000001</v>
      </c>
      <c r="K35" s="1">
        <v>-0.39487488999999998</v>
      </c>
      <c r="L35" s="1">
        <v>-0.4930987</v>
      </c>
      <c r="M35" s="1">
        <v>-5.1662545999999997E-2</v>
      </c>
      <c r="N35" s="1">
        <v>-7.6884209999999995E-2</v>
      </c>
      <c r="O35" s="1">
        <v>-0.31496860399999999</v>
      </c>
      <c r="P35" s="1">
        <v>-0.42777978999999999</v>
      </c>
      <c r="Q35" s="1">
        <v>-0.41802039000000002</v>
      </c>
      <c r="R35" s="1">
        <v>-0.5133721</v>
      </c>
      <c r="S35" s="1">
        <v>-7.0404833999999999E-2</v>
      </c>
      <c r="T35" s="1">
        <v>-9.8280270000000003E-2</v>
      </c>
      <c r="U35" s="1">
        <v>-0.33153479499999999</v>
      </c>
    </row>
    <row r="36" spans="1:21" x14ac:dyDescent="0.25">
      <c r="A36" t="s">
        <v>109</v>
      </c>
      <c r="B36" t="s">
        <v>110</v>
      </c>
      <c r="C36" s="1">
        <v>-0.37339062000000001</v>
      </c>
      <c r="D36" s="110">
        <v>-0.5274143</v>
      </c>
      <c r="E36" s="1">
        <v>-0.55016010000000004</v>
      </c>
      <c r="F36" s="1">
        <v>-0.6039525</v>
      </c>
      <c r="G36" s="1">
        <v>-0.27984112</v>
      </c>
      <c r="H36" s="1">
        <v>-0.30344269000000001</v>
      </c>
      <c r="I36" s="1">
        <v>-0.49278702000000002</v>
      </c>
      <c r="J36" s="1">
        <v>-0.48585475</v>
      </c>
      <c r="K36" s="1">
        <v>-0.50628167999999996</v>
      </c>
      <c r="L36" s="1">
        <v>-0.56648940000000003</v>
      </c>
      <c r="M36" s="1">
        <v>-0.24568600600000001</v>
      </c>
      <c r="N36" s="1">
        <v>-0.26288077599999998</v>
      </c>
      <c r="O36" s="1">
        <v>-0.462174482</v>
      </c>
      <c r="P36" s="1">
        <v>-0.49625105000000003</v>
      </c>
      <c r="Q36" s="1">
        <v>-0.51689478</v>
      </c>
      <c r="R36" s="1">
        <v>-0.5757603</v>
      </c>
      <c r="S36" s="1">
        <v>-0.25423006100000001</v>
      </c>
      <c r="T36" s="1">
        <v>-0.27269168999999999</v>
      </c>
      <c r="U36" s="1">
        <v>-0.469750047</v>
      </c>
    </row>
    <row r="37" spans="1:21" x14ac:dyDescent="0.25">
      <c r="A37" t="s">
        <v>112</v>
      </c>
      <c r="B37" t="s">
        <v>113</v>
      </c>
      <c r="C37" s="1">
        <v>-0.28794564</v>
      </c>
      <c r="D37" s="110">
        <v>-0.4567292</v>
      </c>
      <c r="E37" s="1">
        <v>-0.45674300000000001</v>
      </c>
      <c r="F37" s="1">
        <v>-0.53383000000000003</v>
      </c>
      <c r="G37" s="1">
        <v>-0.20780377999999999</v>
      </c>
      <c r="H37" s="1">
        <v>-0.18075869</v>
      </c>
      <c r="I37" s="1">
        <v>-0.39665488999999998</v>
      </c>
      <c r="J37" s="1">
        <v>-0.39299089999999998</v>
      </c>
      <c r="K37" s="1">
        <v>-0.38936690000000002</v>
      </c>
      <c r="L37" s="1">
        <v>-0.47638960000000002</v>
      </c>
      <c r="M37" s="1">
        <v>-0.155421371</v>
      </c>
      <c r="N37" s="1">
        <v>-0.118475213</v>
      </c>
      <c r="O37" s="1">
        <v>-0.34971812099999999</v>
      </c>
      <c r="P37" s="1">
        <v>-0.39523222000000002</v>
      </c>
      <c r="Q37" s="1">
        <v>-0.39107240999999998</v>
      </c>
      <c r="R37" s="1">
        <v>-0.4781166</v>
      </c>
      <c r="S37" s="1">
        <v>-0.15726337100000001</v>
      </c>
      <c r="T37" s="1">
        <v>-0.12005180999999999</v>
      </c>
      <c r="U37" s="1">
        <v>-0.35112936</v>
      </c>
    </row>
    <row r="38" spans="1:21" x14ac:dyDescent="0.25">
      <c r="A38" t="s">
        <v>115</v>
      </c>
      <c r="B38" t="s">
        <v>116</v>
      </c>
      <c r="C38" s="1">
        <v>-0.37849503000000001</v>
      </c>
      <c r="D38" s="110">
        <v>-0.54726730000000001</v>
      </c>
      <c r="E38" s="1">
        <v>-0.51419749999999997</v>
      </c>
      <c r="F38" s="1">
        <v>-0.60308890000000004</v>
      </c>
      <c r="G38" s="1">
        <v>-0.35708283000000002</v>
      </c>
      <c r="H38" s="1">
        <v>-0.24000477000000001</v>
      </c>
      <c r="I38" s="1">
        <v>-0.46661985</v>
      </c>
      <c r="J38" s="1">
        <v>-0.42895084</v>
      </c>
      <c r="K38" s="1">
        <v>-0.38642400999999998</v>
      </c>
      <c r="L38" s="1">
        <v>-0.4969732</v>
      </c>
      <c r="M38" s="1">
        <v>-0.259846095</v>
      </c>
      <c r="N38" s="1">
        <v>-0.121888976</v>
      </c>
      <c r="O38" s="1">
        <v>-0.37990859999999999</v>
      </c>
      <c r="P38" s="1">
        <v>-0.44965691000000002</v>
      </c>
      <c r="Q38" s="1">
        <v>-0.41067457000000002</v>
      </c>
      <c r="R38" s="1">
        <v>-0.51688909999999999</v>
      </c>
      <c r="S38" s="1">
        <v>-0.27686309100000001</v>
      </c>
      <c r="T38" s="1">
        <v>-0.14430657</v>
      </c>
      <c r="U38" s="1">
        <v>-0.396182692</v>
      </c>
    </row>
    <row r="39" spans="1:21" x14ac:dyDescent="0.25">
      <c r="A39" t="s">
        <v>118</v>
      </c>
      <c r="B39" t="s">
        <v>119</v>
      </c>
      <c r="C39" s="1">
        <v>-0.49524517000000001</v>
      </c>
      <c r="D39" s="110">
        <v>-0.62249149999999998</v>
      </c>
      <c r="E39" s="1">
        <v>-0.64084660000000004</v>
      </c>
      <c r="F39" s="1">
        <v>-0.66862080000000002</v>
      </c>
      <c r="G39" s="1">
        <v>-0.47480699999999998</v>
      </c>
      <c r="H39" s="1">
        <v>-0.53480486000000005</v>
      </c>
      <c r="I39" s="1">
        <v>-0.70997222999999998</v>
      </c>
      <c r="J39" s="1">
        <v>-0.51531068000000002</v>
      </c>
      <c r="K39" s="1">
        <v>-0.53168402999999997</v>
      </c>
      <c r="L39" s="1">
        <v>-0.57125029999999999</v>
      </c>
      <c r="M39" s="1">
        <v>-0.38672192399999999</v>
      </c>
      <c r="N39" s="1">
        <v>-0.433893268</v>
      </c>
      <c r="O39" s="1">
        <v>-0.63040703499999995</v>
      </c>
      <c r="P39" s="1">
        <v>-0.67534348</v>
      </c>
      <c r="Q39" s="1">
        <v>-0.69672188999999995</v>
      </c>
      <c r="R39" s="1">
        <v>-0.71473640000000005</v>
      </c>
      <c r="S39" s="1">
        <v>-0.518242643</v>
      </c>
      <c r="T39" s="1">
        <v>-0.58645681000000005</v>
      </c>
      <c r="U39" s="1">
        <v>-0.74765503700000002</v>
      </c>
    </row>
    <row r="40" spans="1:21" x14ac:dyDescent="0.25">
      <c r="A40" t="s">
        <v>121</v>
      </c>
      <c r="B40" t="s">
        <v>122</v>
      </c>
      <c r="C40" s="1">
        <v>-0.31920544000000001</v>
      </c>
      <c r="D40" s="110">
        <v>-0.51017939999999995</v>
      </c>
      <c r="E40" s="1">
        <v>-0.61662709999999998</v>
      </c>
      <c r="F40" s="1">
        <v>-0.54231680000000004</v>
      </c>
      <c r="G40" s="1">
        <v>-0.30158950000000001</v>
      </c>
      <c r="H40" s="1">
        <v>-0.42317550999999998</v>
      </c>
      <c r="I40" s="1">
        <v>-0.44118168000000002</v>
      </c>
      <c r="J40" s="1">
        <v>-0.35668573999999997</v>
      </c>
      <c r="K40" s="1">
        <v>-0.45533864000000002</v>
      </c>
      <c r="L40" s="1">
        <v>-0.40380739999999998</v>
      </c>
      <c r="M40" s="1">
        <v>-0.17544285500000001</v>
      </c>
      <c r="N40" s="1">
        <v>-0.27407801300000001</v>
      </c>
      <c r="O40" s="1">
        <v>-0.32800032299999998</v>
      </c>
      <c r="P40" s="1">
        <v>-0.43900819000000002</v>
      </c>
      <c r="Q40" s="1">
        <v>-0.54061097999999996</v>
      </c>
      <c r="R40" s="1">
        <v>-0.47779300000000002</v>
      </c>
      <c r="S40" s="1">
        <v>-0.24309841200000001</v>
      </c>
      <c r="T40" s="1">
        <v>-0.35290507999999998</v>
      </c>
      <c r="U40" s="1">
        <v>-0.388456829</v>
      </c>
    </row>
    <row r="41" spans="1:21" x14ac:dyDescent="0.25">
      <c r="A41" t="s">
        <v>123</v>
      </c>
      <c r="B41" t="s">
        <v>124</v>
      </c>
      <c r="C41" s="1">
        <v>-0.42803846000000001</v>
      </c>
      <c r="D41" s="110">
        <v>-0.59090940000000003</v>
      </c>
      <c r="E41" s="1">
        <v>-0.58948719999999999</v>
      </c>
      <c r="F41" s="1">
        <v>-0.57887690000000003</v>
      </c>
      <c r="G41" s="1">
        <v>-0.37994738</v>
      </c>
      <c r="H41" s="1">
        <v>-0.31999523000000002</v>
      </c>
      <c r="I41" s="1">
        <v>-0.47077970000000002</v>
      </c>
      <c r="J41" s="1">
        <v>-0.49088778</v>
      </c>
      <c r="K41" s="1">
        <v>-0.48605356</v>
      </c>
      <c r="L41" s="1">
        <v>-0.48830499999999999</v>
      </c>
      <c r="M41" s="1">
        <v>-0.29774598899999999</v>
      </c>
      <c r="N41" s="1">
        <v>-0.224379615</v>
      </c>
      <c r="O41" s="1">
        <v>-0.39676994100000001</v>
      </c>
      <c r="P41" s="1">
        <v>-0.58695666000000002</v>
      </c>
      <c r="Q41" s="1">
        <v>-0.58496981000000003</v>
      </c>
      <c r="R41" s="1">
        <v>-0.57436750000000003</v>
      </c>
      <c r="S41" s="1">
        <v>-0.376698849</v>
      </c>
      <c r="T41" s="1">
        <v>-0.31581932000000001</v>
      </c>
      <c r="U41" s="1">
        <v>-0.46709488799999999</v>
      </c>
    </row>
    <row r="42" spans="1:21" x14ac:dyDescent="0.25">
      <c r="A42" t="s">
        <v>126</v>
      </c>
      <c r="B42" t="s">
        <v>127</v>
      </c>
      <c r="C42" s="1">
        <v>-0.33627120999999999</v>
      </c>
      <c r="D42" s="110">
        <v>-0.53475539999999999</v>
      </c>
      <c r="E42" s="1">
        <v>-0.53282339999999995</v>
      </c>
      <c r="F42" s="1">
        <v>-0.55477719999999997</v>
      </c>
      <c r="G42" s="1">
        <v>-0.27247649000000002</v>
      </c>
      <c r="H42" s="1">
        <v>-0.30218175000000003</v>
      </c>
      <c r="I42" s="1">
        <v>-0.49652716000000002</v>
      </c>
      <c r="J42" s="1">
        <v>-0.4162614</v>
      </c>
      <c r="K42" s="1">
        <v>-0.40809455</v>
      </c>
      <c r="L42" s="1">
        <v>-0.44789180000000001</v>
      </c>
      <c r="M42" s="1">
        <v>-0.17509385799999999</v>
      </c>
      <c r="N42" s="1">
        <v>-0.186880509</v>
      </c>
      <c r="O42" s="1">
        <v>-0.40918698599999997</v>
      </c>
      <c r="P42" s="1">
        <v>-0.53311436000000001</v>
      </c>
      <c r="Q42" s="1">
        <v>-0.53126722000000004</v>
      </c>
      <c r="R42" s="1">
        <v>-0.55390539999999999</v>
      </c>
      <c r="S42" s="1">
        <v>-0.27112783299999998</v>
      </c>
      <c r="T42" s="1">
        <v>-0.30074321999999998</v>
      </c>
      <c r="U42" s="1">
        <v>-0.49581476099999999</v>
      </c>
    </row>
    <row r="43" spans="1:21" x14ac:dyDescent="0.25">
      <c r="A43" t="s">
        <v>129</v>
      </c>
      <c r="B43" t="s">
        <v>130</v>
      </c>
      <c r="C43" s="1">
        <v>-0.64828569000000003</v>
      </c>
      <c r="D43" s="110">
        <v>-0.87132209999999999</v>
      </c>
      <c r="E43" s="1">
        <v>-0.92743810000000004</v>
      </c>
      <c r="F43" s="1">
        <v>-0.87201010000000001</v>
      </c>
      <c r="G43" s="1">
        <v>-0.47951329999999998</v>
      </c>
      <c r="H43" s="1">
        <v>-0.62863798999999998</v>
      </c>
      <c r="I43" s="1">
        <v>-0.64770961000000005</v>
      </c>
      <c r="J43" s="1">
        <v>-0.84089429999999998</v>
      </c>
      <c r="K43" s="1">
        <v>-0.89045383</v>
      </c>
      <c r="L43" s="1">
        <v>-0.84549799999999997</v>
      </c>
      <c r="M43" s="1">
        <v>-0.454506629</v>
      </c>
      <c r="N43" s="1">
        <v>-0.59444914800000004</v>
      </c>
      <c r="O43" s="1">
        <v>-0.62604549399999998</v>
      </c>
      <c r="P43" s="1">
        <v>-0.85329763000000003</v>
      </c>
      <c r="Q43" s="1">
        <v>-0.90940679000000002</v>
      </c>
      <c r="R43" s="1">
        <v>-0.85949200000000003</v>
      </c>
      <c r="S43" s="1">
        <v>-0.46470012799999999</v>
      </c>
      <c r="T43" s="1">
        <v>-0.61196954999999997</v>
      </c>
      <c r="U43" s="1">
        <v>-0.637480555</v>
      </c>
    </row>
    <row r="44" spans="1:21" x14ac:dyDescent="0.25">
      <c r="A44" t="s">
        <v>131</v>
      </c>
      <c r="B44" t="s">
        <v>132</v>
      </c>
      <c r="C44" s="1">
        <v>-0.24290456999999999</v>
      </c>
      <c r="D44" s="110">
        <v>-0.5885648</v>
      </c>
      <c r="E44" s="1">
        <v>-0.61375480000000004</v>
      </c>
      <c r="F44" s="1">
        <v>-0.60598640000000004</v>
      </c>
      <c r="G44" s="1">
        <v>-0.17788388999999999</v>
      </c>
      <c r="H44" s="1">
        <v>-0.22006350999999999</v>
      </c>
      <c r="I44" s="1">
        <v>-0.36747358000000002</v>
      </c>
      <c r="J44" s="1">
        <v>-0.33439270999999998</v>
      </c>
      <c r="K44" s="1">
        <v>-0.33859123000000002</v>
      </c>
      <c r="L44" s="1">
        <v>-0.37815179999999998</v>
      </c>
      <c r="M44" s="1">
        <v>3.1003876999999999E-2</v>
      </c>
      <c r="N44" s="1">
        <v>3.430192E-2</v>
      </c>
      <c r="O44" s="1">
        <v>-0.18130119</v>
      </c>
      <c r="P44" s="1">
        <v>-0.57688671999999996</v>
      </c>
      <c r="Q44" s="1">
        <v>-0.60355223000000002</v>
      </c>
      <c r="R44" s="1">
        <v>-0.60251270000000001</v>
      </c>
      <c r="S44" s="1">
        <v>-0.16828642999999999</v>
      </c>
      <c r="T44" s="1">
        <v>-0.21063211000000001</v>
      </c>
      <c r="U44" s="1">
        <v>-0.36463515299999999</v>
      </c>
    </row>
    <row r="45" spans="1:21" x14ac:dyDescent="0.25">
      <c r="A45" t="s">
        <v>134</v>
      </c>
      <c r="B45" t="s">
        <v>135</v>
      </c>
      <c r="C45" s="1">
        <v>-3.2777109999999998E-2</v>
      </c>
      <c r="D45" s="110">
        <v>-0.46222859999999999</v>
      </c>
      <c r="E45" s="1">
        <v>-0.4889657</v>
      </c>
      <c r="F45" s="1">
        <v>-0.53606560000000003</v>
      </c>
      <c r="G45" s="1">
        <v>0.12059238999999999</v>
      </c>
      <c r="H45" s="1">
        <v>6.9293439999999998E-2</v>
      </c>
      <c r="I45" s="1">
        <v>-0.21490823000000001</v>
      </c>
      <c r="J45" s="1">
        <v>-0.22258217</v>
      </c>
      <c r="K45" s="1">
        <v>-0.22934915</v>
      </c>
      <c r="L45" s="1">
        <v>-0.32128519999999999</v>
      </c>
      <c r="M45" s="1">
        <v>0.31754242999999999</v>
      </c>
      <c r="N45" s="1">
        <v>0.30928699300000001</v>
      </c>
      <c r="O45" s="1">
        <v>-3.9402882E-2</v>
      </c>
      <c r="P45" s="1">
        <v>-0.45172166000000002</v>
      </c>
      <c r="Q45" s="1">
        <v>-0.47992943999999998</v>
      </c>
      <c r="R45" s="1">
        <v>-0.53338870000000005</v>
      </c>
      <c r="S45" s="1">
        <v>0.12922734599999999</v>
      </c>
      <c r="T45" s="1">
        <v>7.7646720000000002E-2</v>
      </c>
      <c r="U45" s="1">
        <v>-0.21272079599999999</v>
      </c>
    </row>
    <row r="46" spans="1:21" x14ac:dyDescent="0.25">
      <c r="A46" t="s">
        <v>137</v>
      </c>
      <c r="B46" t="s">
        <v>138</v>
      </c>
      <c r="C46" s="1">
        <v>-0.46011026999999999</v>
      </c>
      <c r="D46" s="110">
        <v>-0.70836319999999997</v>
      </c>
      <c r="E46" s="1">
        <v>-0.77595510000000001</v>
      </c>
      <c r="F46" s="1">
        <v>-0.76342410000000005</v>
      </c>
      <c r="G46" s="1">
        <v>-0.32149446999999998</v>
      </c>
      <c r="H46" s="1">
        <v>-0.51923511</v>
      </c>
      <c r="I46" s="1">
        <v>-0.70185467999999995</v>
      </c>
      <c r="J46" s="1">
        <v>-0.62778959000000001</v>
      </c>
      <c r="K46" s="1">
        <v>-0.68988864999999999</v>
      </c>
      <c r="L46" s="1">
        <v>-0.6909805</v>
      </c>
      <c r="M46" s="1">
        <v>-0.25527617600000002</v>
      </c>
      <c r="N46" s="1">
        <v>-0.439674012</v>
      </c>
      <c r="O46" s="1">
        <v>-0.64265821999999995</v>
      </c>
      <c r="P46" s="1">
        <v>-0.64638700999999998</v>
      </c>
      <c r="Q46" s="1">
        <v>-0.71003791000000005</v>
      </c>
      <c r="R46" s="1">
        <v>-0.70810740000000005</v>
      </c>
      <c r="S46" s="1">
        <v>-0.270560201</v>
      </c>
      <c r="T46" s="1">
        <v>-0.45830029999999999</v>
      </c>
      <c r="U46" s="1">
        <v>-0.65665328499999998</v>
      </c>
    </row>
    <row r="47" spans="1:21" x14ac:dyDescent="0.25">
      <c r="A47" t="s">
        <v>140</v>
      </c>
      <c r="B47" t="s">
        <v>141</v>
      </c>
      <c r="C47" s="1">
        <v>-0.42516847000000002</v>
      </c>
      <c r="D47" s="110">
        <v>-0.76900880000000005</v>
      </c>
      <c r="E47" s="1">
        <v>-0.79681179999999996</v>
      </c>
      <c r="F47" s="1">
        <v>-0.75052260000000004</v>
      </c>
      <c r="G47" s="1">
        <v>-0.28556047000000001</v>
      </c>
      <c r="H47" s="1">
        <v>-0.40502876999999998</v>
      </c>
      <c r="I47" s="1">
        <v>-0.46860944999999998</v>
      </c>
      <c r="J47" s="1">
        <v>-0.61237008000000004</v>
      </c>
      <c r="K47" s="1">
        <v>-0.63069132999999999</v>
      </c>
      <c r="L47" s="1">
        <v>-0.60946330000000004</v>
      </c>
      <c r="M47" s="1">
        <v>-0.15682910899999999</v>
      </c>
      <c r="N47" s="1">
        <v>-0.25146444800000001</v>
      </c>
      <c r="O47" s="1">
        <v>-0.35334442799999999</v>
      </c>
      <c r="P47" s="1">
        <v>-0.64189147000000002</v>
      </c>
      <c r="Q47" s="1">
        <v>-0.66126987999999998</v>
      </c>
      <c r="R47" s="1">
        <v>-0.63599470000000002</v>
      </c>
      <c r="S47" s="1">
        <v>-0.181090846</v>
      </c>
      <c r="T47" s="1">
        <v>-0.27973173000000001</v>
      </c>
      <c r="U47" s="1">
        <v>-0.37502427700000002</v>
      </c>
    </row>
    <row r="48" spans="1:21" x14ac:dyDescent="0.25">
      <c r="A48" t="s">
        <v>143</v>
      </c>
      <c r="B48" t="s">
        <v>144</v>
      </c>
      <c r="C48" s="1">
        <v>-0.73450592000000003</v>
      </c>
      <c r="D48" s="110">
        <v>-0.89447169999999998</v>
      </c>
      <c r="E48" s="1">
        <v>-0.86128590000000005</v>
      </c>
      <c r="F48" s="1">
        <v>-0.89553309999999997</v>
      </c>
      <c r="G48" s="1">
        <v>-0.69990286999999995</v>
      </c>
      <c r="H48" s="1">
        <v>-0.68084739000000005</v>
      </c>
      <c r="I48" s="1">
        <v>-0.82123893000000003</v>
      </c>
      <c r="J48" s="1">
        <v>-0.78796940000000004</v>
      </c>
      <c r="K48" s="1">
        <v>-0.74516623999999998</v>
      </c>
      <c r="L48" s="1">
        <v>-0.80022159999999998</v>
      </c>
      <c r="M48" s="1">
        <v>-0.61237545000000004</v>
      </c>
      <c r="N48" s="1">
        <v>-0.57350458800000004</v>
      </c>
      <c r="O48" s="1">
        <v>-0.74335625900000002</v>
      </c>
      <c r="P48" s="1">
        <v>-0.85801932000000003</v>
      </c>
      <c r="Q48" s="1">
        <v>-0.82342046999999996</v>
      </c>
      <c r="R48" s="1">
        <v>-0.86583270000000001</v>
      </c>
      <c r="S48" s="1">
        <v>-0.66994499299999999</v>
      </c>
      <c r="T48" s="1">
        <v>-0.64584399999999997</v>
      </c>
      <c r="U48" s="1">
        <v>-0.796969606</v>
      </c>
    </row>
    <row r="49" spans="1:21" x14ac:dyDescent="0.25">
      <c r="A49" t="s">
        <v>146</v>
      </c>
      <c r="B49" t="s">
        <v>147</v>
      </c>
      <c r="C49" s="1">
        <v>-0.54674084999999994</v>
      </c>
      <c r="D49" s="110">
        <v>-0.64436530000000003</v>
      </c>
      <c r="E49" s="1">
        <v>-0.68328840000000002</v>
      </c>
      <c r="F49" s="1">
        <v>-0.70609169999999999</v>
      </c>
      <c r="G49" s="1">
        <v>-0.49957664000000002</v>
      </c>
      <c r="H49" s="1">
        <v>-0.49333204000000003</v>
      </c>
      <c r="I49" s="1">
        <v>-0.60303583000000005</v>
      </c>
      <c r="J49" s="1">
        <v>-0.59947934000000003</v>
      </c>
      <c r="K49" s="1">
        <v>-0.63457173</v>
      </c>
      <c r="L49" s="1">
        <v>-0.66588020000000003</v>
      </c>
      <c r="M49" s="1">
        <v>-0.46268775899999998</v>
      </c>
      <c r="N49" s="1">
        <v>-0.44829757100000001</v>
      </c>
      <c r="O49" s="1">
        <v>-0.57017747600000002</v>
      </c>
      <c r="P49" s="1">
        <v>-0.65961913999999999</v>
      </c>
      <c r="Q49" s="1">
        <v>-0.70005854000000001</v>
      </c>
      <c r="R49" s="1">
        <v>-0.721418</v>
      </c>
      <c r="S49" s="1">
        <v>-0.51211281600000003</v>
      </c>
      <c r="T49" s="1">
        <v>-0.50883458999999998</v>
      </c>
      <c r="U49" s="1">
        <v>-0.61555957100000003</v>
      </c>
    </row>
    <row r="50" spans="1:21" x14ac:dyDescent="0.25">
      <c r="A50" t="s">
        <v>148</v>
      </c>
      <c r="B50" t="s">
        <v>149</v>
      </c>
      <c r="C50" s="1">
        <v>-0.54616385999999995</v>
      </c>
      <c r="D50" s="110">
        <v>-0.79123569999999999</v>
      </c>
      <c r="E50" s="1">
        <v>-0.89459100000000003</v>
      </c>
      <c r="F50" s="1">
        <v>-0.85232470000000005</v>
      </c>
      <c r="G50" s="1">
        <v>-0.42656097999999998</v>
      </c>
      <c r="H50" s="1">
        <v>-0.62240653999999995</v>
      </c>
      <c r="I50" s="1">
        <v>-0.67221858999999995</v>
      </c>
      <c r="J50" s="1">
        <v>-0.68882125000000005</v>
      </c>
      <c r="K50" s="1">
        <v>-0.78343417000000004</v>
      </c>
      <c r="L50" s="1">
        <v>-0.76057609999999998</v>
      </c>
      <c r="M50" s="1">
        <v>-0.34239311700000002</v>
      </c>
      <c r="N50" s="1">
        <v>-0.519651486</v>
      </c>
      <c r="O50" s="1">
        <v>-0.59724730800000003</v>
      </c>
      <c r="P50" s="1">
        <v>-0.75456604999999999</v>
      </c>
      <c r="Q50" s="1">
        <v>-0.85632392000000002</v>
      </c>
      <c r="R50" s="1">
        <v>-0.82189599999999996</v>
      </c>
      <c r="S50" s="1">
        <v>-0.39642456300000001</v>
      </c>
      <c r="T50" s="1">
        <v>-0.58703189</v>
      </c>
      <c r="U50" s="1">
        <v>-0.64735417200000001</v>
      </c>
    </row>
    <row r="51" spans="1:21" x14ac:dyDescent="0.25">
      <c r="A51" t="s">
        <v>151</v>
      </c>
      <c r="B51" t="s">
        <v>152</v>
      </c>
      <c r="C51" s="1">
        <v>-0.27498006000000003</v>
      </c>
      <c r="D51" s="110">
        <v>-0.56051499999999999</v>
      </c>
      <c r="E51" s="1">
        <v>-0.54030929999999999</v>
      </c>
      <c r="F51" s="1">
        <v>-0.56220199999999998</v>
      </c>
      <c r="G51" s="1">
        <v>-0.17266508</v>
      </c>
      <c r="H51" s="1">
        <v>-0.21750694000000001</v>
      </c>
      <c r="I51" s="1">
        <v>-0.44450888999999999</v>
      </c>
      <c r="J51" s="1">
        <v>-0.40223239</v>
      </c>
      <c r="K51" s="1">
        <v>-0.37665242999999998</v>
      </c>
      <c r="L51" s="1">
        <v>-0.41886879999999999</v>
      </c>
      <c r="M51" s="1">
        <v>-4.2582746999999997E-2</v>
      </c>
      <c r="N51" s="1">
        <v>-6.6220006999999997E-2</v>
      </c>
      <c r="O51" s="1">
        <v>-0.32738582300000002</v>
      </c>
      <c r="P51" s="1">
        <v>-0.55478039999999995</v>
      </c>
      <c r="Q51" s="1">
        <v>-0.53371197000000004</v>
      </c>
      <c r="R51" s="1">
        <v>-0.55552299999999999</v>
      </c>
      <c r="S51" s="1">
        <v>-0.16795219</v>
      </c>
      <c r="T51" s="1">
        <v>-0.21140827000000001</v>
      </c>
      <c r="U51" s="1">
        <v>-0.43905124099999998</v>
      </c>
    </row>
    <row r="52" spans="1:21" x14ac:dyDescent="0.25">
      <c r="A52" t="s">
        <v>153</v>
      </c>
      <c r="B52" t="s">
        <v>154</v>
      </c>
      <c r="C52" s="1">
        <v>-0.44947827000000001</v>
      </c>
      <c r="D52" s="110">
        <v>-0.68544959999999999</v>
      </c>
      <c r="E52" s="1">
        <v>-0.73571790000000004</v>
      </c>
      <c r="F52" s="1">
        <v>-0.70114779999999999</v>
      </c>
      <c r="G52" s="1">
        <v>-0.32431515</v>
      </c>
      <c r="H52" s="1">
        <v>-0.51339162999999999</v>
      </c>
      <c r="I52" s="1">
        <v>-0.65978886000000003</v>
      </c>
      <c r="J52" s="1">
        <v>-0.59620945000000003</v>
      </c>
      <c r="K52" s="1">
        <v>-0.64332555000000002</v>
      </c>
      <c r="L52" s="1">
        <v>-0.62035929999999995</v>
      </c>
      <c r="M52" s="1">
        <v>-0.250974421</v>
      </c>
      <c r="N52" s="1">
        <v>-0.42798274400000003</v>
      </c>
      <c r="O52" s="1">
        <v>-0.59377341699999997</v>
      </c>
      <c r="P52" s="1">
        <v>-0.66652900000000004</v>
      </c>
      <c r="Q52" s="1">
        <v>-0.71523088000000001</v>
      </c>
      <c r="R52" s="1">
        <v>-0.68312200000000001</v>
      </c>
      <c r="S52" s="1">
        <v>-0.30876556599999999</v>
      </c>
      <c r="T52" s="1">
        <v>-0.49445314000000001</v>
      </c>
      <c r="U52" s="1">
        <v>-0.64505927600000001</v>
      </c>
    </row>
    <row r="53" spans="1:21" x14ac:dyDescent="0.25">
      <c r="A53" t="s">
        <v>156</v>
      </c>
      <c r="B53" t="s">
        <v>157</v>
      </c>
      <c r="C53" s="1">
        <v>-0.19517019999999999</v>
      </c>
      <c r="D53" s="110">
        <v>-0.52371160000000005</v>
      </c>
      <c r="E53" s="1">
        <v>-0.58468149999999997</v>
      </c>
      <c r="F53" s="1">
        <v>-0.55526569999999997</v>
      </c>
      <c r="G53" s="1">
        <v>-5.8654570000000003E-2</v>
      </c>
      <c r="H53" s="1">
        <v>-0.25499048000000002</v>
      </c>
      <c r="I53" s="1">
        <v>-0.44819989999999998</v>
      </c>
      <c r="J53" s="1">
        <v>-0.38257185999999999</v>
      </c>
      <c r="K53" s="1">
        <v>-0.43213484000000002</v>
      </c>
      <c r="L53" s="1">
        <v>-0.42870390000000003</v>
      </c>
      <c r="M53" s="1">
        <v>5.733916E-2</v>
      </c>
      <c r="N53" s="1">
        <v>-0.11397400000000001</v>
      </c>
      <c r="O53" s="1">
        <v>-0.34478138800000002</v>
      </c>
      <c r="P53" s="1">
        <v>-0.35411775000000001</v>
      </c>
      <c r="Q53" s="1">
        <v>-0.40430424999999998</v>
      </c>
      <c r="R53" s="1">
        <v>-0.40389750000000002</v>
      </c>
      <c r="S53" s="1">
        <v>8.0723772999999999E-2</v>
      </c>
      <c r="T53" s="1">
        <v>-8.8246969999999994E-2</v>
      </c>
      <c r="U53" s="1">
        <v>-0.32451113999999998</v>
      </c>
    </row>
    <row r="54" spans="1:21" x14ac:dyDescent="0.25">
      <c r="A54" t="s">
        <v>159</v>
      </c>
      <c r="B54" t="s">
        <v>160</v>
      </c>
      <c r="C54" s="1">
        <v>-0.69519264000000003</v>
      </c>
      <c r="D54" s="110">
        <v>-0.98277460000000005</v>
      </c>
      <c r="E54" s="1">
        <v>-1.0120735999999999</v>
      </c>
      <c r="F54" s="1">
        <v>-0.93832130000000002</v>
      </c>
      <c r="G54" s="1">
        <v>-0.65394125999999997</v>
      </c>
      <c r="H54" s="1">
        <v>-0.81495784000000004</v>
      </c>
      <c r="I54" s="1">
        <v>-0.96536010999999999</v>
      </c>
      <c r="J54" s="1">
        <v>-0.76413047000000001</v>
      </c>
      <c r="K54" s="1">
        <v>-0.78589962000000002</v>
      </c>
      <c r="L54" s="1">
        <v>-0.74034759999999999</v>
      </c>
      <c r="M54" s="1">
        <v>-0.474251653</v>
      </c>
      <c r="N54" s="1">
        <v>-0.60587913800000004</v>
      </c>
      <c r="O54" s="1">
        <v>-0.80358815900000002</v>
      </c>
      <c r="P54" s="1">
        <v>-0.92001920999999998</v>
      </c>
      <c r="Q54" s="1">
        <v>-0.94427251999999995</v>
      </c>
      <c r="R54" s="1">
        <v>-0.87900310000000004</v>
      </c>
      <c r="S54" s="1">
        <v>-0.60236663800000001</v>
      </c>
      <c r="T54" s="1">
        <v>-0.75228147999999995</v>
      </c>
      <c r="U54" s="1">
        <v>-0.91688887500000005</v>
      </c>
    </row>
    <row r="55" spans="1:21" x14ac:dyDescent="0.25">
      <c r="A55" t="s">
        <v>162</v>
      </c>
      <c r="B55" t="s">
        <v>163</v>
      </c>
      <c r="C55" s="1">
        <v>-0.41071005999999999</v>
      </c>
      <c r="D55" s="110">
        <v>-0.71601990000000004</v>
      </c>
      <c r="E55" s="1">
        <v>-0.80887430000000005</v>
      </c>
      <c r="F55" s="1">
        <v>-0.73220240000000003</v>
      </c>
      <c r="G55" s="1">
        <v>-0.29813137000000001</v>
      </c>
      <c r="H55" s="1">
        <v>-0.60035733999999996</v>
      </c>
      <c r="I55" s="1">
        <v>-0.62956011999999995</v>
      </c>
      <c r="J55" s="1">
        <v>-0.55092279</v>
      </c>
      <c r="K55" s="1">
        <v>-0.63501700999999999</v>
      </c>
      <c r="L55" s="1">
        <v>-0.58329330000000001</v>
      </c>
      <c r="M55" s="1">
        <v>-0.162448643</v>
      </c>
      <c r="N55" s="1">
        <v>-0.43964096000000003</v>
      </c>
      <c r="O55" s="1">
        <v>-0.50788079100000005</v>
      </c>
      <c r="P55" s="1">
        <v>-0.66496639000000002</v>
      </c>
      <c r="Q55" s="1">
        <v>-0.75450640000000002</v>
      </c>
      <c r="R55" s="1">
        <v>-0.68642150000000002</v>
      </c>
      <c r="S55" s="1">
        <v>-0.25617378499999999</v>
      </c>
      <c r="T55" s="1">
        <v>-0.55009878999999995</v>
      </c>
      <c r="U55" s="1">
        <v>-0.59215077999999999</v>
      </c>
    </row>
    <row r="56" spans="1:21" x14ac:dyDescent="0.25">
      <c r="A56" t="s">
        <v>165</v>
      </c>
      <c r="B56" t="s">
        <v>166</v>
      </c>
      <c r="C56" s="1">
        <v>-0.38044132000000003</v>
      </c>
      <c r="D56" s="110">
        <v>-0.66347920000000005</v>
      </c>
      <c r="E56" s="1">
        <v>-0.67826730000000002</v>
      </c>
      <c r="F56" s="1">
        <v>-0.69022410000000001</v>
      </c>
      <c r="G56" s="1">
        <v>-0.29438336999999998</v>
      </c>
      <c r="H56" s="1">
        <v>-0.37995757000000002</v>
      </c>
      <c r="I56" s="1">
        <v>-0.53879619999999995</v>
      </c>
      <c r="J56" s="1">
        <v>-0.49707626999999999</v>
      </c>
      <c r="K56" s="1">
        <v>-0.50556314999999996</v>
      </c>
      <c r="L56" s="1">
        <v>-0.53966029999999998</v>
      </c>
      <c r="M56" s="1">
        <v>-0.15762746999999999</v>
      </c>
      <c r="N56" s="1">
        <v>-0.22030722899999999</v>
      </c>
      <c r="O56" s="1">
        <v>-0.415764772</v>
      </c>
      <c r="P56" s="1">
        <v>-0.60393065999999995</v>
      </c>
      <c r="Q56" s="1">
        <v>-0.61418465</v>
      </c>
      <c r="R56" s="1">
        <v>-0.63473210000000002</v>
      </c>
      <c r="S56" s="1">
        <v>-0.245444254</v>
      </c>
      <c r="T56" s="1">
        <v>-0.32071862000000001</v>
      </c>
      <c r="U56" s="1">
        <v>-0.49345158900000002</v>
      </c>
    </row>
    <row r="57" spans="1:21" x14ac:dyDescent="0.25">
      <c r="A57" t="s">
        <v>167</v>
      </c>
      <c r="B57" t="s">
        <v>168</v>
      </c>
      <c r="C57" s="1">
        <v>-0.67026914000000004</v>
      </c>
      <c r="D57" s="110">
        <v>-0.91668899999999998</v>
      </c>
      <c r="E57" s="1">
        <v>-0.97187239999999997</v>
      </c>
      <c r="F57" s="1">
        <v>-0.9050743</v>
      </c>
      <c r="G57" s="1">
        <v>-0.78857767000000001</v>
      </c>
      <c r="H57" s="1">
        <v>-0.88281920999999997</v>
      </c>
      <c r="I57" s="1">
        <v>-1.0093433300000001</v>
      </c>
      <c r="J57" s="1">
        <v>-0.57445581000000001</v>
      </c>
      <c r="K57" s="1">
        <v>-0.61291271999999997</v>
      </c>
      <c r="L57" s="1">
        <v>-0.59612739999999997</v>
      </c>
      <c r="M57" s="1">
        <v>-0.50731813299999995</v>
      </c>
      <c r="N57" s="1">
        <v>-0.550991385</v>
      </c>
      <c r="O57" s="1">
        <v>-0.75689089399999998</v>
      </c>
      <c r="P57" s="1">
        <v>-0.80923867999999999</v>
      </c>
      <c r="Q57" s="1">
        <v>-0.85708492999999997</v>
      </c>
      <c r="R57" s="1">
        <v>-0.80758890000000005</v>
      </c>
      <c r="S57" s="1">
        <v>-0.70027114499999998</v>
      </c>
      <c r="T57" s="1">
        <v>-0.77670793999999999</v>
      </c>
      <c r="U57" s="1">
        <v>-0.92968427099999995</v>
      </c>
    </row>
    <row r="58" spans="1:21" x14ac:dyDescent="0.25">
      <c r="A58" t="s">
        <v>170</v>
      </c>
      <c r="B58" t="s">
        <v>171</v>
      </c>
      <c r="C58" s="1">
        <v>-0.42560230999999998</v>
      </c>
      <c r="D58" s="110">
        <v>-0.65544659999999999</v>
      </c>
      <c r="E58" s="1">
        <v>-0.63134809999999997</v>
      </c>
      <c r="F58" s="1">
        <v>-0.66592580000000001</v>
      </c>
      <c r="G58" s="1">
        <v>-0.37712699</v>
      </c>
      <c r="H58" s="1">
        <v>-0.34384128000000003</v>
      </c>
      <c r="I58" s="1">
        <v>-0.49756381</v>
      </c>
      <c r="J58" s="1">
        <v>-0.49894864999999999</v>
      </c>
      <c r="K58" s="1">
        <v>-0.46913778</v>
      </c>
      <c r="L58" s="1">
        <v>-0.52428390000000002</v>
      </c>
      <c r="M58" s="1">
        <v>-0.248511378</v>
      </c>
      <c r="N58" s="1">
        <v>-0.193891595</v>
      </c>
      <c r="O58" s="1">
        <v>-0.381822779</v>
      </c>
      <c r="P58" s="1">
        <v>-0.61332301</v>
      </c>
      <c r="Q58" s="1">
        <v>-0.58588998999999997</v>
      </c>
      <c r="R58" s="1">
        <v>-0.62627330000000003</v>
      </c>
      <c r="S58" s="1">
        <v>-0.34250834800000002</v>
      </c>
      <c r="T58" s="1">
        <v>-0.30181912999999999</v>
      </c>
      <c r="U58" s="1">
        <v>-0.46516219599999997</v>
      </c>
    </row>
    <row r="59" spans="1:21" x14ac:dyDescent="0.25">
      <c r="A59" t="s">
        <v>173</v>
      </c>
      <c r="B59" t="s">
        <v>174</v>
      </c>
      <c r="C59" s="1">
        <v>-0.2914272</v>
      </c>
      <c r="D59" s="110">
        <v>-0.6883726</v>
      </c>
      <c r="E59" s="1">
        <v>-0.7327285</v>
      </c>
      <c r="F59" s="1">
        <v>-0.71875560000000005</v>
      </c>
      <c r="G59" s="1">
        <v>-0.18485101000000001</v>
      </c>
      <c r="H59" s="1">
        <v>-0.34810868</v>
      </c>
      <c r="I59" s="1">
        <v>-0.48895644999999999</v>
      </c>
      <c r="J59" s="1">
        <v>-0.43507140999999999</v>
      </c>
      <c r="K59" s="1">
        <v>-0.46782782000000001</v>
      </c>
      <c r="L59" s="1">
        <v>-0.48994379999999998</v>
      </c>
      <c r="M59" s="1">
        <v>2.3321014000000001E-2</v>
      </c>
      <c r="N59" s="1">
        <v>-0.103230448</v>
      </c>
      <c r="O59" s="1">
        <v>-0.30198547999999997</v>
      </c>
      <c r="P59" s="1">
        <v>-0.63025418</v>
      </c>
      <c r="Q59" s="1">
        <v>-0.67050284000000004</v>
      </c>
      <c r="R59" s="1">
        <v>-0.66559259999999998</v>
      </c>
      <c r="S59" s="1">
        <v>-0.13708722300000001</v>
      </c>
      <c r="T59" s="1">
        <v>-0.29058635999999999</v>
      </c>
      <c r="U59" s="1">
        <v>-0.44551491700000001</v>
      </c>
    </row>
    <row r="60" spans="1:21" x14ac:dyDescent="0.25">
      <c r="A60" t="s">
        <v>176</v>
      </c>
      <c r="B60" t="s">
        <v>177</v>
      </c>
      <c r="C60" s="1">
        <v>-0.55273274999999999</v>
      </c>
      <c r="D60" s="110">
        <v>-0.85803390000000002</v>
      </c>
      <c r="E60" s="1">
        <v>-0.84964740000000005</v>
      </c>
      <c r="F60" s="1">
        <v>-0.83138840000000003</v>
      </c>
      <c r="G60" s="1">
        <v>-0.5065518</v>
      </c>
      <c r="H60" s="1">
        <v>-0.62014659000000005</v>
      </c>
      <c r="I60" s="1">
        <v>-0.66535646000000004</v>
      </c>
      <c r="J60" s="1">
        <v>-0.63855154999999997</v>
      </c>
      <c r="K60" s="1">
        <v>-0.61772119000000003</v>
      </c>
      <c r="L60" s="1">
        <v>-0.6335771</v>
      </c>
      <c r="M60" s="1">
        <v>-0.3261733</v>
      </c>
      <c r="N60" s="1">
        <v>-0.40575045599999998</v>
      </c>
      <c r="O60" s="1">
        <v>-0.50371725199999995</v>
      </c>
      <c r="P60" s="1">
        <v>-0.73605684000000005</v>
      </c>
      <c r="Q60" s="1">
        <v>-0.71963147000000005</v>
      </c>
      <c r="R60" s="1">
        <v>-0.72163279999999996</v>
      </c>
      <c r="S60" s="1">
        <v>-0.40630665900000001</v>
      </c>
      <c r="T60" s="1">
        <v>-0.49995789000000002</v>
      </c>
      <c r="U60" s="1">
        <v>-0.57567096399999995</v>
      </c>
    </row>
    <row r="61" spans="1:21" x14ac:dyDescent="0.25">
      <c r="A61" t="s">
        <v>179</v>
      </c>
      <c r="B61" t="s">
        <v>180</v>
      </c>
      <c r="C61" s="1">
        <v>-0.82586634000000003</v>
      </c>
      <c r="D61" s="110">
        <v>-1.023323</v>
      </c>
      <c r="E61" s="1">
        <v>-1.0433497</v>
      </c>
      <c r="F61" s="1">
        <v>-0.98962899999999998</v>
      </c>
      <c r="G61" s="1">
        <v>-0.88591520000000001</v>
      </c>
      <c r="H61" s="1">
        <v>-0.95700995</v>
      </c>
      <c r="I61" s="1">
        <v>-0.96536951000000004</v>
      </c>
      <c r="J61" s="1">
        <v>-0.78742215999999998</v>
      </c>
      <c r="K61" s="1">
        <v>-0.79874210000000001</v>
      </c>
      <c r="L61" s="1">
        <v>-0.77613980000000005</v>
      </c>
      <c r="M61" s="1">
        <v>-0.69204337100000002</v>
      </c>
      <c r="N61" s="1">
        <v>-0.73089094700000001</v>
      </c>
      <c r="O61" s="1">
        <v>-0.79091929400000005</v>
      </c>
      <c r="P61" s="1">
        <v>-0.93221626999999996</v>
      </c>
      <c r="Q61" s="1">
        <v>-0.94528637000000004</v>
      </c>
      <c r="R61" s="1">
        <v>-0.90466729999999995</v>
      </c>
      <c r="S61" s="1">
        <v>-0.81104038599999995</v>
      </c>
      <c r="T61" s="1">
        <v>-0.86635872999999997</v>
      </c>
      <c r="U61" s="1">
        <v>-0.89594407099999995</v>
      </c>
    </row>
    <row r="62" spans="1:21" x14ac:dyDescent="0.25">
      <c r="A62" t="s">
        <v>181</v>
      </c>
      <c r="B62" t="s">
        <v>182</v>
      </c>
      <c r="C62" s="1">
        <v>-0.40757186000000001</v>
      </c>
      <c r="D62" s="110">
        <v>-0.68901480000000004</v>
      </c>
      <c r="E62" s="1">
        <v>-0.71254189999999995</v>
      </c>
      <c r="F62" s="1">
        <v>-0.67427119999999996</v>
      </c>
      <c r="G62" s="1">
        <v>-0.32390746999999998</v>
      </c>
      <c r="H62" s="1">
        <v>-0.45574229999999999</v>
      </c>
      <c r="I62" s="1">
        <v>-0.66490521000000002</v>
      </c>
      <c r="J62" s="1">
        <v>-0.50042600000000004</v>
      </c>
      <c r="K62" s="1">
        <v>-0.51777255</v>
      </c>
      <c r="L62" s="1">
        <v>-0.50345220000000002</v>
      </c>
      <c r="M62" s="1">
        <v>-0.16891843500000001</v>
      </c>
      <c r="N62" s="1">
        <v>-0.27569453700000002</v>
      </c>
      <c r="O62" s="1">
        <v>-0.525322395</v>
      </c>
      <c r="P62" s="1">
        <v>-0.76321605999999997</v>
      </c>
      <c r="Q62" s="1">
        <v>-0.79139442000000004</v>
      </c>
      <c r="R62" s="1">
        <v>-0.74028930000000004</v>
      </c>
      <c r="S62" s="1">
        <v>-0.38488877300000002</v>
      </c>
      <c r="T62" s="1">
        <v>-0.52863481000000001</v>
      </c>
      <c r="U62" s="1">
        <v>-0.71885110600000002</v>
      </c>
    </row>
    <row r="63" spans="1:21" x14ac:dyDescent="0.25">
      <c r="A63" t="s">
        <v>181</v>
      </c>
      <c r="B63" t="s">
        <v>184</v>
      </c>
      <c r="C63" s="1">
        <v>-0.47417894999999999</v>
      </c>
      <c r="D63" s="110">
        <v>-0.77253050000000001</v>
      </c>
      <c r="E63" s="1">
        <v>-0.76593860000000002</v>
      </c>
      <c r="F63" s="1">
        <v>-0.73742379999999996</v>
      </c>
      <c r="G63" s="1">
        <v>-0.45802600999999998</v>
      </c>
      <c r="H63" s="1">
        <v>-0.50212098000000005</v>
      </c>
      <c r="I63" s="1">
        <v>-0.57412218000000004</v>
      </c>
      <c r="J63" s="1">
        <v>-0.50631000000000004</v>
      </c>
      <c r="K63" s="1">
        <v>-0.48849656000000002</v>
      </c>
      <c r="L63" s="1">
        <v>-0.4967588</v>
      </c>
      <c r="M63" s="1">
        <v>-0.23923640600000001</v>
      </c>
      <c r="N63" s="1">
        <v>-0.24564924699999999</v>
      </c>
      <c r="O63" s="1">
        <v>-0.37746553700000002</v>
      </c>
      <c r="P63" s="1">
        <v>-0.79609178999999997</v>
      </c>
      <c r="Q63" s="1">
        <v>-0.79093444999999996</v>
      </c>
      <c r="R63" s="1">
        <v>-0.75825379999999998</v>
      </c>
      <c r="S63" s="1">
        <v>-0.47738952000000001</v>
      </c>
      <c r="T63" s="1">
        <v>-0.52522749000000002</v>
      </c>
      <c r="U63" s="1">
        <v>-0.59114318200000004</v>
      </c>
    </row>
    <row r="64" spans="1:21" x14ac:dyDescent="0.25">
      <c r="A64" t="s">
        <v>186</v>
      </c>
      <c r="B64" t="s">
        <v>187</v>
      </c>
      <c r="C64" s="1">
        <v>-0.30236797999999998</v>
      </c>
      <c r="D64" s="110">
        <v>-0.58681079999999997</v>
      </c>
      <c r="E64" s="1">
        <v>-0.6350422</v>
      </c>
      <c r="F64" s="1">
        <v>-0.62161719999999998</v>
      </c>
      <c r="G64" s="1">
        <v>-0.20555209999999999</v>
      </c>
      <c r="H64" s="1">
        <v>-0.43096077999999999</v>
      </c>
      <c r="I64" s="1">
        <v>-0.57847895000000005</v>
      </c>
      <c r="J64" s="1">
        <v>-0.41796201999999999</v>
      </c>
      <c r="K64" s="1">
        <v>-0.45960421000000001</v>
      </c>
      <c r="L64" s="1">
        <v>-0.4688773</v>
      </c>
      <c r="M64" s="1">
        <v>-6.6786123000000003E-2</v>
      </c>
      <c r="N64" s="1">
        <v>-0.26878321999999999</v>
      </c>
      <c r="O64" s="1">
        <v>-0.45366928499999998</v>
      </c>
      <c r="P64" s="1">
        <v>-0.59109734999999997</v>
      </c>
      <c r="Q64" s="1">
        <v>-0.63935487000000002</v>
      </c>
      <c r="R64" s="1">
        <v>-0.62467090000000003</v>
      </c>
      <c r="S64" s="1">
        <v>-0.209074972</v>
      </c>
      <c r="T64" s="1">
        <v>-0.43494748999999999</v>
      </c>
      <c r="U64" s="1">
        <v>-0.58097426600000002</v>
      </c>
    </row>
    <row r="65" spans="1:21" x14ac:dyDescent="0.25">
      <c r="A65" t="s">
        <v>189</v>
      </c>
      <c r="B65" t="s">
        <v>190</v>
      </c>
      <c r="C65" s="1">
        <v>-0.46630419000000001</v>
      </c>
      <c r="D65" s="110">
        <v>-0.69465529999999998</v>
      </c>
      <c r="E65" s="1">
        <v>-0.72523470000000001</v>
      </c>
      <c r="F65" s="1">
        <v>-0.66356669999999995</v>
      </c>
      <c r="G65" s="1">
        <v>-0.41223286999999997</v>
      </c>
      <c r="H65" s="1">
        <v>-0.51562927999999997</v>
      </c>
      <c r="I65" s="1">
        <v>-0.56346563999999999</v>
      </c>
      <c r="J65" s="1">
        <v>-0.53787008999999997</v>
      </c>
      <c r="K65" s="1">
        <v>-0.56007967999999997</v>
      </c>
      <c r="L65" s="1">
        <v>-0.52216410000000002</v>
      </c>
      <c r="M65" s="1">
        <v>-0.28338115400000002</v>
      </c>
      <c r="N65" s="1">
        <v>-0.36295742199999997</v>
      </c>
      <c r="O65" s="1">
        <v>-0.44792011900000001</v>
      </c>
      <c r="P65" s="1">
        <v>-0.68369875000000002</v>
      </c>
      <c r="Q65" s="1">
        <v>-0.71379839</v>
      </c>
      <c r="R65" s="1">
        <v>-0.65446709999999997</v>
      </c>
      <c r="S65" s="1">
        <v>-0.40322839999999999</v>
      </c>
      <c r="T65" s="1">
        <v>-0.50505736000000001</v>
      </c>
      <c r="U65" s="1">
        <v>-0.55602997799999998</v>
      </c>
    </row>
    <row r="66" spans="1:21" x14ac:dyDescent="0.25">
      <c r="A66" t="s">
        <v>192</v>
      </c>
      <c r="B66" t="s">
        <v>193</v>
      </c>
      <c r="C66" s="1">
        <v>-0.32170190999999998</v>
      </c>
      <c r="D66" s="110">
        <v>-0.65926410000000002</v>
      </c>
      <c r="E66" s="1">
        <v>-0.67825970000000002</v>
      </c>
      <c r="F66" s="1">
        <v>-0.69734149999999995</v>
      </c>
      <c r="G66" s="1">
        <v>-0.20192081000000001</v>
      </c>
      <c r="H66" s="1">
        <v>-0.34622667000000001</v>
      </c>
      <c r="I66" s="1">
        <v>-0.54639839000000001</v>
      </c>
      <c r="J66" s="1">
        <v>-0.46240146999999998</v>
      </c>
      <c r="K66" s="1">
        <v>-0.47074782999999998</v>
      </c>
      <c r="L66" s="1">
        <v>-0.51981999999999995</v>
      </c>
      <c r="M66" s="1">
        <v>-4.0132054E-2</v>
      </c>
      <c r="N66" s="1">
        <v>-0.15439950699999999</v>
      </c>
      <c r="O66" s="1">
        <v>-0.40133872399999998</v>
      </c>
      <c r="P66" s="1">
        <v>-0.69219847999999995</v>
      </c>
      <c r="Q66" s="1">
        <v>-0.71392990999999995</v>
      </c>
      <c r="R66" s="1">
        <v>-0.72874709999999998</v>
      </c>
      <c r="S66" s="1">
        <v>-0.228987513</v>
      </c>
      <c r="T66" s="1">
        <v>-0.37920077000000002</v>
      </c>
      <c r="U66" s="1">
        <v>-0.57206110200000004</v>
      </c>
    </row>
    <row r="67" spans="1:21" x14ac:dyDescent="0.25">
      <c r="A67" t="s">
        <v>195</v>
      </c>
      <c r="B67" t="s">
        <v>196</v>
      </c>
      <c r="C67" s="1">
        <v>-0.44438694000000001</v>
      </c>
      <c r="D67" s="110">
        <v>-0.76913989999999999</v>
      </c>
      <c r="E67" s="1">
        <v>-0.76159960000000004</v>
      </c>
      <c r="F67" s="1">
        <v>-0.75117880000000004</v>
      </c>
      <c r="G67" s="1">
        <v>-0.35472129000000002</v>
      </c>
      <c r="H67" s="1">
        <v>-0.46486214999999997</v>
      </c>
      <c r="I67" s="1">
        <v>-0.57051978000000003</v>
      </c>
      <c r="J67" s="1">
        <v>-0.54452259999999997</v>
      </c>
      <c r="K67" s="1">
        <v>-0.52465247000000004</v>
      </c>
      <c r="L67" s="1">
        <v>-0.54866320000000002</v>
      </c>
      <c r="M67" s="1">
        <v>-0.170122668</v>
      </c>
      <c r="N67" s="1">
        <v>-0.24582454500000001</v>
      </c>
      <c r="O67" s="1">
        <v>-0.40503642299999998</v>
      </c>
      <c r="P67" s="1">
        <v>-0.86208872000000003</v>
      </c>
      <c r="Q67" s="1">
        <v>-0.86163190999999995</v>
      </c>
      <c r="R67" s="1">
        <v>-0.83781530000000004</v>
      </c>
      <c r="S67" s="1">
        <v>-0.431109943</v>
      </c>
      <c r="T67" s="1">
        <v>-0.55733352999999997</v>
      </c>
      <c r="U67" s="1">
        <v>-0.64131382400000003</v>
      </c>
    </row>
    <row r="68" spans="1:21" x14ac:dyDescent="0.25">
      <c r="A68" t="s">
        <v>198</v>
      </c>
      <c r="B68" t="s">
        <v>199</v>
      </c>
      <c r="C68" s="1">
        <v>-0.38137778</v>
      </c>
      <c r="D68" s="110">
        <v>-0.66790649999999996</v>
      </c>
      <c r="E68" s="1">
        <v>-0.64307760000000003</v>
      </c>
      <c r="F68" s="1">
        <v>-0.66260399999999997</v>
      </c>
      <c r="G68" s="1">
        <v>-0.32014182000000002</v>
      </c>
      <c r="H68" s="1">
        <v>-0.26695777999999998</v>
      </c>
      <c r="I68" s="1">
        <v>-0.4322628</v>
      </c>
      <c r="J68" s="1">
        <v>-0.47134814000000003</v>
      </c>
      <c r="K68" s="1">
        <v>-0.43191223000000001</v>
      </c>
      <c r="L68" s="1">
        <v>-0.48610639999999999</v>
      </c>
      <c r="M68" s="1">
        <v>-0.158603037</v>
      </c>
      <c r="N68" s="1">
        <v>-7.1753264999999997E-2</v>
      </c>
      <c r="O68" s="1">
        <v>-0.28803979000000002</v>
      </c>
      <c r="P68" s="1">
        <v>-0.63205433</v>
      </c>
      <c r="Q68" s="1">
        <v>-0.60606919999999997</v>
      </c>
      <c r="R68" s="1">
        <v>-0.63412460000000004</v>
      </c>
      <c r="S68" s="1">
        <v>-0.29067717700000001</v>
      </c>
      <c r="T68" s="1">
        <v>-0.23274665999999999</v>
      </c>
      <c r="U68" s="1">
        <v>-0.40899116299999999</v>
      </c>
    </row>
    <row r="69" spans="1:21" x14ac:dyDescent="0.25">
      <c r="A69" t="s">
        <v>201</v>
      </c>
      <c r="B69" t="s">
        <v>202</v>
      </c>
      <c r="C69" s="1">
        <v>-0.26796256000000002</v>
      </c>
      <c r="D69" s="110">
        <v>-0.62486019999999998</v>
      </c>
      <c r="E69" s="1">
        <v>-0.65459069999999997</v>
      </c>
      <c r="F69" s="1">
        <v>-0.61817359999999999</v>
      </c>
      <c r="G69" s="1">
        <v>-0.10455267</v>
      </c>
      <c r="H69" s="1">
        <v>-0.27827584999999999</v>
      </c>
      <c r="I69" s="1">
        <v>-0.40061662999999997</v>
      </c>
      <c r="J69" s="1">
        <v>-0.46894968999999997</v>
      </c>
      <c r="K69" s="1">
        <v>-0.49009574</v>
      </c>
      <c r="L69" s="1">
        <v>-0.47760920000000001</v>
      </c>
      <c r="M69" s="1">
        <v>2.3580164000000001E-2</v>
      </c>
      <c r="N69" s="1">
        <v>-0.126214147</v>
      </c>
      <c r="O69" s="1">
        <v>-0.28575603700000002</v>
      </c>
      <c r="P69" s="1">
        <v>-0.57199553000000003</v>
      </c>
      <c r="Q69" s="1">
        <v>-0.59834346999999999</v>
      </c>
      <c r="R69" s="1">
        <v>-0.57092339999999997</v>
      </c>
      <c r="S69" s="1">
        <v>-6.110662E-2</v>
      </c>
      <c r="T69" s="1">
        <v>-0.22628001</v>
      </c>
      <c r="U69" s="1">
        <v>-0.36200664300000002</v>
      </c>
    </row>
    <row r="70" spans="1:21" x14ac:dyDescent="0.25">
      <c r="A70" t="s">
        <v>204</v>
      </c>
      <c r="B70" t="s">
        <v>205</v>
      </c>
      <c r="C70" s="1">
        <v>-0.33502994000000003</v>
      </c>
      <c r="D70" s="110">
        <v>-0.65381690000000003</v>
      </c>
      <c r="E70" s="1">
        <v>-0.65487289999999998</v>
      </c>
      <c r="F70" s="1">
        <v>-0.66967569999999998</v>
      </c>
      <c r="G70" s="1">
        <v>-0.23761736999999999</v>
      </c>
      <c r="H70" s="1">
        <v>-0.33708106999999998</v>
      </c>
      <c r="I70" s="1">
        <v>-0.60412882000000001</v>
      </c>
      <c r="J70" s="1">
        <v>-0.46451165999999999</v>
      </c>
      <c r="K70" s="1">
        <v>-0.45431705</v>
      </c>
      <c r="L70" s="1">
        <v>-0.49915949999999998</v>
      </c>
      <c r="M70" s="1">
        <v>-8.2039503999999999E-2</v>
      </c>
      <c r="N70" s="1">
        <v>-0.15168417100000001</v>
      </c>
      <c r="O70" s="1">
        <v>-0.46479353200000001</v>
      </c>
      <c r="P70" s="1">
        <v>-0.60516526000000004</v>
      </c>
      <c r="Q70" s="1">
        <v>-0.60341657000000004</v>
      </c>
      <c r="R70" s="1">
        <v>-0.62715719999999997</v>
      </c>
      <c r="S70" s="1">
        <v>-0.197633697</v>
      </c>
      <c r="T70" s="1">
        <v>-0.28951406000000002</v>
      </c>
      <c r="U70" s="1">
        <v>-0.56938535300000004</v>
      </c>
    </row>
    <row r="71" spans="1:21" x14ac:dyDescent="0.25">
      <c r="A71" t="s">
        <v>206</v>
      </c>
      <c r="B71" t="s">
        <v>207</v>
      </c>
      <c r="C71" s="1">
        <v>-0.53845504</v>
      </c>
      <c r="D71" s="110">
        <v>-0.83181559999999999</v>
      </c>
      <c r="E71" s="1">
        <v>-0.81388850000000001</v>
      </c>
      <c r="F71" s="1">
        <v>-0.82914960000000004</v>
      </c>
      <c r="G71" s="1">
        <v>-0.46379219999999999</v>
      </c>
      <c r="H71" s="1">
        <v>-0.57169101</v>
      </c>
      <c r="I71" s="1">
        <v>-0.75074669999999999</v>
      </c>
      <c r="J71" s="1">
        <v>-0.64533699</v>
      </c>
      <c r="K71" s="1">
        <v>-0.61759037000000006</v>
      </c>
      <c r="L71" s="1">
        <v>-0.66094129999999995</v>
      </c>
      <c r="M71" s="1">
        <v>-0.31053739499999999</v>
      </c>
      <c r="N71" s="1">
        <v>-0.390230044</v>
      </c>
      <c r="O71" s="1">
        <v>-0.61329725300000004</v>
      </c>
      <c r="P71" s="1">
        <v>-0.76531833999999999</v>
      </c>
      <c r="Q71" s="1">
        <v>-0.74300411</v>
      </c>
      <c r="R71" s="1">
        <v>-0.76930050000000005</v>
      </c>
      <c r="S71" s="1">
        <v>-0.40914239600000002</v>
      </c>
      <c r="T71" s="1">
        <v>-0.50616443</v>
      </c>
      <c r="U71" s="1">
        <v>-0.70184167099999994</v>
      </c>
    </row>
    <row r="72" spans="1:21" x14ac:dyDescent="0.25">
      <c r="A72" t="s">
        <v>209</v>
      </c>
      <c r="B72" t="s">
        <v>210</v>
      </c>
      <c r="C72" s="1">
        <v>-0.24041322000000001</v>
      </c>
      <c r="D72" s="110">
        <v>-0.59805269999999999</v>
      </c>
      <c r="E72" s="1">
        <v>-0.6559161</v>
      </c>
      <c r="F72" s="1">
        <v>-0.66442020000000002</v>
      </c>
      <c r="G72" s="1">
        <v>-0.10060875</v>
      </c>
      <c r="H72" s="1">
        <v>-0.37823032000000001</v>
      </c>
      <c r="I72" s="1">
        <v>-0.59190712999999995</v>
      </c>
      <c r="J72" s="1">
        <v>-0.41459038999999998</v>
      </c>
      <c r="K72" s="1">
        <v>-0.46359139999999999</v>
      </c>
      <c r="L72" s="1">
        <v>-0.49878220000000001</v>
      </c>
      <c r="M72" s="1">
        <v>5.0167154999999998E-2</v>
      </c>
      <c r="N72" s="1">
        <v>-0.20044243</v>
      </c>
      <c r="O72" s="1">
        <v>-0.45655789899999999</v>
      </c>
      <c r="P72" s="1">
        <v>-0.54065713999999998</v>
      </c>
      <c r="Q72" s="1">
        <v>-0.59457625999999997</v>
      </c>
      <c r="R72" s="1">
        <v>-0.6122689</v>
      </c>
      <c r="S72" s="1">
        <v>-5.3439037000000002E-2</v>
      </c>
      <c r="T72" s="1">
        <v>-0.32152684999999998</v>
      </c>
      <c r="U72" s="1">
        <v>-0.54929231099999998</v>
      </c>
    </row>
    <row r="73" spans="1:21" x14ac:dyDescent="0.25">
      <c r="A73" t="s">
        <v>211</v>
      </c>
      <c r="B73" t="s">
        <v>212</v>
      </c>
      <c r="C73" s="1">
        <v>-0.53422881</v>
      </c>
      <c r="D73" s="110">
        <v>-0.68377149999999998</v>
      </c>
      <c r="E73" s="1">
        <v>-0.71611659999999999</v>
      </c>
      <c r="F73" s="1">
        <v>-0.74173979999999995</v>
      </c>
      <c r="G73" s="1">
        <v>-0.42951335000000002</v>
      </c>
      <c r="H73" s="1">
        <v>-0.58279676000000002</v>
      </c>
      <c r="I73" s="1">
        <v>-0.71285339999999997</v>
      </c>
      <c r="J73" s="1">
        <v>-0.65493389000000002</v>
      </c>
      <c r="K73" s="1">
        <v>-0.68468507000000001</v>
      </c>
      <c r="L73" s="1">
        <v>-0.71593039999999997</v>
      </c>
      <c r="M73" s="1">
        <v>-0.40581358200000001</v>
      </c>
      <c r="N73" s="1">
        <v>-0.55374098400000005</v>
      </c>
      <c r="O73" s="1">
        <v>-0.69176356699999997</v>
      </c>
      <c r="P73" s="1">
        <v>-0.66181365999999997</v>
      </c>
      <c r="Q73" s="1">
        <v>-0.69291833999999997</v>
      </c>
      <c r="R73" s="1">
        <v>-0.72262959999999998</v>
      </c>
      <c r="S73" s="1">
        <v>-0.411467625</v>
      </c>
      <c r="T73" s="1">
        <v>-0.56135195000000004</v>
      </c>
      <c r="U73" s="1">
        <v>-0.69723776599999998</v>
      </c>
    </row>
    <row r="74" spans="1:21" x14ac:dyDescent="0.25">
      <c r="A74" t="s">
        <v>214</v>
      </c>
      <c r="B74" t="s">
        <v>215</v>
      </c>
      <c r="C74" s="1">
        <v>-0.56976870000000002</v>
      </c>
      <c r="D74" s="110">
        <v>-0.84608709999999998</v>
      </c>
      <c r="E74" s="1">
        <v>-0.90818469999999996</v>
      </c>
      <c r="F74" s="1">
        <v>-0.88390639999999998</v>
      </c>
      <c r="G74" s="1">
        <v>-0.44282881000000002</v>
      </c>
      <c r="H74" s="1">
        <v>-0.55455429000000001</v>
      </c>
      <c r="I74" s="1">
        <v>-0.72881613999999995</v>
      </c>
      <c r="J74" s="1">
        <v>-0.73909491999999999</v>
      </c>
      <c r="K74" s="1">
        <v>-0.79269086</v>
      </c>
      <c r="L74" s="1">
        <v>-0.78793780000000002</v>
      </c>
      <c r="M74" s="1">
        <v>-0.35489881200000001</v>
      </c>
      <c r="N74" s="1">
        <v>-0.447790046</v>
      </c>
      <c r="O74" s="1">
        <v>-0.65039647</v>
      </c>
      <c r="P74" s="1">
        <v>-0.71374013999999997</v>
      </c>
      <c r="Q74" s="1">
        <v>-0.76735975999999995</v>
      </c>
      <c r="R74" s="1">
        <v>-0.76558539999999997</v>
      </c>
      <c r="S74" s="1">
        <v>-0.33406134199999998</v>
      </c>
      <c r="T74" s="1">
        <v>-0.42437359000000002</v>
      </c>
      <c r="U74" s="1">
        <v>-0.63213146099999995</v>
      </c>
    </row>
    <row r="75" spans="1:21" x14ac:dyDescent="0.25">
      <c r="A75" t="s">
        <v>217</v>
      </c>
      <c r="B75" t="s">
        <v>218</v>
      </c>
      <c r="C75" s="1">
        <v>-0.58228279999999999</v>
      </c>
      <c r="D75" s="110">
        <v>-0.79776760000000002</v>
      </c>
      <c r="E75" s="1">
        <v>-0.76449520000000004</v>
      </c>
      <c r="F75" s="1">
        <v>-0.74323850000000002</v>
      </c>
      <c r="G75" s="1">
        <v>-0.53571075999999995</v>
      </c>
      <c r="H75" s="1">
        <v>-0.42847888000000001</v>
      </c>
      <c r="I75" s="1">
        <v>-0.61231276000000001</v>
      </c>
      <c r="J75" s="1">
        <v>-0.65714762000000004</v>
      </c>
      <c r="K75" s="1">
        <v>-0.61489119000000003</v>
      </c>
      <c r="L75" s="1">
        <v>-0.61669370000000001</v>
      </c>
      <c r="M75" s="1">
        <v>-0.42014423000000001</v>
      </c>
      <c r="N75" s="1">
        <v>-0.29018263500000002</v>
      </c>
      <c r="O75" s="1">
        <v>-0.50890817700000002</v>
      </c>
      <c r="P75" s="1">
        <v>-0.73755371999999997</v>
      </c>
      <c r="Q75" s="1">
        <v>-0.70064844999999998</v>
      </c>
      <c r="R75" s="1">
        <v>-0.69010879999999997</v>
      </c>
      <c r="S75" s="1">
        <v>-0.48622486100000001</v>
      </c>
      <c r="T75" s="1">
        <v>-0.36945795999999997</v>
      </c>
      <c r="U75" s="1">
        <v>-0.56889844599999995</v>
      </c>
    </row>
    <row r="76" spans="1:21" x14ac:dyDescent="0.25">
      <c r="A76" t="s">
        <v>220</v>
      </c>
      <c r="B76" t="s">
        <v>221</v>
      </c>
      <c r="C76" s="1">
        <v>-0.43200737</v>
      </c>
      <c r="D76" s="110">
        <v>-0.74262819999999996</v>
      </c>
      <c r="E76" s="1">
        <v>-0.80461269999999996</v>
      </c>
      <c r="F76" s="1">
        <v>-0.77110330000000005</v>
      </c>
      <c r="G76" s="1">
        <v>-0.44139292000000002</v>
      </c>
      <c r="H76" s="1">
        <v>-0.51121592999999999</v>
      </c>
      <c r="I76" s="1">
        <v>-0.64103575999999995</v>
      </c>
      <c r="J76" s="1">
        <v>-0.45323390000000002</v>
      </c>
      <c r="K76" s="1">
        <v>-0.49636789999999997</v>
      </c>
      <c r="L76" s="1">
        <v>-0.51074379999999997</v>
      </c>
      <c r="M76" s="1">
        <v>-0.203558245</v>
      </c>
      <c r="N76" s="1">
        <v>-0.226269682</v>
      </c>
      <c r="O76" s="1">
        <v>-0.428285941</v>
      </c>
      <c r="P76" s="1">
        <v>-0.65171778999999996</v>
      </c>
      <c r="Q76" s="1">
        <v>-0.70865023000000005</v>
      </c>
      <c r="R76" s="1">
        <v>-0.69224479999999999</v>
      </c>
      <c r="S76" s="1">
        <v>-0.36667945499999999</v>
      </c>
      <c r="T76" s="1">
        <v>-0.42250673999999999</v>
      </c>
      <c r="U76" s="1">
        <v>-0.57659741900000006</v>
      </c>
    </row>
    <row r="77" spans="1:21" x14ac:dyDescent="0.25">
      <c r="A77" t="s">
        <v>222</v>
      </c>
      <c r="B77" t="s">
        <v>223</v>
      </c>
      <c r="C77" s="1">
        <v>-0.55233288000000003</v>
      </c>
      <c r="D77" s="110">
        <v>-0.80752239999999997</v>
      </c>
      <c r="E77" s="1">
        <v>-0.8210305</v>
      </c>
      <c r="F77" s="1">
        <v>-0.80737199999999998</v>
      </c>
      <c r="G77" s="1">
        <v>-0.50424088</v>
      </c>
      <c r="H77" s="1">
        <v>-0.47467324</v>
      </c>
      <c r="I77" s="1">
        <v>-0.58683368999999996</v>
      </c>
      <c r="J77" s="1">
        <v>-0.63054480000000002</v>
      </c>
      <c r="K77" s="1">
        <v>-0.63245046999999999</v>
      </c>
      <c r="L77" s="1">
        <v>-0.64816450000000003</v>
      </c>
      <c r="M77" s="1">
        <v>-0.35879433599999999</v>
      </c>
      <c r="N77" s="1">
        <v>-0.30034692699999999</v>
      </c>
      <c r="O77" s="1">
        <v>-0.45673914799999998</v>
      </c>
      <c r="P77" s="1">
        <v>-0.73656233000000004</v>
      </c>
      <c r="Q77" s="1">
        <v>-0.74591207000000004</v>
      </c>
      <c r="R77" s="1">
        <v>-0.74514530000000001</v>
      </c>
      <c r="S77" s="1">
        <v>-0.44592335799999999</v>
      </c>
      <c r="T77" s="1">
        <v>-0.40523258000000001</v>
      </c>
      <c r="U77" s="1">
        <v>-0.535985877</v>
      </c>
    </row>
    <row r="78" spans="1:21" x14ac:dyDescent="0.25">
      <c r="A78" t="s">
        <v>225</v>
      </c>
      <c r="B78" t="s">
        <v>226</v>
      </c>
      <c r="C78" s="1">
        <v>-0.36816286999999998</v>
      </c>
      <c r="D78" s="110">
        <v>-0.71872579999999997</v>
      </c>
      <c r="E78" s="1">
        <v>-0.70814100000000002</v>
      </c>
      <c r="F78" s="1">
        <v>-0.72471529999999995</v>
      </c>
      <c r="G78" s="1">
        <v>-0.34292075</v>
      </c>
      <c r="H78" s="1">
        <v>-0.35235593999999998</v>
      </c>
      <c r="I78" s="1">
        <v>-0.51091595999999995</v>
      </c>
      <c r="J78" s="1">
        <v>-0.42718815999999998</v>
      </c>
      <c r="K78" s="1">
        <v>-0.40087044999999999</v>
      </c>
      <c r="L78" s="1">
        <v>-0.46181299999999997</v>
      </c>
      <c r="M78" s="1">
        <v>-0.103324579</v>
      </c>
      <c r="N78" s="1">
        <v>-6.8310287999999997E-2</v>
      </c>
      <c r="O78" s="1">
        <v>-0.29608840199999997</v>
      </c>
      <c r="P78" s="1">
        <v>-0.65380914999999995</v>
      </c>
      <c r="Q78" s="1">
        <v>-0.63922190000000001</v>
      </c>
      <c r="R78" s="1">
        <v>-0.66716730000000002</v>
      </c>
      <c r="S78" s="1">
        <v>-0.28956987000000001</v>
      </c>
      <c r="T78" s="1">
        <v>-0.28864603999999999</v>
      </c>
      <c r="U78" s="1">
        <v>-0.46389126800000002</v>
      </c>
    </row>
    <row r="79" spans="1:21" x14ac:dyDescent="0.25">
      <c r="A79" t="s">
        <v>228</v>
      </c>
      <c r="B79" t="s">
        <v>229</v>
      </c>
      <c r="C79" s="1">
        <v>-0.42451037000000003</v>
      </c>
      <c r="D79" s="110">
        <v>-0.7353653</v>
      </c>
      <c r="E79" s="1">
        <v>-0.79294209999999998</v>
      </c>
      <c r="F79" s="1">
        <v>-0.75642450000000006</v>
      </c>
      <c r="G79" s="1">
        <v>-0.37883450000000002</v>
      </c>
      <c r="H79" s="1">
        <v>-0.50755477000000004</v>
      </c>
      <c r="I79" s="1">
        <v>-0.55023270000000002</v>
      </c>
      <c r="J79" s="1">
        <v>-0.49606082000000001</v>
      </c>
      <c r="K79" s="1">
        <v>-0.53897203999999999</v>
      </c>
      <c r="L79" s="1">
        <v>-0.54095530000000003</v>
      </c>
      <c r="M79" s="1">
        <v>-0.182165457</v>
      </c>
      <c r="N79" s="1">
        <v>-0.27278096699999999</v>
      </c>
      <c r="O79" s="1">
        <v>-0.37416455900000001</v>
      </c>
      <c r="P79" s="1">
        <v>-0.69252289</v>
      </c>
      <c r="Q79" s="1">
        <v>-0.74798339999999996</v>
      </c>
      <c r="R79" s="1">
        <v>-0.72009060000000003</v>
      </c>
      <c r="S79" s="1">
        <v>-0.34362506199999998</v>
      </c>
      <c r="T79" s="1">
        <v>-0.46599428999999998</v>
      </c>
      <c r="U79" s="1">
        <v>-0.52054288699999995</v>
      </c>
    </row>
    <row r="80" spans="1:21" x14ac:dyDescent="0.25">
      <c r="A80" t="s">
        <v>230</v>
      </c>
      <c r="B80" t="s">
        <v>231</v>
      </c>
      <c r="C80" s="1">
        <v>-0.33145619999999998</v>
      </c>
      <c r="D80" s="110">
        <v>-0.62914400000000004</v>
      </c>
      <c r="E80" s="1">
        <v>-0.73569459999999998</v>
      </c>
      <c r="F80" s="1">
        <v>-0.73993770000000003</v>
      </c>
      <c r="G80" s="1">
        <v>-0.17186183999999999</v>
      </c>
      <c r="H80" s="1">
        <v>-0.32576979</v>
      </c>
      <c r="I80" s="1">
        <v>-0.43473578000000002</v>
      </c>
      <c r="J80" s="1">
        <v>-0.51437867999999998</v>
      </c>
      <c r="K80" s="1">
        <v>-0.61085732000000004</v>
      </c>
      <c r="L80" s="1">
        <v>-0.63717650000000003</v>
      </c>
      <c r="M80" s="1">
        <v>-7.7543606000000001E-2</v>
      </c>
      <c r="N80" s="1">
        <v>-0.21036829100000001</v>
      </c>
      <c r="O80" s="1">
        <v>-0.35076564399999999</v>
      </c>
      <c r="P80" s="1">
        <v>-0.62962059999999997</v>
      </c>
      <c r="Q80" s="1">
        <v>-0.73739012999999998</v>
      </c>
      <c r="R80" s="1">
        <v>-0.74408719999999995</v>
      </c>
      <c r="S80" s="1">
        <v>-0.172253562</v>
      </c>
      <c r="T80" s="1">
        <v>-0.32733717000000001</v>
      </c>
      <c r="U80" s="1">
        <v>-0.43812643000000001</v>
      </c>
    </row>
    <row r="81" spans="1:21" x14ac:dyDescent="0.25">
      <c r="A81" t="s">
        <v>232</v>
      </c>
      <c r="B81" t="s">
        <v>233</v>
      </c>
      <c r="C81" s="1">
        <v>-0.42674729</v>
      </c>
      <c r="D81" s="110">
        <v>-0.63670380000000004</v>
      </c>
      <c r="E81" s="1">
        <v>-0.69690079999999999</v>
      </c>
      <c r="F81" s="1">
        <v>-0.67035069999999997</v>
      </c>
      <c r="G81" s="1">
        <v>-0.33320883000000001</v>
      </c>
      <c r="H81" s="1">
        <v>-0.51047922000000001</v>
      </c>
      <c r="I81" s="1">
        <v>-0.58813590000000004</v>
      </c>
      <c r="J81" s="1">
        <v>-0.55017804000000003</v>
      </c>
      <c r="K81" s="1">
        <v>-0.60750539999999997</v>
      </c>
      <c r="L81" s="1">
        <v>-0.59198419999999996</v>
      </c>
      <c r="M81" s="1">
        <v>-0.26209884100000003</v>
      </c>
      <c r="N81" s="1">
        <v>-0.42784074799999999</v>
      </c>
      <c r="O81" s="1">
        <v>-0.52409961500000002</v>
      </c>
      <c r="P81" s="1">
        <v>-0.53933120000000001</v>
      </c>
      <c r="Q81" s="1">
        <v>-0.59237161000000005</v>
      </c>
      <c r="R81" s="1">
        <v>-0.58041810000000005</v>
      </c>
      <c r="S81" s="1">
        <v>-0.253184515</v>
      </c>
      <c r="T81" s="1">
        <v>-0.41385084</v>
      </c>
      <c r="U81" s="1">
        <v>-0.51464850200000001</v>
      </c>
    </row>
    <row r="82" spans="1:21" x14ac:dyDescent="0.25">
      <c r="A82" t="s">
        <v>235</v>
      </c>
      <c r="B82" t="s">
        <v>236</v>
      </c>
      <c r="C82" s="1">
        <v>-0.64764754000000002</v>
      </c>
      <c r="D82" s="110">
        <v>-0.86467450000000001</v>
      </c>
      <c r="E82" s="1">
        <v>-0.87502460000000004</v>
      </c>
      <c r="F82" s="1">
        <v>-0.81820939999999998</v>
      </c>
      <c r="G82" s="1">
        <v>-0.48919905000000002</v>
      </c>
      <c r="H82" s="1">
        <v>-0.56108557999999997</v>
      </c>
      <c r="I82" s="1">
        <v>-0.59907080000000001</v>
      </c>
      <c r="J82" s="1">
        <v>-0.83649516000000002</v>
      </c>
      <c r="K82" s="1">
        <v>-0.84547793999999998</v>
      </c>
      <c r="L82" s="1">
        <v>-0.7927689</v>
      </c>
      <c r="M82" s="1">
        <v>-0.46604021800000001</v>
      </c>
      <c r="N82" s="1">
        <v>-0.53377219499999995</v>
      </c>
      <c r="O82" s="1">
        <v>-0.57828240500000005</v>
      </c>
      <c r="P82" s="1">
        <v>-0.81242714999999999</v>
      </c>
      <c r="Q82" s="1">
        <v>-0.81909968</v>
      </c>
      <c r="R82" s="1">
        <v>-0.77046320000000001</v>
      </c>
      <c r="S82" s="1">
        <v>-0.44626026299999999</v>
      </c>
      <c r="T82" s="1">
        <v>-0.50938771999999999</v>
      </c>
      <c r="U82" s="1">
        <v>-0.56005552800000002</v>
      </c>
    </row>
    <row r="83" spans="1:21" x14ac:dyDescent="0.25">
      <c r="A83" t="s">
        <v>238</v>
      </c>
      <c r="B83" t="s">
        <v>239</v>
      </c>
      <c r="C83" s="1">
        <v>-0.55029667999999998</v>
      </c>
      <c r="D83" s="110">
        <v>-0.78448470000000003</v>
      </c>
      <c r="E83" s="1">
        <v>-0.76159429999999995</v>
      </c>
      <c r="F83" s="1">
        <v>-0.77191189999999998</v>
      </c>
      <c r="G83" s="1">
        <v>-0.43185174999999998</v>
      </c>
      <c r="H83" s="1">
        <v>-0.45069199999999998</v>
      </c>
      <c r="I83" s="1">
        <v>-0.52666882000000004</v>
      </c>
      <c r="J83" s="1">
        <v>-0.70604259999999996</v>
      </c>
      <c r="K83" s="1">
        <v>-0.67779971000000006</v>
      </c>
      <c r="L83" s="1">
        <v>-0.7013857</v>
      </c>
      <c r="M83" s="1">
        <v>-0.36738521800000001</v>
      </c>
      <c r="N83" s="1">
        <v>-0.37323099700000001</v>
      </c>
      <c r="O83" s="1">
        <v>-0.46903913200000003</v>
      </c>
      <c r="P83" s="1">
        <v>-0.68698630999999999</v>
      </c>
      <c r="Q83" s="1">
        <v>-0.65763090999999996</v>
      </c>
      <c r="R83" s="1">
        <v>-0.68405890000000003</v>
      </c>
      <c r="S83" s="1">
        <v>-0.351724072</v>
      </c>
      <c r="T83" s="1">
        <v>-0.35458666</v>
      </c>
      <c r="U83" s="1">
        <v>-0.45488074099999998</v>
      </c>
    </row>
    <row r="84" spans="1:21" x14ac:dyDescent="0.25">
      <c r="A84" t="s">
        <v>241</v>
      </c>
      <c r="B84" t="s">
        <v>242</v>
      </c>
      <c r="C84" s="1">
        <v>-0.97560029000000004</v>
      </c>
      <c r="D84" s="110">
        <v>-1.1111796</v>
      </c>
      <c r="E84" s="1">
        <v>-1.1171450000000001</v>
      </c>
      <c r="F84" s="1">
        <v>-1.0244458999999999</v>
      </c>
      <c r="G84" s="1">
        <v>-0.93817980000000001</v>
      </c>
      <c r="H84" s="1">
        <v>-0.94351879999999999</v>
      </c>
      <c r="I84" s="1">
        <v>-0.94897176999999999</v>
      </c>
      <c r="J84" s="1">
        <v>-1.0374811100000001</v>
      </c>
      <c r="K84" s="1">
        <v>-1.0417251599999999</v>
      </c>
      <c r="L84" s="1">
        <v>-0.95756070000000004</v>
      </c>
      <c r="M84" s="1">
        <v>-0.87761169900000002</v>
      </c>
      <c r="N84" s="1">
        <v>-0.87379951899999997</v>
      </c>
      <c r="O84" s="1">
        <v>-0.89431729999999998</v>
      </c>
      <c r="P84" s="1">
        <v>-1.0244689300000001</v>
      </c>
      <c r="Q84" s="1">
        <v>-1.0238941699999999</v>
      </c>
      <c r="R84" s="1">
        <v>-0.94383669999999997</v>
      </c>
      <c r="S84" s="1">
        <v>-0.86691781499999998</v>
      </c>
      <c r="T84" s="1">
        <v>-0.85731628000000004</v>
      </c>
      <c r="U84" s="1">
        <v>-0.883102901</v>
      </c>
    </row>
    <row r="85" spans="1:21" x14ac:dyDescent="0.25">
      <c r="A85" t="s">
        <v>244</v>
      </c>
      <c r="B85" t="s">
        <v>245</v>
      </c>
      <c r="C85" s="1">
        <v>-0.87899716999999999</v>
      </c>
      <c r="D85" s="110">
        <v>-1.0444958</v>
      </c>
      <c r="E85" s="1">
        <v>-1.0583469999999999</v>
      </c>
      <c r="F85" s="1">
        <v>-0.96232499999999999</v>
      </c>
      <c r="G85" s="1">
        <v>-0.81725855000000003</v>
      </c>
      <c r="H85" s="1">
        <v>-0.79230719000000005</v>
      </c>
      <c r="I85" s="1">
        <v>-0.76726424999999998</v>
      </c>
      <c r="J85" s="1">
        <v>-0.96850632000000003</v>
      </c>
      <c r="K85" s="1">
        <v>-0.97798242000000002</v>
      </c>
      <c r="L85" s="1">
        <v>-0.89385110000000001</v>
      </c>
      <c r="M85" s="1">
        <v>-0.754807687</v>
      </c>
      <c r="N85" s="1">
        <v>-0.71801695300000001</v>
      </c>
      <c r="O85" s="1">
        <v>-0.71131161300000001</v>
      </c>
      <c r="P85" s="1">
        <v>-0.95977844999999995</v>
      </c>
      <c r="Q85" s="1">
        <v>-0.96785655000000004</v>
      </c>
      <c r="R85" s="1">
        <v>-0.88550110000000004</v>
      </c>
      <c r="S85" s="1">
        <v>-0.74763480400000004</v>
      </c>
      <c r="T85" s="1">
        <v>-0.70865644000000005</v>
      </c>
      <c r="U85" s="1">
        <v>-0.70448847199999998</v>
      </c>
    </row>
    <row r="86" spans="1:21" x14ac:dyDescent="0.25">
      <c r="A86" t="s">
        <v>247</v>
      </c>
      <c r="B86" t="s">
        <v>248</v>
      </c>
      <c r="C86" s="1">
        <v>-0.65724866000000004</v>
      </c>
      <c r="D86" s="110">
        <v>-0.8619983</v>
      </c>
      <c r="E86" s="1">
        <v>-0.82192829999999995</v>
      </c>
      <c r="F86" s="1">
        <v>-0.81243529999999997</v>
      </c>
      <c r="G86" s="1">
        <v>-0.565195</v>
      </c>
      <c r="H86" s="1">
        <v>-0.59498633999999995</v>
      </c>
      <c r="I86" s="1">
        <v>-0.76301342999999999</v>
      </c>
      <c r="J86" s="1">
        <v>-0.77317411999999996</v>
      </c>
      <c r="K86" s="1">
        <v>-0.73194051000000004</v>
      </c>
      <c r="L86" s="1">
        <v>-0.73165100000000005</v>
      </c>
      <c r="M86" s="1">
        <v>-0.49219612400000001</v>
      </c>
      <c r="N86" s="1">
        <v>-0.51180022700000005</v>
      </c>
      <c r="O86" s="1">
        <v>-0.69700147300000004</v>
      </c>
      <c r="P86" s="1">
        <v>-0.83198899999999998</v>
      </c>
      <c r="Q86" s="1">
        <v>-0.78908431000000001</v>
      </c>
      <c r="R86" s="1">
        <v>-0.78274779999999999</v>
      </c>
      <c r="S86" s="1">
        <v>-0.54053230799999996</v>
      </c>
      <c r="T86" s="1">
        <v>-0.56462484000000002</v>
      </c>
      <c r="U86" s="1">
        <v>-0.73875458400000005</v>
      </c>
    </row>
    <row r="87" spans="1:21" x14ac:dyDescent="0.25">
      <c r="A87" t="s">
        <v>250</v>
      </c>
      <c r="B87" t="s">
        <v>251</v>
      </c>
      <c r="C87" s="1">
        <v>-0.7483822</v>
      </c>
      <c r="D87" s="110">
        <v>-1.0418171000000001</v>
      </c>
      <c r="E87" s="1">
        <v>-1.0677475999999999</v>
      </c>
      <c r="F87" s="1">
        <v>-1.0627977</v>
      </c>
      <c r="G87" s="1">
        <v>-0.55822092999999995</v>
      </c>
      <c r="H87" s="1">
        <v>-0.68373761</v>
      </c>
      <c r="I87" s="1">
        <v>-0.89944124000000003</v>
      </c>
      <c r="J87" s="1">
        <v>-0.97923698000000003</v>
      </c>
      <c r="K87" s="1">
        <v>-0.99937911000000001</v>
      </c>
      <c r="L87" s="1">
        <v>-1.0068192</v>
      </c>
      <c r="M87" s="1">
        <v>-0.50679036899999996</v>
      </c>
      <c r="N87" s="1">
        <v>-0.62053670500000002</v>
      </c>
      <c r="O87" s="1">
        <v>-0.85369904100000005</v>
      </c>
      <c r="P87" s="1">
        <v>-0.95699047999999998</v>
      </c>
      <c r="Q87" s="1">
        <v>-0.97763781999999999</v>
      </c>
      <c r="R87" s="1">
        <v>-0.98743289999999995</v>
      </c>
      <c r="S87" s="1">
        <v>-0.48850739700000001</v>
      </c>
      <c r="T87" s="1">
        <v>-0.60043871000000004</v>
      </c>
      <c r="U87" s="1">
        <v>-0.83785774599999996</v>
      </c>
    </row>
    <row r="88" spans="1:21" x14ac:dyDescent="0.25">
      <c r="A88" t="s">
        <v>252</v>
      </c>
      <c r="B88" t="s">
        <v>253</v>
      </c>
      <c r="C88" s="1">
        <v>-0.33446674999999998</v>
      </c>
      <c r="D88" s="110">
        <v>-0.54722859999999995</v>
      </c>
      <c r="E88" s="1">
        <v>-0.58206460000000004</v>
      </c>
      <c r="F88" s="1">
        <v>-0.53845750000000003</v>
      </c>
      <c r="G88" s="1">
        <v>-0.18111366000000001</v>
      </c>
      <c r="H88" s="1">
        <v>-0.32542536</v>
      </c>
      <c r="I88" s="1">
        <v>-0.29399556999999998</v>
      </c>
      <c r="J88" s="1">
        <v>-0.51122608999999997</v>
      </c>
      <c r="K88" s="1">
        <v>-0.53830486</v>
      </c>
      <c r="L88" s="1">
        <v>-0.50708799999999998</v>
      </c>
      <c r="M88" s="1">
        <v>-0.15152552499999999</v>
      </c>
      <c r="N88" s="1">
        <v>-0.284973174</v>
      </c>
      <c r="O88" s="1">
        <v>-0.26836231599999999</v>
      </c>
      <c r="P88" s="1">
        <v>-0.52561007999999998</v>
      </c>
      <c r="Q88" s="1">
        <v>-0.56041728000000002</v>
      </c>
      <c r="R88" s="1">
        <v>-0.52337869999999997</v>
      </c>
      <c r="S88" s="1">
        <v>-0.16334680700000001</v>
      </c>
      <c r="T88" s="1">
        <v>-0.30541424</v>
      </c>
      <c r="U88" s="1">
        <v>-0.28167406099999998</v>
      </c>
    </row>
    <row r="89" spans="1:21" x14ac:dyDescent="0.25">
      <c r="A89" t="s">
        <v>254</v>
      </c>
      <c r="B89" t="s">
        <v>255</v>
      </c>
      <c r="C89" s="1">
        <v>-0.61342284999999996</v>
      </c>
      <c r="D89" s="110">
        <v>-0.73739390000000005</v>
      </c>
      <c r="E89" s="1">
        <v>-0.77122179999999996</v>
      </c>
      <c r="F89" s="1">
        <v>-0.73065820000000004</v>
      </c>
      <c r="G89" s="1">
        <v>-0.62941106999999996</v>
      </c>
      <c r="H89" s="1">
        <v>-0.61093162999999995</v>
      </c>
      <c r="I89" s="1">
        <v>-0.73921873000000005</v>
      </c>
      <c r="J89" s="1">
        <v>-0.62470817000000001</v>
      </c>
      <c r="K89" s="1">
        <v>-0.65268349999999997</v>
      </c>
      <c r="L89" s="1">
        <v>-0.62899749999999999</v>
      </c>
      <c r="M89" s="1">
        <v>-0.53680187300000004</v>
      </c>
      <c r="N89" s="1">
        <v>-0.50135303499999995</v>
      </c>
      <c r="O89" s="1">
        <v>-0.65614791299999997</v>
      </c>
      <c r="P89" s="1">
        <v>-0.60175858000000004</v>
      </c>
      <c r="Q89" s="1">
        <v>-0.62616130000000003</v>
      </c>
      <c r="R89" s="1">
        <v>-0.60708960000000001</v>
      </c>
      <c r="S89" s="1">
        <v>-0.51794107099999998</v>
      </c>
      <c r="T89" s="1">
        <v>-0.47683550000000002</v>
      </c>
      <c r="U89" s="1">
        <v>-0.638246125</v>
      </c>
    </row>
    <row r="90" spans="1:21" x14ac:dyDescent="0.25">
      <c r="A90" t="s">
        <v>257</v>
      </c>
      <c r="B90" t="s">
        <v>258</v>
      </c>
      <c r="C90" s="1">
        <v>-0.35150472999999999</v>
      </c>
      <c r="D90" s="110">
        <v>-0.61413770000000001</v>
      </c>
      <c r="E90" s="1">
        <v>-0.67382399999999998</v>
      </c>
      <c r="F90" s="1">
        <v>-0.65434780000000003</v>
      </c>
      <c r="G90" s="1">
        <v>-0.20336319</v>
      </c>
      <c r="H90" s="1">
        <v>-0.30447010000000002</v>
      </c>
      <c r="I90" s="1">
        <v>-0.41320717000000001</v>
      </c>
      <c r="J90" s="1">
        <v>-0.53264299999999998</v>
      </c>
      <c r="K90" s="1">
        <v>-0.58651200999999997</v>
      </c>
      <c r="L90" s="1">
        <v>-0.58112540000000001</v>
      </c>
      <c r="M90" s="1">
        <v>-0.13638789000000001</v>
      </c>
      <c r="N90" s="1">
        <v>-0.22375751699999999</v>
      </c>
      <c r="O90" s="1">
        <v>-0.353374309</v>
      </c>
      <c r="P90" s="1">
        <v>-0.54675887999999995</v>
      </c>
      <c r="Q90" s="1">
        <v>-0.60219129999999998</v>
      </c>
      <c r="R90" s="1">
        <v>-0.59430490000000002</v>
      </c>
      <c r="S90" s="1">
        <v>-0.14798882199999999</v>
      </c>
      <c r="T90" s="1">
        <v>-0.23825168999999999</v>
      </c>
      <c r="U90" s="1">
        <v>-0.36414378600000002</v>
      </c>
    </row>
    <row r="91" spans="1:21" x14ac:dyDescent="0.25">
      <c r="A91" t="s">
        <v>260</v>
      </c>
      <c r="B91" t="s">
        <v>261</v>
      </c>
      <c r="C91" s="1">
        <v>-0.38916002999999999</v>
      </c>
      <c r="D91" s="110">
        <v>-0.7105165</v>
      </c>
      <c r="E91" s="1">
        <v>-0.76256460000000004</v>
      </c>
      <c r="F91" s="1">
        <v>-0.79550560000000003</v>
      </c>
      <c r="G91" s="1">
        <v>-0.28092034999999999</v>
      </c>
      <c r="H91" s="1">
        <v>-0.45507808999999999</v>
      </c>
      <c r="I91" s="1">
        <v>-0.60551540999999998</v>
      </c>
      <c r="J91" s="1">
        <v>-0.54158052000000001</v>
      </c>
      <c r="K91" s="1">
        <v>-0.58167846000000001</v>
      </c>
      <c r="L91" s="1">
        <v>-0.64369719999999997</v>
      </c>
      <c r="M91" s="1">
        <v>-0.14208265</v>
      </c>
      <c r="N91" s="1">
        <v>-0.28786419899999999</v>
      </c>
      <c r="O91" s="1">
        <v>-0.48146696700000002</v>
      </c>
      <c r="P91" s="1">
        <v>-0.57164201000000003</v>
      </c>
      <c r="Q91" s="1">
        <v>-0.61490168000000001</v>
      </c>
      <c r="R91" s="1">
        <v>-0.67168640000000002</v>
      </c>
      <c r="S91" s="1">
        <v>-0.16678826399999999</v>
      </c>
      <c r="T91" s="1">
        <v>-0.31857625000000001</v>
      </c>
      <c r="U91" s="1">
        <v>-0.50433797700000005</v>
      </c>
    </row>
    <row r="92" spans="1:21" x14ac:dyDescent="0.25">
      <c r="A92" t="s">
        <v>263</v>
      </c>
      <c r="B92" t="s">
        <v>264</v>
      </c>
      <c r="C92" s="1">
        <v>-0.41989936</v>
      </c>
      <c r="D92" s="110">
        <v>-0.74027520000000002</v>
      </c>
      <c r="E92" s="1">
        <v>-0.82642070000000001</v>
      </c>
      <c r="F92" s="1">
        <v>-0.75426360000000003</v>
      </c>
      <c r="G92" s="1">
        <v>-0.28670612000000001</v>
      </c>
      <c r="H92" s="1">
        <v>-0.57947625000000003</v>
      </c>
      <c r="I92" s="1">
        <v>-0.42996004999999998</v>
      </c>
      <c r="J92" s="1">
        <v>-0.58671899000000005</v>
      </c>
      <c r="K92" s="1">
        <v>-0.66546072000000001</v>
      </c>
      <c r="L92" s="1">
        <v>-0.61562340000000004</v>
      </c>
      <c r="M92" s="1">
        <v>-0.16050811100000001</v>
      </c>
      <c r="N92" s="1">
        <v>-0.430682328</v>
      </c>
      <c r="O92" s="1">
        <v>-0.31667187099999999</v>
      </c>
      <c r="P92" s="1">
        <v>-0.66638222000000003</v>
      </c>
      <c r="Q92" s="1">
        <v>-0.74739367000000001</v>
      </c>
      <c r="R92" s="1">
        <v>-0.68694639999999996</v>
      </c>
      <c r="S92" s="1">
        <v>-0.225978227</v>
      </c>
      <c r="T92" s="1">
        <v>-0.50642240999999999</v>
      </c>
      <c r="U92" s="1">
        <v>-0.37495262499999998</v>
      </c>
    </row>
    <row r="93" spans="1:21" x14ac:dyDescent="0.25">
      <c r="A93" t="s">
        <v>266</v>
      </c>
      <c r="B93" t="s">
        <v>267</v>
      </c>
      <c r="C93" s="1">
        <v>-0.23372664000000001</v>
      </c>
      <c r="D93" s="110">
        <v>-0.52387300000000003</v>
      </c>
      <c r="E93" s="1">
        <v>-0.58528579999999997</v>
      </c>
      <c r="F93" s="1">
        <v>-0.56908639999999999</v>
      </c>
      <c r="G93" s="1">
        <v>-2.3177469999999999E-2</v>
      </c>
      <c r="H93" s="1">
        <v>-0.21250053999999999</v>
      </c>
      <c r="I93" s="1">
        <v>-0.25115684999999999</v>
      </c>
      <c r="J93" s="1">
        <v>-0.47763056999999998</v>
      </c>
      <c r="K93" s="1">
        <v>-0.52919788999999995</v>
      </c>
      <c r="L93" s="1">
        <v>-0.52877240000000003</v>
      </c>
      <c r="M93" s="1">
        <v>1.4826239E-2</v>
      </c>
      <c r="N93" s="1">
        <v>-0.160652026</v>
      </c>
      <c r="O93" s="1">
        <v>-0.218214672</v>
      </c>
      <c r="P93" s="1">
        <v>-0.48202199000000001</v>
      </c>
      <c r="Q93" s="1">
        <v>-0.54237212000000001</v>
      </c>
      <c r="R93" s="1">
        <v>-0.53674100000000002</v>
      </c>
      <c r="S93" s="1">
        <v>1.1217219E-2</v>
      </c>
      <c r="T93" s="1">
        <v>-0.17283049</v>
      </c>
      <c r="U93" s="1">
        <v>-0.224726184</v>
      </c>
    </row>
    <row r="94" spans="1:21" x14ac:dyDescent="0.25">
      <c r="A94" t="s">
        <v>269</v>
      </c>
      <c r="B94" t="s">
        <v>270</v>
      </c>
      <c r="C94" s="1">
        <v>-0.29415852999999997</v>
      </c>
      <c r="D94" s="110">
        <v>-0.54186449999999997</v>
      </c>
      <c r="E94" s="1">
        <v>-0.64744900000000005</v>
      </c>
      <c r="F94" s="1">
        <v>-0.61828209999999995</v>
      </c>
      <c r="G94" s="1">
        <v>-0.18366044000000001</v>
      </c>
      <c r="H94" s="1">
        <v>-0.33492400999999999</v>
      </c>
      <c r="I94" s="1">
        <v>-0.39583985999999999</v>
      </c>
      <c r="J94" s="1">
        <v>-0.43234028000000002</v>
      </c>
      <c r="K94" s="1">
        <v>-0.52645412000000003</v>
      </c>
      <c r="L94" s="1">
        <v>-0.52056429999999998</v>
      </c>
      <c r="M94" s="1">
        <v>-9.3649517000000002E-2</v>
      </c>
      <c r="N94" s="1">
        <v>-0.22307449900000001</v>
      </c>
      <c r="O94" s="1">
        <v>-0.31599092899999998</v>
      </c>
      <c r="P94" s="1">
        <v>-0.47585939999999999</v>
      </c>
      <c r="Q94" s="1">
        <v>-0.57836093</v>
      </c>
      <c r="R94" s="1">
        <v>-0.56286020000000003</v>
      </c>
      <c r="S94" s="1">
        <v>-0.12941509500000001</v>
      </c>
      <c r="T94" s="1">
        <v>-0.27105794999999999</v>
      </c>
      <c r="U94" s="1">
        <v>-0.35055252199999998</v>
      </c>
    </row>
    <row r="95" spans="1:21" x14ac:dyDescent="0.25">
      <c r="A95" t="s">
        <v>271</v>
      </c>
      <c r="B95" t="s">
        <v>272</v>
      </c>
      <c r="C95" s="1">
        <v>-0.32580562000000002</v>
      </c>
      <c r="D95" s="110">
        <v>-0.58375140000000003</v>
      </c>
      <c r="E95" s="1">
        <v>-0.66833969999999998</v>
      </c>
      <c r="F95" s="1">
        <v>-0.62792499999999996</v>
      </c>
      <c r="G95" s="1">
        <v>-0.18236891</v>
      </c>
      <c r="H95" s="1">
        <v>-0.49821959999999998</v>
      </c>
      <c r="I95" s="1">
        <v>-0.50265398999999999</v>
      </c>
      <c r="J95" s="1">
        <v>-0.49632259000000001</v>
      </c>
      <c r="K95" s="1">
        <v>-0.57089449999999997</v>
      </c>
      <c r="L95" s="1">
        <v>-0.55008290000000004</v>
      </c>
      <c r="M95" s="1">
        <v>-0.110516766</v>
      </c>
      <c r="N95" s="1">
        <v>-0.408139796</v>
      </c>
      <c r="O95" s="1">
        <v>-0.43904627000000002</v>
      </c>
      <c r="P95" s="1">
        <v>-0.52812334999999999</v>
      </c>
      <c r="Q95" s="1">
        <v>-0.61025375999999998</v>
      </c>
      <c r="R95" s="1">
        <v>-0.58165630000000001</v>
      </c>
      <c r="S95" s="1">
        <v>-0.13665177000000001</v>
      </c>
      <c r="T95" s="1">
        <v>-0.44452409999999998</v>
      </c>
      <c r="U95" s="1">
        <v>-0.46484610900000001</v>
      </c>
    </row>
    <row r="96" spans="1:21" x14ac:dyDescent="0.25">
      <c r="A96" t="s">
        <v>273</v>
      </c>
      <c r="B96" t="s">
        <v>274</v>
      </c>
      <c r="C96" s="1">
        <v>-0.40494367999999997</v>
      </c>
      <c r="D96" s="110">
        <v>-0.6531399</v>
      </c>
      <c r="E96" s="1">
        <v>-0.69219249999999999</v>
      </c>
      <c r="F96" s="1">
        <v>-0.64808670000000002</v>
      </c>
      <c r="G96" s="1">
        <v>-0.26130016</v>
      </c>
      <c r="H96" s="1">
        <v>-0.44774293999999998</v>
      </c>
      <c r="I96" s="1">
        <v>-0.40616481999999998</v>
      </c>
      <c r="J96" s="1">
        <v>-0.57807876999999996</v>
      </c>
      <c r="K96" s="1">
        <v>-0.60807433</v>
      </c>
      <c r="L96" s="1">
        <v>-0.58134260000000004</v>
      </c>
      <c r="M96" s="1">
        <v>-0.19961225799999999</v>
      </c>
      <c r="N96" s="1">
        <v>-0.36998277299999999</v>
      </c>
      <c r="O96" s="1">
        <v>-0.35162562600000002</v>
      </c>
      <c r="P96" s="1">
        <v>-0.59805965999999999</v>
      </c>
      <c r="Q96" s="1">
        <v>-0.63459655000000004</v>
      </c>
      <c r="R96" s="1">
        <v>-0.60201629999999995</v>
      </c>
      <c r="S96" s="1">
        <v>-0.216033276</v>
      </c>
      <c r="T96" s="1">
        <v>-0.39450032000000002</v>
      </c>
      <c r="U96" s="1">
        <v>-0.368518927</v>
      </c>
    </row>
    <row r="97" spans="1:21" x14ac:dyDescent="0.25">
      <c r="A97" t="s">
        <v>275</v>
      </c>
      <c r="B97" t="s">
        <v>276</v>
      </c>
      <c r="C97" s="1">
        <v>-0.40326761999999999</v>
      </c>
      <c r="D97" s="110">
        <v>-0.67521989999999998</v>
      </c>
      <c r="E97" s="1">
        <v>-0.70433990000000002</v>
      </c>
      <c r="F97" s="1">
        <v>-0.6784597</v>
      </c>
      <c r="G97" s="1">
        <v>-0.30262162999999997</v>
      </c>
      <c r="H97" s="1">
        <v>-0.50362417999999998</v>
      </c>
      <c r="I97" s="1">
        <v>-0.41896294000000001</v>
      </c>
      <c r="J97" s="1">
        <v>-0.53634488000000002</v>
      </c>
      <c r="K97" s="1">
        <v>-0.55223670999999996</v>
      </c>
      <c r="L97" s="1">
        <v>-0.55430679999999999</v>
      </c>
      <c r="M97" s="1">
        <v>-0.18848911400000001</v>
      </c>
      <c r="N97" s="1">
        <v>-0.36301763100000001</v>
      </c>
      <c r="O97" s="1">
        <v>-0.31751277100000003</v>
      </c>
      <c r="P97" s="1">
        <v>-0.59370884000000002</v>
      </c>
      <c r="Q97" s="1">
        <v>-0.61875077999999994</v>
      </c>
      <c r="R97" s="1">
        <v>-0.60916959999999998</v>
      </c>
      <c r="S97" s="1">
        <v>-0.23563288700000001</v>
      </c>
      <c r="T97" s="1">
        <v>-0.42450426000000002</v>
      </c>
      <c r="U97" s="1">
        <v>-0.36234330300000001</v>
      </c>
    </row>
    <row r="98" spans="1:21" x14ac:dyDescent="0.25">
      <c r="A98" t="s">
        <v>277</v>
      </c>
      <c r="B98" t="s">
        <v>278</v>
      </c>
      <c r="C98" s="1">
        <v>-0.26037659000000002</v>
      </c>
      <c r="D98" s="110">
        <v>-0.57249629999999996</v>
      </c>
      <c r="E98" s="1">
        <v>-0.60581220000000002</v>
      </c>
      <c r="F98" s="1">
        <v>-0.60930010000000001</v>
      </c>
      <c r="G98" s="1">
        <v>-0.12357708000000001</v>
      </c>
      <c r="H98" s="1">
        <v>-0.38202335999999998</v>
      </c>
      <c r="I98" s="1">
        <v>-0.34612942000000002</v>
      </c>
      <c r="J98" s="1">
        <v>-0.42940412999999999</v>
      </c>
      <c r="K98" s="1">
        <v>-0.44761869999999998</v>
      </c>
      <c r="L98" s="1">
        <v>-0.48165459999999999</v>
      </c>
      <c r="M98" s="1">
        <v>-5.9787549999999997E-3</v>
      </c>
      <c r="N98" s="1">
        <v>-0.235786832</v>
      </c>
      <c r="O98" s="1">
        <v>-0.24182536700000001</v>
      </c>
      <c r="P98" s="1">
        <v>-0.51609525999999994</v>
      </c>
      <c r="Q98" s="1">
        <v>-0.54752254</v>
      </c>
      <c r="R98" s="1">
        <v>-0.56427899999999998</v>
      </c>
      <c r="S98" s="1">
        <v>-7.7224644999999995E-2</v>
      </c>
      <c r="T98" s="1">
        <v>-0.32813947999999998</v>
      </c>
      <c r="U98" s="1">
        <v>-0.30934091200000002</v>
      </c>
    </row>
    <row r="99" spans="1:21" x14ac:dyDescent="0.25">
      <c r="A99" t="s">
        <v>280</v>
      </c>
      <c r="B99" t="s">
        <v>281</v>
      </c>
      <c r="C99" s="1">
        <v>-0.37509893999999999</v>
      </c>
      <c r="D99" s="110">
        <v>-0.68281570000000003</v>
      </c>
      <c r="E99" s="1">
        <v>-0.73974949999999995</v>
      </c>
      <c r="F99" s="1">
        <v>-0.74962419999999996</v>
      </c>
      <c r="G99" s="1">
        <v>-0.22911463000000001</v>
      </c>
      <c r="H99" s="1">
        <v>-0.46911387999999998</v>
      </c>
      <c r="I99" s="1">
        <v>-0.50916172999999998</v>
      </c>
      <c r="J99" s="1">
        <v>-0.55350739999999998</v>
      </c>
      <c r="K99" s="1">
        <v>-0.59792772999999999</v>
      </c>
      <c r="L99" s="1">
        <v>-0.63406090000000004</v>
      </c>
      <c r="M99" s="1">
        <v>-0.12284439799999999</v>
      </c>
      <c r="N99" s="1">
        <v>-0.33801166399999999</v>
      </c>
      <c r="O99" s="1">
        <v>-0.41473047899999999</v>
      </c>
      <c r="P99" s="1">
        <v>-0.62393308999999997</v>
      </c>
      <c r="Q99" s="1">
        <v>-0.67832183999999995</v>
      </c>
      <c r="R99" s="1">
        <v>-0.70082599999999995</v>
      </c>
      <c r="S99" s="1">
        <v>-0.18072276500000001</v>
      </c>
      <c r="T99" s="1">
        <v>-0.41232922</v>
      </c>
      <c r="U99" s="1">
        <v>-0.46928682900000002</v>
      </c>
    </row>
    <row r="100" spans="1:21" x14ac:dyDescent="0.25">
      <c r="A100" t="s">
        <v>283</v>
      </c>
      <c r="B100" t="s">
        <v>284</v>
      </c>
      <c r="C100" s="1">
        <v>-0.50998540999999997</v>
      </c>
      <c r="D100" s="110">
        <v>-0.7385813</v>
      </c>
      <c r="E100" s="1">
        <v>-0.80128189999999999</v>
      </c>
      <c r="F100" s="1">
        <v>-0.77023010000000003</v>
      </c>
      <c r="G100" s="1">
        <v>-0.42036499999999999</v>
      </c>
      <c r="H100" s="1">
        <v>-0.57413937999999998</v>
      </c>
      <c r="I100" s="1">
        <v>-0.50965271000000001</v>
      </c>
      <c r="J100" s="1">
        <v>-0.62057731000000005</v>
      </c>
      <c r="K100" s="1">
        <v>-0.67365593999999995</v>
      </c>
      <c r="L100" s="1">
        <v>-0.66443050000000003</v>
      </c>
      <c r="M100" s="1">
        <v>-0.32338505200000001</v>
      </c>
      <c r="N100" s="1">
        <v>-0.456159957</v>
      </c>
      <c r="O100" s="1">
        <v>-0.42319972</v>
      </c>
      <c r="P100" s="1">
        <v>-0.70767564999999999</v>
      </c>
      <c r="Q100" s="1">
        <v>-0.76922769000000002</v>
      </c>
      <c r="R100" s="1">
        <v>-0.74520410000000004</v>
      </c>
      <c r="S100" s="1">
        <v>-0.394965603</v>
      </c>
      <c r="T100" s="1">
        <v>-0.54450794999999996</v>
      </c>
      <c r="U100" s="1">
        <v>-0.48920296400000002</v>
      </c>
    </row>
    <row r="101" spans="1:21" x14ac:dyDescent="0.25">
      <c r="A101" t="s">
        <v>285</v>
      </c>
      <c r="B101" t="s">
        <v>286</v>
      </c>
      <c r="C101" s="1">
        <v>-0.98660625999999996</v>
      </c>
      <c r="D101" s="110">
        <v>-1.0288385</v>
      </c>
      <c r="E101" s="1">
        <v>-0.968808</v>
      </c>
      <c r="F101" s="1">
        <v>-1.0469936</v>
      </c>
      <c r="G101" s="1">
        <v>-0.96280127999999998</v>
      </c>
      <c r="H101" s="1">
        <v>-0.82325252000000004</v>
      </c>
      <c r="I101" s="1">
        <v>-0.97310786999999999</v>
      </c>
      <c r="J101" s="1">
        <v>-1.0264156900000001</v>
      </c>
      <c r="K101" s="1">
        <v>-0.96434861000000005</v>
      </c>
      <c r="L101" s="1">
        <v>-1.0451682</v>
      </c>
      <c r="M101" s="1">
        <v>-0.96081013000000004</v>
      </c>
      <c r="N101" s="1">
        <v>-0.81913015499999997</v>
      </c>
      <c r="O101" s="1">
        <v>-0.97161631400000004</v>
      </c>
      <c r="P101" s="1">
        <v>-0.97213066999999997</v>
      </c>
      <c r="Q101" s="1">
        <v>-0.90856057000000001</v>
      </c>
      <c r="R101" s="1">
        <v>-0.99658690000000005</v>
      </c>
      <c r="S101" s="1">
        <v>-0.91619674299999998</v>
      </c>
      <c r="T101" s="1">
        <v>-0.76755883000000003</v>
      </c>
      <c r="U101" s="1">
        <v>-0.93191860900000001</v>
      </c>
    </row>
    <row r="102" spans="1:21" x14ac:dyDescent="0.25">
      <c r="A102" t="s">
        <v>288</v>
      </c>
      <c r="B102" t="s">
        <v>289</v>
      </c>
      <c r="C102" s="1">
        <v>-0.43942618</v>
      </c>
      <c r="D102" s="110">
        <v>-0.46816920000000001</v>
      </c>
      <c r="E102" s="1">
        <v>-0.53179849999999995</v>
      </c>
      <c r="F102" s="1">
        <v>-0.59099630000000003</v>
      </c>
      <c r="G102" s="1">
        <v>-0.33139276000000001</v>
      </c>
      <c r="H102" s="1">
        <v>-0.43701927000000002</v>
      </c>
      <c r="I102" s="1">
        <v>-0.62329862000000003</v>
      </c>
      <c r="J102" s="1">
        <v>-0.53984220999999999</v>
      </c>
      <c r="K102" s="1">
        <v>-0.59802100000000002</v>
      </c>
      <c r="L102" s="1">
        <v>-0.65738700000000005</v>
      </c>
      <c r="M102" s="1">
        <v>-0.39029623400000002</v>
      </c>
      <c r="N102" s="1">
        <v>-0.498236334</v>
      </c>
      <c r="O102" s="1">
        <v>-0.67754908800000002</v>
      </c>
      <c r="P102" s="1">
        <v>-0.54929779999999995</v>
      </c>
      <c r="Q102" s="1">
        <v>-0.62081081999999999</v>
      </c>
      <c r="R102" s="1">
        <v>-0.67194469999999995</v>
      </c>
      <c r="S102" s="1">
        <v>-0.39806717400000002</v>
      </c>
      <c r="T102" s="1">
        <v>-0.51930359999999998</v>
      </c>
      <c r="U102" s="1">
        <v>-0.68944472000000001</v>
      </c>
    </row>
    <row r="103" spans="1:21" x14ac:dyDescent="0.25">
      <c r="A103" t="s">
        <v>291</v>
      </c>
      <c r="B103" t="s">
        <v>292</v>
      </c>
      <c r="C103" s="1">
        <v>-0.88532485000000005</v>
      </c>
      <c r="D103" s="110">
        <v>-0.97112730000000003</v>
      </c>
      <c r="E103" s="1">
        <v>-1.0234808</v>
      </c>
      <c r="F103" s="1">
        <v>-0.92847970000000002</v>
      </c>
      <c r="G103" s="1">
        <v>-0.90901723000000001</v>
      </c>
      <c r="H103" s="1">
        <v>-1.1398239400000001</v>
      </c>
      <c r="I103" s="1">
        <v>-0.99674898000000001</v>
      </c>
      <c r="J103" s="1">
        <v>-0.87646276999999995</v>
      </c>
      <c r="K103" s="1">
        <v>-0.91690249999999995</v>
      </c>
      <c r="L103" s="1">
        <v>-0.84439690000000001</v>
      </c>
      <c r="M103" s="1">
        <v>-0.83121850100000005</v>
      </c>
      <c r="N103" s="1">
        <v>-1.0413012779999999</v>
      </c>
      <c r="O103" s="1">
        <v>-0.928041687</v>
      </c>
      <c r="P103" s="1">
        <v>-0.87429020000000002</v>
      </c>
      <c r="Q103" s="1">
        <v>-0.92165472000000004</v>
      </c>
      <c r="R103" s="1">
        <v>-0.84570959999999995</v>
      </c>
      <c r="S103" s="1">
        <v>-0.82943300900000005</v>
      </c>
      <c r="T103" s="1">
        <v>-1.0456943000000001</v>
      </c>
      <c r="U103" s="1">
        <v>-0.92911436400000003</v>
      </c>
    </row>
    <row r="104" spans="1:21" x14ac:dyDescent="0.25">
      <c r="A104" t="s">
        <v>294</v>
      </c>
      <c r="B104" t="s">
        <v>295</v>
      </c>
      <c r="C104" s="1">
        <v>-0.88552624000000002</v>
      </c>
      <c r="D104" s="110">
        <v>-0.98963719999999999</v>
      </c>
      <c r="E104" s="1">
        <v>-1.0375534</v>
      </c>
      <c r="F104" s="1">
        <v>-1.0010888</v>
      </c>
      <c r="G104" s="1">
        <v>-0.85789203000000003</v>
      </c>
      <c r="H104" s="1">
        <v>-0.99306696000000005</v>
      </c>
      <c r="I104" s="1">
        <v>-0.9941932</v>
      </c>
      <c r="J104" s="1">
        <v>-0.92919573</v>
      </c>
      <c r="K104" s="1">
        <v>-0.96887197999999997</v>
      </c>
      <c r="L104" s="1">
        <v>-0.947523</v>
      </c>
      <c r="M104" s="1">
        <v>-0.80821907599999998</v>
      </c>
      <c r="N104" s="1">
        <v>-0.92957675900000003</v>
      </c>
      <c r="O104" s="1">
        <v>-0.95042256700000005</v>
      </c>
      <c r="P104" s="1">
        <v>-0.91980861000000003</v>
      </c>
      <c r="Q104" s="1">
        <v>-0.96412894999999998</v>
      </c>
      <c r="R104" s="1">
        <v>-0.94140889999999999</v>
      </c>
      <c r="S104" s="1">
        <v>-0.80050440099999998</v>
      </c>
      <c r="T104" s="1">
        <v>-0.92519222000000001</v>
      </c>
      <c r="U104" s="1">
        <v>-0.94542647000000002</v>
      </c>
    </row>
    <row r="105" spans="1:21" x14ac:dyDescent="0.25">
      <c r="A105" t="s">
        <v>297</v>
      </c>
      <c r="B105" t="s">
        <v>298</v>
      </c>
      <c r="C105" s="1">
        <v>-0.89144201000000001</v>
      </c>
      <c r="D105" s="110">
        <v>-0.88927469999999997</v>
      </c>
      <c r="E105" s="1">
        <v>-0.84695010000000004</v>
      </c>
      <c r="F105" s="1">
        <v>-0.83125479999999996</v>
      </c>
      <c r="G105" s="1">
        <v>-0.88708653999999998</v>
      </c>
      <c r="H105" s="1">
        <v>-0.80409934999999999</v>
      </c>
      <c r="I105" s="1">
        <v>-0.88286871</v>
      </c>
      <c r="J105" s="1">
        <v>-0.89926835000000005</v>
      </c>
      <c r="K105" s="1">
        <v>-0.85238764</v>
      </c>
      <c r="L105" s="1">
        <v>-0.84122790000000003</v>
      </c>
      <c r="M105" s="1">
        <v>-0.89529969300000001</v>
      </c>
      <c r="N105" s="1">
        <v>-0.80912590399999995</v>
      </c>
      <c r="O105" s="1">
        <v>-0.89101816499999997</v>
      </c>
      <c r="P105" s="1">
        <v>-0.88372223000000005</v>
      </c>
      <c r="Q105" s="1">
        <v>-0.84223579999999998</v>
      </c>
      <c r="R105" s="1">
        <v>-0.83003119999999997</v>
      </c>
      <c r="S105" s="1">
        <v>-0.88252333299999997</v>
      </c>
      <c r="T105" s="1">
        <v>-0.79974139</v>
      </c>
      <c r="U105" s="1">
        <v>-0.881868918</v>
      </c>
    </row>
    <row r="106" spans="1:21" x14ac:dyDescent="0.25">
      <c r="A106" t="s">
        <v>300</v>
      </c>
      <c r="B106" t="s">
        <v>301</v>
      </c>
      <c r="C106" s="1">
        <v>-0.8367194</v>
      </c>
      <c r="D106" s="110">
        <v>-0.96043840000000003</v>
      </c>
      <c r="E106" s="1">
        <v>-0.9901238</v>
      </c>
      <c r="F106" s="1">
        <v>-0.93047800000000003</v>
      </c>
      <c r="G106" s="1">
        <v>-0.79852677000000005</v>
      </c>
      <c r="H106" s="1">
        <v>-0.89922499</v>
      </c>
      <c r="I106" s="1">
        <v>-0.86941946999999997</v>
      </c>
      <c r="J106" s="1">
        <v>-0.89485294999999998</v>
      </c>
      <c r="K106" s="1">
        <v>-0.91474482000000001</v>
      </c>
      <c r="L106" s="1">
        <v>-0.87251409999999996</v>
      </c>
      <c r="M106" s="1">
        <v>-0.74462626499999995</v>
      </c>
      <c r="N106" s="1">
        <v>-0.82954348</v>
      </c>
      <c r="O106" s="1">
        <v>-0.82205495399999995</v>
      </c>
      <c r="P106" s="1">
        <v>-0.88487702000000001</v>
      </c>
      <c r="Q106" s="1">
        <v>-0.91088458999999999</v>
      </c>
      <c r="R106" s="1">
        <v>-0.86656690000000003</v>
      </c>
      <c r="S106" s="1">
        <v>-0.73642768300000006</v>
      </c>
      <c r="T106" s="1">
        <v>-0.82597503000000005</v>
      </c>
      <c r="U106" s="1">
        <v>-0.81719520499999998</v>
      </c>
    </row>
    <row r="107" spans="1:21" x14ac:dyDescent="0.25">
      <c r="A107" t="s">
        <v>303</v>
      </c>
      <c r="B107" t="s">
        <v>304</v>
      </c>
      <c r="C107" s="1">
        <v>-0.59907160999999998</v>
      </c>
      <c r="D107" s="110">
        <v>-0.80947210000000003</v>
      </c>
      <c r="E107" s="1">
        <v>-0.89997530000000003</v>
      </c>
      <c r="F107" s="1">
        <v>-0.82700340000000006</v>
      </c>
      <c r="G107" s="1">
        <v>-0.50175247000000001</v>
      </c>
      <c r="H107" s="1">
        <v>-0.79585647000000004</v>
      </c>
      <c r="I107" s="1">
        <v>-0.87329778999999996</v>
      </c>
      <c r="J107" s="1">
        <v>-0.72016997999999999</v>
      </c>
      <c r="K107" s="1">
        <v>-0.79874900000000004</v>
      </c>
      <c r="L107" s="1">
        <v>-0.74781280000000006</v>
      </c>
      <c r="M107" s="1">
        <v>-0.42836073699999999</v>
      </c>
      <c r="N107" s="1">
        <v>-0.70228132300000001</v>
      </c>
      <c r="O107" s="1">
        <v>-0.80858810699999994</v>
      </c>
      <c r="P107" s="1">
        <v>-0.73986626</v>
      </c>
      <c r="Q107" s="1">
        <v>-0.82737000000000005</v>
      </c>
      <c r="R107" s="1">
        <v>-0.76934689999999994</v>
      </c>
      <c r="S107" s="1">
        <v>-0.44454785200000002</v>
      </c>
      <c r="T107" s="1">
        <v>-0.72873902000000002</v>
      </c>
      <c r="U107" s="1">
        <v>-0.82618441300000001</v>
      </c>
    </row>
    <row r="108" spans="1:21" x14ac:dyDescent="0.25">
      <c r="A108" t="s">
        <v>306</v>
      </c>
      <c r="B108" t="s">
        <v>307</v>
      </c>
      <c r="C108" s="1">
        <v>-0.80072730999999997</v>
      </c>
      <c r="D108" s="110">
        <v>-0.98107949999999999</v>
      </c>
      <c r="E108" s="1">
        <v>-0.99880709999999995</v>
      </c>
      <c r="F108" s="1">
        <v>-0.96000980000000002</v>
      </c>
      <c r="G108" s="1">
        <v>-0.79926713999999999</v>
      </c>
      <c r="H108" s="1">
        <v>-0.89799474000000001</v>
      </c>
      <c r="I108" s="1">
        <v>-0.88071071999999995</v>
      </c>
      <c r="J108" s="1">
        <v>-0.83792538000000005</v>
      </c>
      <c r="K108" s="1">
        <v>-0.84418322000000001</v>
      </c>
      <c r="L108" s="1">
        <v>-0.83162290000000005</v>
      </c>
      <c r="M108" s="1">
        <v>-0.68161797400000002</v>
      </c>
      <c r="N108" s="1">
        <v>-0.75505805000000004</v>
      </c>
      <c r="O108" s="1">
        <v>-0.77580083700000002</v>
      </c>
      <c r="P108" s="1">
        <v>-0.81293605999999996</v>
      </c>
      <c r="Q108" s="1">
        <v>-0.81997578999999998</v>
      </c>
      <c r="R108" s="1">
        <v>-0.80994639999999996</v>
      </c>
      <c r="S108" s="1">
        <v>-0.66108084700000003</v>
      </c>
      <c r="T108" s="1">
        <v>-0.73268032000000005</v>
      </c>
      <c r="U108" s="1">
        <v>-0.758088121</v>
      </c>
    </row>
    <row r="109" spans="1:21" x14ac:dyDescent="0.25">
      <c r="A109" t="s">
        <v>309</v>
      </c>
      <c r="B109" t="s">
        <v>310</v>
      </c>
      <c r="C109" s="1">
        <v>-0.69164672999999999</v>
      </c>
      <c r="D109" s="110">
        <v>-0.838036</v>
      </c>
      <c r="E109" s="1">
        <v>-0.88476129999999997</v>
      </c>
      <c r="F109" s="1">
        <v>-0.85650630000000005</v>
      </c>
      <c r="G109" s="1">
        <v>-0.63204406000000002</v>
      </c>
      <c r="H109" s="1">
        <v>-0.78657111000000002</v>
      </c>
      <c r="I109" s="1">
        <v>-0.90274198999999999</v>
      </c>
      <c r="J109" s="1">
        <v>-0.77033593</v>
      </c>
      <c r="K109" s="1">
        <v>-0.80393106000000003</v>
      </c>
      <c r="L109" s="1">
        <v>-0.79724340000000005</v>
      </c>
      <c r="M109" s="1">
        <v>-0.57640571799999996</v>
      </c>
      <c r="N109" s="1">
        <v>-0.71185035699999999</v>
      </c>
      <c r="O109" s="1">
        <v>-0.85431598399999997</v>
      </c>
      <c r="P109" s="1">
        <v>-0.77682240999999996</v>
      </c>
      <c r="Q109" s="1">
        <v>-0.82168085999999996</v>
      </c>
      <c r="R109" s="1">
        <v>-0.80821659999999995</v>
      </c>
      <c r="S109" s="1">
        <v>-0.581736535</v>
      </c>
      <c r="T109" s="1">
        <v>-0.72825854000000001</v>
      </c>
      <c r="U109" s="1">
        <v>-0.86328260700000004</v>
      </c>
    </row>
    <row r="110" spans="1:21" x14ac:dyDescent="0.25">
      <c r="A110" t="s">
        <v>312</v>
      </c>
      <c r="B110" t="s">
        <v>313</v>
      </c>
      <c r="C110" s="1">
        <v>-0.82394067000000004</v>
      </c>
      <c r="D110" s="110">
        <v>-0.91928080000000001</v>
      </c>
      <c r="E110" s="1">
        <v>-0.93697090000000005</v>
      </c>
      <c r="F110" s="1">
        <v>-0.9508046</v>
      </c>
      <c r="G110" s="1">
        <v>-0.79803550999999995</v>
      </c>
      <c r="H110" s="1">
        <v>-0.82625258999999995</v>
      </c>
      <c r="I110" s="1">
        <v>-0.88633576999999997</v>
      </c>
      <c r="J110" s="1">
        <v>-0.86586531</v>
      </c>
      <c r="K110" s="1">
        <v>-0.87561560999999999</v>
      </c>
      <c r="L110" s="1">
        <v>-0.90358959999999999</v>
      </c>
      <c r="M110" s="1">
        <v>-0.754136731</v>
      </c>
      <c r="N110" s="1">
        <v>-0.76953485399999999</v>
      </c>
      <c r="O110" s="1">
        <v>-0.84775455099999997</v>
      </c>
      <c r="P110" s="1">
        <v>-0.85853743999999999</v>
      </c>
      <c r="Q110" s="1">
        <v>-0.87327955000000002</v>
      </c>
      <c r="R110" s="1">
        <v>-0.89945390000000003</v>
      </c>
      <c r="S110" s="1">
        <v>-0.74811442299999997</v>
      </c>
      <c r="T110" s="1">
        <v>-0.76737537</v>
      </c>
      <c r="U110" s="1">
        <v>-0.84437511899999995</v>
      </c>
    </row>
    <row r="111" spans="1:21" x14ac:dyDescent="0.25">
      <c r="A111" t="s">
        <v>315</v>
      </c>
      <c r="B111" t="s">
        <v>316</v>
      </c>
      <c r="C111" s="1">
        <v>-0.78106978999999999</v>
      </c>
      <c r="D111" s="110">
        <v>-0.80579999999999996</v>
      </c>
      <c r="E111" s="1">
        <v>-0.84495350000000002</v>
      </c>
      <c r="F111" s="1">
        <v>-0.77582640000000003</v>
      </c>
      <c r="G111" s="1">
        <v>-0.75657748999999996</v>
      </c>
      <c r="H111" s="1">
        <v>-0.76335633999999997</v>
      </c>
      <c r="I111" s="1">
        <v>-0.57990379999999997</v>
      </c>
      <c r="J111" s="1">
        <v>-0.80807832999999996</v>
      </c>
      <c r="K111" s="1">
        <v>-0.84099855999999995</v>
      </c>
      <c r="L111" s="1">
        <v>-0.77907990000000005</v>
      </c>
      <c r="M111" s="1">
        <v>-0.75844989699999998</v>
      </c>
      <c r="N111" s="1">
        <v>-0.759700292</v>
      </c>
      <c r="O111" s="1">
        <v>-0.58256232600000002</v>
      </c>
      <c r="P111" s="1">
        <v>-0.80465929999999997</v>
      </c>
      <c r="Q111" s="1">
        <v>-0.84528844000000003</v>
      </c>
      <c r="R111" s="1">
        <v>-0.77965879999999999</v>
      </c>
      <c r="S111" s="1">
        <v>-0.75564001400000003</v>
      </c>
      <c r="T111" s="1">
        <v>-0.76366592</v>
      </c>
      <c r="U111" s="1">
        <v>-0.58303540300000001</v>
      </c>
    </row>
    <row r="112" spans="1:21" x14ac:dyDescent="0.25">
      <c r="A112" t="s">
        <v>318</v>
      </c>
      <c r="B112" t="s">
        <v>319</v>
      </c>
      <c r="C112" s="1">
        <v>-0.52618549000000003</v>
      </c>
      <c r="D112" s="110">
        <v>-0.62906470000000003</v>
      </c>
      <c r="E112" s="1">
        <v>-0.74691620000000003</v>
      </c>
      <c r="F112" s="1">
        <v>-0.73608669999999998</v>
      </c>
      <c r="G112" s="1">
        <v>-0.43760494</v>
      </c>
      <c r="H112" s="1">
        <v>-0.67828206000000002</v>
      </c>
      <c r="I112" s="1">
        <v>-0.70998384000000003</v>
      </c>
      <c r="J112" s="1">
        <v>-0.61922527000000005</v>
      </c>
      <c r="K112" s="1">
        <v>-0.72566911999999995</v>
      </c>
      <c r="L112" s="1">
        <v>-0.72926539999999995</v>
      </c>
      <c r="M112" s="1">
        <v>-0.42951858300000001</v>
      </c>
      <c r="N112" s="1">
        <v>-0.658640907</v>
      </c>
      <c r="O112" s="1">
        <v>-0.70440983599999996</v>
      </c>
      <c r="P112" s="1">
        <v>-0.63517398000000003</v>
      </c>
      <c r="Q112" s="1">
        <v>-0.75614886999999997</v>
      </c>
      <c r="R112" s="1">
        <v>-0.7501082</v>
      </c>
      <c r="S112" s="1">
        <v>-0.44262580600000001</v>
      </c>
      <c r="T112" s="1">
        <v>-0.68681685000000003</v>
      </c>
      <c r="U112" s="1">
        <v>-0.72144128900000004</v>
      </c>
    </row>
    <row r="113" spans="1:21" x14ac:dyDescent="0.25">
      <c r="A113" t="s">
        <v>321</v>
      </c>
      <c r="B113" t="s">
        <v>322</v>
      </c>
      <c r="C113" s="1">
        <v>-0.76133664000000001</v>
      </c>
      <c r="D113" s="110">
        <v>-0.9529202</v>
      </c>
      <c r="E113" s="1">
        <v>-1.0798519</v>
      </c>
      <c r="F113" s="1">
        <v>-0.98138689999999995</v>
      </c>
      <c r="G113" s="1">
        <v>-0.72413117000000005</v>
      </c>
      <c r="H113" s="1">
        <v>-1.0166052400000001</v>
      </c>
      <c r="I113" s="1">
        <v>-0.95247568999999999</v>
      </c>
      <c r="J113" s="1">
        <v>-0.82661947999999996</v>
      </c>
      <c r="K113" s="1">
        <v>-0.94094067999999997</v>
      </c>
      <c r="L113" s="1">
        <v>-0.86858469999999999</v>
      </c>
      <c r="M113" s="1">
        <v>-0.620332667</v>
      </c>
      <c r="N113" s="1">
        <v>-0.88819352500000004</v>
      </c>
      <c r="O113" s="1">
        <v>-0.86030063700000003</v>
      </c>
      <c r="P113" s="1">
        <v>-0.81831836999999996</v>
      </c>
      <c r="Q113" s="1">
        <v>-0.93740484000000002</v>
      </c>
      <c r="R113" s="1">
        <v>-0.8634849</v>
      </c>
      <c r="S113" s="1">
        <v>-0.61351050900000004</v>
      </c>
      <c r="T113" s="1">
        <v>-0.88492493999999999</v>
      </c>
      <c r="U113" s="1">
        <v>-0.85613343600000003</v>
      </c>
    </row>
    <row r="114" spans="1:21" x14ac:dyDescent="0.25">
      <c r="A114" t="s">
        <v>324</v>
      </c>
      <c r="B114" t="s">
        <v>325</v>
      </c>
      <c r="C114" s="1">
        <v>-0.91851039999999995</v>
      </c>
      <c r="D114" s="110">
        <v>-0.95333210000000002</v>
      </c>
      <c r="E114" s="1">
        <v>-1.0250161</v>
      </c>
      <c r="F114" s="1">
        <v>-1.0522414</v>
      </c>
      <c r="G114" s="1">
        <v>-0.86766328000000004</v>
      </c>
      <c r="H114" s="1">
        <v>-1.01175478</v>
      </c>
      <c r="I114" s="1">
        <v>-1.1444713799999999</v>
      </c>
      <c r="J114" s="1">
        <v>-0.96061123000000004</v>
      </c>
      <c r="K114" s="1">
        <v>-1.0311688400000001</v>
      </c>
      <c r="L114" s="1">
        <v>-1.0590921</v>
      </c>
      <c r="M114" s="1">
        <v>-0.87364549400000002</v>
      </c>
      <c r="N114" s="1">
        <v>-1.017442462</v>
      </c>
      <c r="O114" s="1">
        <v>-1.1500693310000001</v>
      </c>
      <c r="P114" s="1">
        <v>-1.01755153</v>
      </c>
      <c r="Q114" s="1">
        <v>-1.0941379200000001</v>
      </c>
      <c r="R114" s="1">
        <v>-1.1121258000000001</v>
      </c>
      <c r="S114" s="1">
        <v>-0.920441077</v>
      </c>
      <c r="T114" s="1">
        <v>-1.07565205</v>
      </c>
      <c r="U114" s="1">
        <v>-1.193405209</v>
      </c>
    </row>
    <row r="115" spans="1:21" x14ac:dyDescent="0.25">
      <c r="A115" t="s">
        <v>327</v>
      </c>
      <c r="B115" t="s">
        <v>328</v>
      </c>
      <c r="C115" s="1">
        <v>-0.68434024999999998</v>
      </c>
      <c r="D115" s="110">
        <v>-0.77854570000000001</v>
      </c>
      <c r="E115" s="1">
        <v>-0.88372300000000004</v>
      </c>
      <c r="F115" s="1">
        <v>-0.80407810000000002</v>
      </c>
      <c r="G115" s="1">
        <v>-0.62122451000000001</v>
      </c>
      <c r="H115" s="1">
        <v>-0.83466286000000001</v>
      </c>
      <c r="I115" s="1">
        <v>-0.83086844000000004</v>
      </c>
      <c r="J115" s="1">
        <v>-0.75122069000000002</v>
      </c>
      <c r="K115" s="1">
        <v>-0.85068076000000004</v>
      </c>
      <c r="L115" s="1">
        <v>-0.78023719999999996</v>
      </c>
      <c r="M115" s="1">
        <v>-0.59876782699999997</v>
      </c>
      <c r="N115" s="1">
        <v>-0.80411814100000001</v>
      </c>
      <c r="O115" s="1">
        <v>-0.81138715299999997</v>
      </c>
      <c r="P115" s="1">
        <v>-0.78258256999999998</v>
      </c>
      <c r="Q115" s="1">
        <v>-0.88914274999999998</v>
      </c>
      <c r="R115" s="1">
        <v>-0.81120979999999998</v>
      </c>
      <c r="S115" s="1">
        <v>-0.62454215199999996</v>
      </c>
      <c r="T115" s="1">
        <v>-0.83967298999999995</v>
      </c>
      <c r="U115" s="1">
        <v>-0.83669601999999998</v>
      </c>
    </row>
    <row r="116" spans="1:21" x14ac:dyDescent="0.25">
      <c r="A116" t="s">
        <v>330</v>
      </c>
      <c r="B116" t="s">
        <v>331</v>
      </c>
      <c r="C116" s="1">
        <v>-0.72643999000000004</v>
      </c>
      <c r="D116" s="110">
        <v>-0.72314060000000002</v>
      </c>
      <c r="E116" s="1">
        <v>-0.77459710000000004</v>
      </c>
      <c r="F116" s="1">
        <v>-0.88833629999999997</v>
      </c>
      <c r="G116" s="1">
        <v>-0.61488343000000001</v>
      </c>
      <c r="H116" s="1">
        <v>-0.67742152</v>
      </c>
      <c r="I116" s="1">
        <v>-0.88556588999999997</v>
      </c>
      <c r="J116" s="1">
        <v>-0.81944925999999996</v>
      </c>
      <c r="K116" s="1">
        <v>-0.86785372999999999</v>
      </c>
      <c r="L116" s="1">
        <v>-0.97674130000000003</v>
      </c>
      <c r="M116" s="1">
        <v>-0.69403336400000004</v>
      </c>
      <c r="N116" s="1">
        <v>-0.76362941799999995</v>
      </c>
      <c r="O116" s="1">
        <v>-0.95780504099999997</v>
      </c>
      <c r="P116" s="1">
        <v>-0.86754288999999996</v>
      </c>
      <c r="Q116" s="1">
        <v>-0.93104774999999995</v>
      </c>
      <c r="R116" s="1">
        <v>-1.0262020999999999</v>
      </c>
      <c r="S116" s="1">
        <v>-0.73355844199999998</v>
      </c>
      <c r="T116" s="1">
        <v>-0.82204694</v>
      </c>
      <c r="U116" s="1">
        <v>-0.99822134100000004</v>
      </c>
    </row>
    <row r="117" spans="1:21" x14ac:dyDescent="0.25">
      <c r="A117" t="s">
        <v>333</v>
      </c>
      <c r="B117" t="s">
        <v>334</v>
      </c>
      <c r="C117" s="1">
        <v>-0.47673812999999998</v>
      </c>
      <c r="D117" s="110">
        <v>-0.64080990000000004</v>
      </c>
      <c r="E117" s="1">
        <v>-0.68258209999999997</v>
      </c>
      <c r="F117" s="1">
        <v>-0.69295260000000003</v>
      </c>
      <c r="G117" s="1">
        <v>-0.36385970000000001</v>
      </c>
      <c r="H117" s="1">
        <v>-0.55994319000000004</v>
      </c>
      <c r="I117" s="1">
        <v>-0.63963064000000003</v>
      </c>
      <c r="J117" s="1">
        <v>-0.60826382999999995</v>
      </c>
      <c r="K117" s="1">
        <v>-0.64221096</v>
      </c>
      <c r="L117" s="1">
        <v>-0.66474800000000001</v>
      </c>
      <c r="M117" s="1">
        <v>-0.33711218999999998</v>
      </c>
      <c r="N117" s="1">
        <v>-0.52262346400000004</v>
      </c>
      <c r="O117" s="1">
        <v>-0.61658356400000003</v>
      </c>
      <c r="P117" s="1">
        <v>-0.60609126999999996</v>
      </c>
      <c r="Q117" s="1">
        <v>-0.64696317999999997</v>
      </c>
      <c r="R117" s="1">
        <v>-0.66606069999999995</v>
      </c>
      <c r="S117" s="1">
        <v>-0.33532669700000001</v>
      </c>
      <c r="T117" s="1">
        <v>-0.52701648999999995</v>
      </c>
      <c r="U117" s="1">
        <v>-0.61765624200000002</v>
      </c>
    </row>
    <row r="118" spans="1:21" x14ac:dyDescent="0.25">
      <c r="A118" t="s">
        <v>336</v>
      </c>
      <c r="B118" t="s">
        <v>337</v>
      </c>
      <c r="C118" s="1">
        <v>-0.62718103999999997</v>
      </c>
      <c r="D118" s="110">
        <v>-0.76988020000000001</v>
      </c>
      <c r="E118" s="1">
        <v>-0.80522289999999996</v>
      </c>
      <c r="F118" s="1">
        <v>-0.86827480000000001</v>
      </c>
      <c r="G118" s="1">
        <v>-0.53824411999999999</v>
      </c>
      <c r="H118" s="1">
        <v>-0.70596375</v>
      </c>
      <c r="I118" s="1">
        <v>-0.83676620000000002</v>
      </c>
      <c r="J118" s="1">
        <v>-0.73425132999999998</v>
      </c>
      <c r="K118" s="1">
        <v>-0.76750578000000003</v>
      </c>
      <c r="L118" s="1">
        <v>-0.83617669999999999</v>
      </c>
      <c r="M118" s="1">
        <v>-0.50896301700000002</v>
      </c>
      <c r="N118" s="1">
        <v>-0.671097481</v>
      </c>
      <c r="O118" s="1">
        <v>-0.81053758200000003</v>
      </c>
      <c r="P118" s="1">
        <v>-0.72154523000000004</v>
      </c>
      <c r="Q118" s="1">
        <v>-0.75358062000000003</v>
      </c>
      <c r="R118" s="1">
        <v>-0.82440119999999995</v>
      </c>
      <c r="S118" s="1">
        <v>-0.49852068500000002</v>
      </c>
      <c r="T118" s="1">
        <v>-0.65822484999999997</v>
      </c>
      <c r="U118" s="1">
        <v>-0.80091538200000001</v>
      </c>
    </row>
    <row r="119" spans="1:21" x14ac:dyDescent="0.25">
      <c r="A119" t="s">
        <v>339</v>
      </c>
      <c r="B119" t="s">
        <v>340</v>
      </c>
      <c r="C119" s="1">
        <v>-0.99713664999999996</v>
      </c>
      <c r="D119" s="110">
        <v>-1.0271679</v>
      </c>
      <c r="E119" s="1">
        <v>-0.98141840000000002</v>
      </c>
      <c r="F119" s="1">
        <v>-1.0176324999999999</v>
      </c>
      <c r="G119" s="1">
        <v>-0.98962536000000001</v>
      </c>
      <c r="H119" s="1">
        <v>-0.94505760999999999</v>
      </c>
      <c r="I119" s="1">
        <v>-1.1646975799999999</v>
      </c>
      <c r="J119" s="1">
        <v>-1.0105531699999999</v>
      </c>
      <c r="K119" s="1">
        <v>-0.96358465000000004</v>
      </c>
      <c r="L119" s="1">
        <v>-1.0027105000000001</v>
      </c>
      <c r="M119" s="1">
        <v>-0.97597077899999995</v>
      </c>
      <c r="N119" s="1">
        <v>-0.92857176799999996</v>
      </c>
      <c r="O119" s="1">
        <v>-1.1525042619999999</v>
      </c>
      <c r="P119" s="1">
        <v>-1.01506209</v>
      </c>
      <c r="Q119" s="1">
        <v>-0.96856892000000006</v>
      </c>
      <c r="R119" s="1">
        <v>-1.0069090999999999</v>
      </c>
      <c r="S119" s="1">
        <v>-0.97967637399999996</v>
      </c>
      <c r="T119" s="1">
        <v>-0.93317930999999998</v>
      </c>
      <c r="U119" s="1">
        <v>-1.155935113</v>
      </c>
    </row>
    <row r="120" spans="1:21" x14ac:dyDescent="0.25">
      <c r="A120" t="s">
        <v>342</v>
      </c>
      <c r="B120" t="s">
        <v>343</v>
      </c>
      <c r="C120" s="1">
        <v>-0.52524333999999995</v>
      </c>
      <c r="D120" s="110">
        <v>-0.57662259999999999</v>
      </c>
      <c r="E120" s="1">
        <v>-0.64963000000000004</v>
      </c>
      <c r="F120" s="1">
        <v>-0.68835310000000005</v>
      </c>
      <c r="G120" s="1">
        <v>-0.3389644</v>
      </c>
      <c r="H120" s="1">
        <v>-0.60049370999999996</v>
      </c>
      <c r="I120" s="1">
        <v>-0.53834075999999997</v>
      </c>
      <c r="J120" s="1">
        <v>-0.70022298000000005</v>
      </c>
      <c r="K120" s="1">
        <v>-0.77060574999999998</v>
      </c>
      <c r="L120" s="1">
        <v>-0.80156640000000001</v>
      </c>
      <c r="M120" s="1">
        <v>-0.44054367500000002</v>
      </c>
      <c r="N120" s="1">
        <v>-0.71232557299999999</v>
      </c>
      <c r="O120" s="1">
        <v>-0.63085171299999998</v>
      </c>
      <c r="P120" s="1">
        <v>-0.70675904000000001</v>
      </c>
      <c r="Q120" s="1">
        <v>-0.79100680999999995</v>
      </c>
      <c r="R120" s="1">
        <v>-0.81379639999999998</v>
      </c>
      <c r="S120" s="1">
        <v>-0.44591524399999999</v>
      </c>
      <c r="T120" s="1">
        <v>-0.73118463</v>
      </c>
      <c r="U120" s="1">
        <v>-0.64084538199999996</v>
      </c>
    </row>
    <row r="121" spans="1:21" x14ac:dyDescent="0.25">
      <c r="A121" t="s">
        <v>345</v>
      </c>
      <c r="B121" t="s">
        <v>346</v>
      </c>
      <c r="C121" s="1">
        <v>-0.64263939000000003</v>
      </c>
      <c r="D121" s="110">
        <v>-0.57080969999999998</v>
      </c>
      <c r="E121" s="1">
        <v>-0.63581980000000005</v>
      </c>
      <c r="F121" s="1">
        <v>-0.69971910000000004</v>
      </c>
      <c r="G121" s="1">
        <v>-0.5570309</v>
      </c>
      <c r="H121" s="1">
        <v>-0.76225891000000001</v>
      </c>
      <c r="I121" s="1">
        <v>-0.80996193000000005</v>
      </c>
      <c r="J121" s="1">
        <v>-0.70518815999999995</v>
      </c>
      <c r="K121" s="1">
        <v>-0.76761400999999996</v>
      </c>
      <c r="L121" s="1">
        <v>-0.82275390000000004</v>
      </c>
      <c r="M121" s="1">
        <v>-0.66746799999999995</v>
      </c>
      <c r="N121" s="1">
        <v>-0.88409150700000005</v>
      </c>
      <c r="O121" s="1">
        <v>-0.91049844899999999</v>
      </c>
      <c r="P121" s="1">
        <v>-0.69269225000000001</v>
      </c>
      <c r="Q121" s="1">
        <v>-0.76846979000000004</v>
      </c>
      <c r="R121" s="1">
        <v>-0.81795799999999996</v>
      </c>
      <c r="S121" s="1">
        <v>-0.65719841499999998</v>
      </c>
      <c r="T121" s="1">
        <v>-0.88488259999999996</v>
      </c>
      <c r="U121" s="1">
        <v>-0.90657956200000001</v>
      </c>
    </row>
    <row r="122" spans="1:21" x14ac:dyDescent="0.25">
      <c r="A122" t="s">
        <v>348</v>
      </c>
      <c r="B122" t="s">
        <v>349</v>
      </c>
      <c r="C122" s="1">
        <v>-0.75015467000000002</v>
      </c>
      <c r="D122" s="110">
        <v>-0.83372429999999997</v>
      </c>
      <c r="E122" s="1">
        <v>-0.84866699999999995</v>
      </c>
      <c r="F122" s="1">
        <v>-0.84157110000000002</v>
      </c>
      <c r="G122" s="1">
        <v>-0.74430109</v>
      </c>
      <c r="H122" s="1">
        <v>-0.79160253999999997</v>
      </c>
      <c r="I122" s="1">
        <v>-0.74879602999999995</v>
      </c>
      <c r="J122" s="1">
        <v>-0.77092285000000005</v>
      </c>
      <c r="K122" s="1">
        <v>-0.77597835000000004</v>
      </c>
      <c r="L122" s="1">
        <v>-0.78616379999999997</v>
      </c>
      <c r="M122" s="1">
        <v>-0.69268859000000005</v>
      </c>
      <c r="N122" s="1">
        <v>-0.72440804000000003</v>
      </c>
      <c r="O122" s="1">
        <v>-0.70352059099999997</v>
      </c>
      <c r="P122" s="1">
        <v>-0.76710803000000005</v>
      </c>
      <c r="Q122" s="1">
        <v>-0.77906010000000003</v>
      </c>
      <c r="R122" s="1">
        <v>-0.78601480000000001</v>
      </c>
      <c r="S122" s="1">
        <v>-0.68955343300000005</v>
      </c>
      <c r="T122" s="1">
        <v>-0.72725684999999995</v>
      </c>
      <c r="U122" s="1">
        <v>-0.703398886</v>
      </c>
    </row>
    <row r="123" spans="1:21" x14ac:dyDescent="0.25">
      <c r="A123" t="s">
        <v>351</v>
      </c>
      <c r="B123" t="s">
        <v>352</v>
      </c>
      <c r="C123" s="1">
        <v>-0.64664129999999997</v>
      </c>
      <c r="D123" s="110">
        <v>-0.75828470000000003</v>
      </c>
      <c r="E123" s="1">
        <v>-0.78015350000000006</v>
      </c>
      <c r="F123" s="1">
        <v>-0.79685419999999996</v>
      </c>
      <c r="G123" s="1">
        <v>-0.66807348</v>
      </c>
      <c r="H123" s="1">
        <v>-0.74861982000000005</v>
      </c>
      <c r="I123" s="1">
        <v>-0.88511485999999995</v>
      </c>
      <c r="J123" s="1">
        <v>-0.64719119999999997</v>
      </c>
      <c r="K123" s="1">
        <v>-0.65552279000000002</v>
      </c>
      <c r="L123" s="1">
        <v>-0.69809509999999997</v>
      </c>
      <c r="M123" s="1">
        <v>-0.57677283999999995</v>
      </c>
      <c r="N123" s="1">
        <v>-0.63340929300000004</v>
      </c>
      <c r="O123" s="1">
        <v>-0.80441500300000002</v>
      </c>
      <c r="P123" s="1">
        <v>-0.64135396</v>
      </c>
      <c r="Q123" s="1">
        <v>-0.65702616999999996</v>
      </c>
      <c r="R123" s="1">
        <v>-0.69636940000000003</v>
      </c>
      <c r="S123" s="1">
        <v>-0.57197558800000003</v>
      </c>
      <c r="T123" s="1">
        <v>-0.63479903999999998</v>
      </c>
      <c r="U123" s="1">
        <v>-0.80300487099999995</v>
      </c>
    </row>
    <row r="124" spans="1:21" x14ac:dyDescent="0.25">
      <c r="A124" t="s">
        <v>351</v>
      </c>
      <c r="B124" t="s">
        <v>353</v>
      </c>
      <c r="C124" s="1">
        <v>-0.69083068999999997</v>
      </c>
      <c r="D124" s="110">
        <v>-0.78733969999999998</v>
      </c>
      <c r="E124" s="1">
        <v>-0.80955390000000005</v>
      </c>
      <c r="F124" s="1">
        <v>-0.749471</v>
      </c>
      <c r="G124" s="1">
        <v>-0.71215947000000002</v>
      </c>
      <c r="H124" s="1">
        <v>-0.73403664000000002</v>
      </c>
      <c r="I124" s="1">
        <v>-0.58667309000000001</v>
      </c>
      <c r="J124" s="1">
        <v>-0.68789551000000004</v>
      </c>
      <c r="K124" s="1">
        <v>-0.69749295</v>
      </c>
      <c r="L124" s="1">
        <v>-0.66116209999999997</v>
      </c>
      <c r="M124" s="1">
        <v>-0.63043267599999997</v>
      </c>
      <c r="N124" s="1">
        <v>-0.63044572300000001</v>
      </c>
      <c r="O124" s="1">
        <v>-0.51451241400000003</v>
      </c>
      <c r="P124" s="1">
        <v>-0.69582467999999997</v>
      </c>
      <c r="Q124" s="1">
        <v>-0.71354554000000003</v>
      </c>
      <c r="R124" s="1">
        <v>-0.67194359999999997</v>
      </c>
      <c r="S124" s="1">
        <v>-0.63694914899999999</v>
      </c>
      <c r="T124" s="1">
        <v>-0.64528498000000001</v>
      </c>
      <c r="U124" s="1">
        <v>-0.52332245300000002</v>
      </c>
    </row>
    <row r="125" spans="1:21" x14ac:dyDescent="0.25">
      <c r="A125" t="s">
        <v>355</v>
      </c>
      <c r="B125" t="s">
        <v>356</v>
      </c>
      <c r="C125" s="1">
        <v>-1.0014057199999999</v>
      </c>
      <c r="D125" s="110">
        <v>-0.69811909999999999</v>
      </c>
      <c r="E125" s="1">
        <v>-0.68897649999999999</v>
      </c>
      <c r="F125" s="1">
        <v>-0.56678550000000005</v>
      </c>
      <c r="G125" s="1">
        <v>-1.0900655100000001</v>
      </c>
      <c r="H125" s="1">
        <v>-1.06170331</v>
      </c>
      <c r="I125" s="1">
        <v>-0.84699356000000003</v>
      </c>
      <c r="J125" s="1">
        <v>-0.86480100999999998</v>
      </c>
      <c r="K125" s="1">
        <v>-0.85554580999999996</v>
      </c>
      <c r="L125" s="1">
        <v>-0.71881349999999999</v>
      </c>
      <c r="M125" s="1">
        <v>-1.2270507509999999</v>
      </c>
      <c r="N125" s="1">
        <v>-1.2156825309999999</v>
      </c>
      <c r="O125" s="1">
        <v>-0.97122149999999996</v>
      </c>
      <c r="P125" s="1">
        <v>-0.85991065</v>
      </c>
      <c r="Q125" s="1">
        <v>-0.86411506999999999</v>
      </c>
      <c r="R125" s="1">
        <v>-0.72077619999999998</v>
      </c>
      <c r="S125" s="1">
        <v>-1.2230316750000001</v>
      </c>
      <c r="T125" s="1">
        <v>-1.22360409</v>
      </c>
      <c r="U125" s="1">
        <v>-0.97282530899999997</v>
      </c>
    </row>
    <row r="126" spans="1:21" x14ac:dyDescent="0.25">
      <c r="A126" t="s">
        <v>358</v>
      </c>
      <c r="B126" t="s">
        <v>359</v>
      </c>
      <c r="C126" s="1">
        <v>-0.97368540000000003</v>
      </c>
      <c r="D126" s="110">
        <v>-0.87743610000000005</v>
      </c>
      <c r="E126" s="1">
        <v>-0.90675740000000005</v>
      </c>
      <c r="F126" s="1">
        <v>-0.68132879999999996</v>
      </c>
      <c r="G126" s="1">
        <v>-0.93722704000000001</v>
      </c>
      <c r="H126" s="1">
        <v>-1.15597883</v>
      </c>
      <c r="I126" s="1">
        <v>-0.77487349000000005</v>
      </c>
      <c r="J126" s="1">
        <v>-0.98699009999999998</v>
      </c>
      <c r="K126" s="1">
        <v>-1.0163904699999999</v>
      </c>
      <c r="L126" s="1">
        <v>-0.78122239999999998</v>
      </c>
      <c r="M126" s="1">
        <v>-1.0272624370000001</v>
      </c>
      <c r="N126" s="1">
        <v>-1.257325311</v>
      </c>
      <c r="O126" s="1">
        <v>-0.85650038399999995</v>
      </c>
      <c r="P126" s="1">
        <v>-0.98678290000000002</v>
      </c>
      <c r="Q126" s="1">
        <v>-1.0250518399999999</v>
      </c>
      <c r="R126" s="1">
        <v>-0.78517499999999996</v>
      </c>
      <c r="S126" s="1">
        <v>-1.027092152</v>
      </c>
      <c r="T126" s="1">
        <v>-1.26533202</v>
      </c>
      <c r="U126" s="1">
        <v>-0.85973019500000003</v>
      </c>
    </row>
    <row r="127" spans="1:21" x14ac:dyDescent="0.25">
      <c r="A127" t="s">
        <v>361</v>
      </c>
      <c r="B127" t="s">
        <v>362</v>
      </c>
      <c r="C127" s="1">
        <v>-0.85243497999999995</v>
      </c>
      <c r="D127" s="110">
        <v>-0.84701009999999999</v>
      </c>
      <c r="E127" s="1">
        <v>-0.86747479999999999</v>
      </c>
      <c r="F127" s="1">
        <v>-0.80535690000000004</v>
      </c>
      <c r="G127" s="1">
        <v>-0.80267102000000001</v>
      </c>
      <c r="H127" s="1">
        <v>-0.92506630000000001</v>
      </c>
      <c r="I127" s="1">
        <v>-1.0131535599999999</v>
      </c>
      <c r="J127" s="1">
        <v>-0.89780066000000003</v>
      </c>
      <c r="K127" s="1">
        <v>-0.92181139000000001</v>
      </c>
      <c r="L127" s="1">
        <v>-0.85100679999999995</v>
      </c>
      <c r="M127" s="1">
        <v>-0.84441250499999998</v>
      </c>
      <c r="N127" s="1">
        <v>-0.975295837</v>
      </c>
      <c r="O127" s="1">
        <v>-1.050455865</v>
      </c>
      <c r="P127" s="1">
        <v>-0.88049233000000005</v>
      </c>
      <c r="Q127" s="1">
        <v>-0.90302552999999997</v>
      </c>
      <c r="R127" s="1">
        <v>-0.83505149999999995</v>
      </c>
      <c r="S127" s="1">
        <v>-0.83018789500000001</v>
      </c>
      <c r="T127" s="1">
        <v>-0.9579299</v>
      </c>
      <c r="U127" s="1">
        <v>-1.037418202</v>
      </c>
    </row>
    <row r="128" spans="1:21" x14ac:dyDescent="0.25">
      <c r="A128" t="s">
        <v>363</v>
      </c>
      <c r="B128" t="s">
        <v>364</v>
      </c>
      <c r="C128" s="1">
        <v>-0.55076219999999998</v>
      </c>
      <c r="D128" s="110">
        <v>-0.59399259999999998</v>
      </c>
      <c r="E128" s="1">
        <v>-0.66636300000000004</v>
      </c>
      <c r="F128" s="1">
        <v>-0.74007860000000003</v>
      </c>
      <c r="G128" s="1">
        <v>-0.53608537999999994</v>
      </c>
      <c r="H128" s="1">
        <v>-0.76638432999999995</v>
      </c>
      <c r="I128" s="1">
        <v>-0.92374621999999995</v>
      </c>
      <c r="J128" s="1">
        <v>-0.56546057000000005</v>
      </c>
      <c r="K128" s="1">
        <v>-0.62801772</v>
      </c>
      <c r="L128" s="1">
        <v>-0.71590949999999998</v>
      </c>
      <c r="M128" s="1">
        <v>-0.51263669599999995</v>
      </c>
      <c r="N128" s="1">
        <v>-0.73093737400000003</v>
      </c>
      <c r="O128" s="1">
        <v>-0.90399676100000004</v>
      </c>
      <c r="P128" s="1">
        <v>-0.58103987999999995</v>
      </c>
      <c r="Q128" s="1">
        <v>-0.65458329999999998</v>
      </c>
      <c r="R128" s="1">
        <v>-0.73477360000000003</v>
      </c>
      <c r="S128" s="1">
        <v>-0.52544033599999995</v>
      </c>
      <c r="T128" s="1">
        <v>-0.75549500999999997</v>
      </c>
      <c r="U128" s="1">
        <v>-0.91941133399999997</v>
      </c>
    </row>
    <row r="129" spans="1:21" x14ac:dyDescent="0.25">
      <c r="A129" t="s">
        <v>366</v>
      </c>
      <c r="B129" t="s">
        <v>367</v>
      </c>
      <c r="C129" s="1">
        <v>-0.84146748000000005</v>
      </c>
      <c r="D129" s="110">
        <v>-0.68847639999999999</v>
      </c>
      <c r="E129" s="1">
        <v>-0.73613660000000003</v>
      </c>
      <c r="F129" s="1">
        <v>-0.66219220000000001</v>
      </c>
      <c r="G129" s="1">
        <v>-0.80347354000000004</v>
      </c>
      <c r="H129" s="1">
        <v>-0.96560869000000005</v>
      </c>
      <c r="I129" s="1">
        <v>-0.98407060999999996</v>
      </c>
      <c r="J129" s="1">
        <v>-0.84694522999999999</v>
      </c>
      <c r="K129" s="1">
        <v>-0.89346192000000002</v>
      </c>
      <c r="L129" s="1">
        <v>-0.80692470000000005</v>
      </c>
      <c r="M129" s="1">
        <v>-0.93370896299999995</v>
      </c>
      <c r="N129" s="1">
        <v>-1.1110426099999999</v>
      </c>
      <c r="O129" s="1">
        <v>-1.102337087</v>
      </c>
      <c r="P129" s="1">
        <v>-0.83214997999999996</v>
      </c>
      <c r="Q129" s="1">
        <v>-0.89203617000000002</v>
      </c>
      <c r="R129" s="1">
        <v>-0.80010899999999996</v>
      </c>
      <c r="S129" s="1">
        <v>-0.92154969399999997</v>
      </c>
      <c r="T129" s="1">
        <v>-1.1097246300000001</v>
      </c>
      <c r="U129" s="1">
        <v>-1.0967677739999999</v>
      </c>
    </row>
    <row r="130" spans="1:21" x14ac:dyDescent="0.25">
      <c r="A130" t="s">
        <v>369</v>
      </c>
      <c r="B130" t="s">
        <v>370</v>
      </c>
      <c r="C130" s="1">
        <v>-0.53008233000000005</v>
      </c>
      <c r="D130" s="110">
        <v>-0.55186460000000004</v>
      </c>
      <c r="E130" s="1">
        <v>-0.58442479999999997</v>
      </c>
      <c r="F130" s="1">
        <v>-0.7614803</v>
      </c>
      <c r="G130" s="1">
        <v>-0.35124786000000002</v>
      </c>
      <c r="H130" s="1">
        <v>-0.49071494999999998</v>
      </c>
      <c r="I130" s="1">
        <v>-0.85030397999999996</v>
      </c>
      <c r="J130" s="1">
        <v>-0.70053849999999995</v>
      </c>
      <c r="K130" s="1">
        <v>-0.73771310999999995</v>
      </c>
      <c r="L130" s="1">
        <v>-0.89619409999999999</v>
      </c>
      <c r="M130" s="1">
        <v>-0.47343341100000003</v>
      </c>
      <c r="N130" s="1">
        <v>-0.63241700899999997</v>
      </c>
      <c r="O130" s="1">
        <v>-0.96038381799999994</v>
      </c>
      <c r="P130" s="1">
        <v>-0.66049338000000002</v>
      </c>
      <c r="Q130" s="1">
        <v>-0.70127578000000002</v>
      </c>
      <c r="R130" s="1">
        <v>-0.86255570000000004</v>
      </c>
      <c r="S130" s="1">
        <v>-0.44052289100000003</v>
      </c>
      <c r="T130" s="1">
        <v>-0.59873379000000004</v>
      </c>
      <c r="U130" s="1">
        <v>-0.93289663300000003</v>
      </c>
    </row>
    <row r="131" spans="1:21" x14ac:dyDescent="0.25">
      <c r="A131" t="s">
        <v>372</v>
      </c>
      <c r="B131" t="s">
        <v>373</v>
      </c>
      <c r="C131" s="1">
        <v>-1.0753607599999999</v>
      </c>
      <c r="D131" s="110">
        <v>-0.91314090000000003</v>
      </c>
      <c r="E131" s="1">
        <v>-0.90785819999999995</v>
      </c>
      <c r="F131" s="1">
        <v>-0.76814740000000004</v>
      </c>
      <c r="G131" s="1">
        <v>-1.0960508600000001</v>
      </c>
      <c r="H131" s="1">
        <v>-1.1752174200000001</v>
      </c>
      <c r="I131" s="1">
        <v>-1.07273807</v>
      </c>
      <c r="J131" s="1">
        <v>-1.02491551</v>
      </c>
      <c r="K131" s="1">
        <v>-1.0197957499999999</v>
      </c>
      <c r="L131" s="1">
        <v>-0.87005030000000005</v>
      </c>
      <c r="M131" s="1">
        <v>-1.18791129</v>
      </c>
      <c r="N131" s="1">
        <v>-1.278694196</v>
      </c>
      <c r="O131" s="1">
        <v>-1.156006879</v>
      </c>
      <c r="P131" s="1">
        <v>-1.03142248</v>
      </c>
      <c r="Q131" s="1">
        <v>-1.0357240599999999</v>
      </c>
      <c r="R131" s="1">
        <v>-0.88018269999999998</v>
      </c>
      <c r="S131" s="1">
        <v>-1.193258956</v>
      </c>
      <c r="T131" s="1">
        <v>-1.29341857</v>
      </c>
      <c r="U131" s="1">
        <v>-1.164286435</v>
      </c>
    </row>
    <row r="132" spans="1:21" x14ac:dyDescent="0.25">
      <c r="A132" t="s">
        <v>375</v>
      </c>
      <c r="B132" t="s">
        <v>376</v>
      </c>
      <c r="C132" s="1">
        <v>-0.60619319000000005</v>
      </c>
      <c r="D132" s="110">
        <v>-0.72262820000000005</v>
      </c>
      <c r="E132" s="1">
        <v>-0.75073489999999998</v>
      </c>
      <c r="F132" s="1">
        <v>-0.8567553</v>
      </c>
      <c r="G132" s="1">
        <v>-0.33851972000000002</v>
      </c>
      <c r="H132" s="1">
        <v>-0.53752228999999996</v>
      </c>
      <c r="I132" s="1">
        <v>-0.63718606</v>
      </c>
      <c r="J132" s="1">
        <v>-0.87009113000000005</v>
      </c>
      <c r="K132" s="1">
        <v>-0.90378219999999998</v>
      </c>
      <c r="L132" s="1">
        <v>-0.9901818</v>
      </c>
      <c r="M132" s="1">
        <v>-0.45971007400000002</v>
      </c>
      <c r="N132" s="1">
        <v>-0.67900156099999998</v>
      </c>
      <c r="O132" s="1">
        <v>-0.74621400699999996</v>
      </c>
      <c r="P132" s="1">
        <v>-0.87340671999999997</v>
      </c>
      <c r="Q132" s="1">
        <v>-0.91246634000000004</v>
      </c>
      <c r="R132" s="1">
        <v>-0.99560950000000004</v>
      </c>
      <c r="S132" s="1">
        <v>-0.46243494899999998</v>
      </c>
      <c r="T132" s="1">
        <v>-0.68702932000000005</v>
      </c>
      <c r="U132" s="1">
        <v>-0.75064921699999998</v>
      </c>
    </row>
    <row r="133" spans="1:21" x14ac:dyDescent="0.25">
      <c r="A133" t="s">
        <v>378</v>
      </c>
      <c r="B133" t="s">
        <v>379</v>
      </c>
      <c r="C133" s="1">
        <v>-0.94516383000000004</v>
      </c>
      <c r="D133" s="110">
        <v>-0.90367299999999995</v>
      </c>
      <c r="E133" s="1">
        <v>-0.90317780000000003</v>
      </c>
      <c r="F133" s="1">
        <v>-0.8593075</v>
      </c>
      <c r="G133" s="1">
        <v>-0.90247111000000002</v>
      </c>
      <c r="H133" s="1">
        <v>-1.0599412500000001</v>
      </c>
      <c r="I133" s="1">
        <v>-1.07423117</v>
      </c>
      <c r="J133" s="1">
        <v>-0.97492038000000003</v>
      </c>
      <c r="K133" s="1">
        <v>-0.97773699999999997</v>
      </c>
      <c r="L133" s="1">
        <v>-0.92365730000000001</v>
      </c>
      <c r="M133" s="1">
        <v>-0.96102478800000002</v>
      </c>
      <c r="N133" s="1">
        <v>-1.128864944</v>
      </c>
      <c r="O133" s="1">
        <v>-1.1268139260000001</v>
      </c>
      <c r="P133" s="1">
        <v>-0.97509062000000002</v>
      </c>
      <c r="Q133" s="1">
        <v>-0.97963533000000003</v>
      </c>
      <c r="R133" s="1">
        <v>-0.92461329999999997</v>
      </c>
      <c r="S133" s="1">
        <v>-0.96116469699999996</v>
      </c>
      <c r="T133" s="1">
        <v>-1.1306197899999999</v>
      </c>
      <c r="U133" s="1">
        <v>-1.1275950690000001</v>
      </c>
    </row>
    <row r="134" spans="1:21" x14ac:dyDescent="0.25">
      <c r="A134" t="s">
        <v>381</v>
      </c>
      <c r="B134" t="s">
        <v>382</v>
      </c>
      <c r="C134" s="1">
        <v>-0.89088299000000004</v>
      </c>
      <c r="D134" s="110">
        <v>-0.77846820000000005</v>
      </c>
      <c r="E134" s="1">
        <v>-0.7968672</v>
      </c>
      <c r="F134" s="1">
        <v>-0.80613869999999999</v>
      </c>
      <c r="G134" s="1">
        <v>-0.79973240999999995</v>
      </c>
      <c r="H134" s="1">
        <v>-0.92649181999999997</v>
      </c>
      <c r="I134" s="1">
        <v>-1.06720769</v>
      </c>
      <c r="J134" s="1">
        <v>-0.95463671000000005</v>
      </c>
      <c r="K134" s="1">
        <v>-0.98539319000000003</v>
      </c>
      <c r="L134" s="1">
        <v>-0.96446600000000005</v>
      </c>
      <c r="M134" s="1">
        <v>-0.944514038</v>
      </c>
      <c r="N134" s="1">
        <v>-1.1007681119999999</v>
      </c>
      <c r="O134" s="1">
        <v>-1.1965829610000001</v>
      </c>
      <c r="P134" s="1">
        <v>-0.93088820999999999</v>
      </c>
      <c r="Q134" s="1">
        <v>-0.95901521000000001</v>
      </c>
      <c r="R134" s="1">
        <v>-0.94229320000000005</v>
      </c>
      <c r="S134" s="1">
        <v>-0.92499666800000002</v>
      </c>
      <c r="T134" s="1">
        <v>-1.0763838999999999</v>
      </c>
      <c r="U134" s="1">
        <v>-1.178464733</v>
      </c>
    </row>
    <row r="135" spans="1:21" x14ac:dyDescent="0.25">
      <c r="A135" t="s">
        <v>384</v>
      </c>
      <c r="B135" t="s">
        <v>385</v>
      </c>
      <c r="C135" s="1">
        <v>-1.0072874599999999</v>
      </c>
      <c r="D135" s="110">
        <v>-0.90287430000000002</v>
      </c>
      <c r="E135" s="1">
        <v>-0.91900029999999999</v>
      </c>
      <c r="F135" s="1">
        <v>-0.81914690000000001</v>
      </c>
      <c r="G135" s="1">
        <v>-0.87909861</v>
      </c>
      <c r="H135" s="1">
        <v>-1.0863576399999999</v>
      </c>
      <c r="I135" s="1">
        <v>-1.04779628</v>
      </c>
      <c r="J135" s="1">
        <v>-1.10212215</v>
      </c>
      <c r="K135" s="1">
        <v>-1.12429252</v>
      </c>
      <c r="L135" s="1">
        <v>-0.99971220000000005</v>
      </c>
      <c r="M135" s="1">
        <v>-1.0428476769999999</v>
      </c>
      <c r="N135" s="1">
        <v>-1.27613295</v>
      </c>
      <c r="O135" s="1">
        <v>-1.1953431839999999</v>
      </c>
      <c r="P135" s="1">
        <v>-1.10984416</v>
      </c>
      <c r="Q135" s="1">
        <v>-1.14136741</v>
      </c>
      <c r="R135" s="1">
        <v>-1.0108843999999999</v>
      </c>
      <c r="S135" s="1">
        <v>-1.049193898</v>
      </c>
      <c r="T135" s="1">
        <v>-1.29191725</v>
      </c>
      <c r="U135" s="1">
        <v>-1.2044723749999999</v>
      </c>
    </row>
    <row r="136" spans="1:21" x14ac:dyDescent="0.25">
      <c r="A136" t="s">
        <v>387</v>
      </c>
      <c r="B136" t="s">
        <v>388</v>
      </c>
      <c r="C136" s="1">
        <v>-0.87890643000000002</v>
      </c>
      <c r="D136" s="110">
        <v>-0.76523079999999999</v>
      </c>
      <c r="E136" s="1">
        <v>-0.8247565</v>
      </c>
      <c r="F136" s="1">
        <v>-0.79808120000000005</v>
      </c>
      <c r="G136" s="1">
        <v>-0.88738651999999996</v>
      </c>
      <c r="H136" s="1">
        <v>-1.0373617500000001</v>
      </c>
      <c r="I136" s="1">
        <v>-1.13262752</v>
      </c>
      <c r="J136" s="1">
        <v>-0.83434790000000003</v>
      </c>
      <c r="K136" s="1">
        <v>-0.88957869000000001</v>
      </c>
      <c r="L136" s="1">
        <v>-0.8619232</v>
      </c>
      <c r="M136" s="1">
        <v>-0.94418945899999995</v>
      </c>
      <c r="N136" s="1">
        <v>-1.097284387</v>
      </c>
      <c r="O136" s="1">
        <v>-1.1847952319999999</v>
      </c>
      <c r="P136" s="1">
        <v>-0.92703597999999998</v>
      </c>
      <c r="Q136" s="1">
        <v>-0.99984150000000005</v>
      </c>
      <c r="R136" s="1">
        <v>-0.95187089999999996</v>
      </c>
      <c r="S136" s="1">
        <v>-1.020363865</v>
      </c>
      <c r="T136" s="1">
        <v>-1.1992130299999999</v>
      </c>
      <c r="U136" s="1">
        <v>-1.25829502</v>
      </c>
    </row>
    <row r="137" spans="1:21" x14ac:dyDescent="0.25">
      <c r="A137" t="s">
        <v>390</v>
      </c>
      <c r="B137" t="s">
        <v>941</v>
      </c>
      <c r="C137" s="1">
        <v>-0.86301740999999998</v>
      </c>
      <c r="D137" s="110">
        <v>-0.79558490000000004</v>
      </c>
      <c r="E137" s="1">
        <v>-0.88213710000000001</v>
      </c>
      <c r="F137" s="1">
        <v>-0.77679100000000001</v>
      </c>
      <c r="G137" s="1">
        <v>-0.71144138999999995</v>
      </c>
      <c r="H137" s="1">
        <v>-1.02184589</v>
      </c>
      <c r="I137" s="1">
        <v>-1.03435484</v>
      </c>
      <c r="J137" s="1">
        <v>-0.98650576999999995</v>
      </c>
      <c r="K137" s="1">
        <v>-1.0795531199999999</v>
      </c>
      <c r="L137" s="1">
        <v>-0.9496774</v>
      </c>
      <c r="M137" s="1">
        <v>-0.86834701800000003</v>
      </c>
      <c r="N137" s="1">
        <v>-1.2043402590000001</v>
      </c>
      <c r="O137" s="1">
        <v>-1.1756270280000001</v>
      </c>
      <c r="P137" s="1">
        <v>-0.97066465999999996</v>
      </c>
      <c r="Q137" s="1">
        <v>-1.0701534699999999</v>
      </c>
      <c r="R137" s="1">
        <v>-0.93870889999999996</v>
      </c>
      <c r="S137" s="1">
        <v>-0.855328227</v>
      </c>
      <c r="T137" s="1">
        <v>-1.19565108</v>
      </c>
      <c r="U137" s="1">
        <v>-1.1666641740000001</v>
      </c>
    </row>
    <row r="138" spans="1:21" x14ac:dyDescent="0.25">
      <c r="A138" t="s">
        <v>392</v>
      </c>
      <c r="B138" t="s">
        <v>393</v>
      </c>
      <c r="C138" s="1">
        <v>-0.96698470000000003</v>
      </c>
      <c r="D138" s="110">
        <v>-1.0128094000000001</v>
      </c>
      <c r="E138" s="1">
        <v>-1.0606005000000001</v>
      </c>
      <c r="F138" s="1">
        <v>-0.95847550000000004</v>
      </c>
      <c r="G138" s="1">
        <v>-0.86848263999999997</v>
      </c>
      <c r="H138" s="1">
        <v>-1.1764429000000001</v>
      </c>
      <c r="I138" s="1">
        <v>-1.12566476</v>
      </c>
      <c r="J138" s="1">
        <v>-1.0463028000000001</v>
      </c>
      <c r="K138" s="1">
        <v>-1.0918008100000001</v>
      </c>
      <c r="L138" s="1">
        <v>-0.98945260000000002</v>
      </c>
      <c r="M138" s="1">
        <v>-0.89600876500000004</v>
      </c>
      <c r="N138" s="1">
        <v>-1.205284958</v>
      </c>
      <c r="O138" s="1">
        <v>-1.1509773459999999</v>
      </c>
      <c r="P138" s="1">
        <v>-1.1629588500000001</v>
      </c>
      <c r="Q138" s="1">
        <v>-1.22231354</v>
      </c>
      <c r="R138" s="1">
        <v>-1.0988070000000001</v>
      </c>
      <c r="S138" s="1">
        <v>-0.99188090600000001</v>
      </c>
      <c r="T138" s="1">
        <v>-1.3259329399999999</v>
      </c>
      <c r="U138" s="1">
        <v>-1.2403349749999999</v>
      </c>
    </row>
    <row r="139" spans="1:21" x14ac:dyDescent="0.25">
      <c r="A139" t="s">
        <v>395</v>
      </c>
      <c r="B139" t="s">
        <v>396</v>
      </c>
      <c r="C139" s="1">
        <v>-0.78514273999999995</v>
      </c>
      <c r="D139" s="110">
        <v>-0.81686859999999994</v>
      </c>
      <c r="E139" s="1">
        <v>-0.91621870000000005</v>
      </c>
      <c r="F139" s="1">
        <v>-0.86523810000000001</v>
      </c>
      <c r="G139" s="1">
        <v>-0.62107904999999997</v>
      </c>
      <c r="H139" s="1">
        <v>-0.92885715999999996</v>
      </c>
      <c r="I139" s="1">
        <v>-1.05411056</v>
      </c>
      <c r="J139" s="1">
        <v>-0.93461415999999997</v>
      </c>
      <c r="K139" s="1">
        <v>-1.0352772100000001</v>
      </c>
      <c r="L139" s="1">
        <v>-0.97236929999999999</v>
      </c>
      <c r="M139" s="1">
        <v>-0.71784660600000005</v>
      </c>
      <c r="N139" s="1">
        <v>-1.0389166889999999</v>
      </c>
      <c r="O139" s="1">
        <v>-1.1416516210000001</v>
      </c>
      <c r="P139" s="1">
        <v>-0.94578841999999996</v>
      </c>
      <c r="Q139" s="1">
        <v>-1.05526008</v>
      </c>
      <c r="R139" s="1">
        <v>-0.98633269999999995</v>
      </c>
      <c r="S139" s="1">
        <v>-0.72703001199999995</v>
      </c>
      <c r="T139" s="1">
        <v>-1.0573891600000001</v>
      </c>
      <c r="U139" s="1">
        <v>-1.1530615820000001</v>
      </c>
    </row>
    <row r="140" spans="1:21" x14ac:dyDescent="0.25">
      <c r="A140" t="s">
        <v>398</v>
      </c>
      <c r="B140" t="s">
        <v>399</v>
      </c>
      <c r="C140" s="1">
        <v>-0.68870743000000001</v>
      </c>
      <c r="D140" s="110">
        <v>-0.66644349999999997</v>
      </c>
      <c r="E140" s="1">
        <v>-0.7526486</v>
      </c>
      <c r="F140" s="1">
        <v>-0.74537279999999995</v>
      </c>
      <c r="G140" s="1">
        <v>-0.56565379000000005</v>
      </c>
      <c r="H140" s="1">
        <v>-0.87761025000000004</v>
      </c>
      <c r="I140" s="1">
        <v>-0.97728155000000005</v>
      </c>
      <c r="J140" s="1">
        <v>-0.78868742000000003</v>
      </c>
      <c r="K140" s="1">
        <v>-0.87314786</v>
      </c>
      <c r="L140" s="1">
        <v>-0.85718309999999998</v>
      </c>
      <c r="M140" s="1">
        <v>-0.66611828200000001</v>
      </c>
      <c r="N140" s="1">
        <v>-0.98900162000000003</v>
      </c>
      <c r="O140" s="1">
        <v>-1.0686460609999999</v>
      </c>
      <c r="P140" s="1">
        <v>-0.81271135999999999</v>
      </c>
      <c r="Q140" s="1">
        <v>-0.91106697999999997</v>
      </c>
      <c r="R140" s="1">
        <v>-0.88485190000000002</v>
      </c>
      <c r="S140" s="1">
        <v>-0.68586201899999999</v>
      </c>
      <c r="T140" s="1">
        <v>-1.0240546399999999</v>
      </c>
      <c r="U140" s="1">
        <v>-1.0912553229999999</v>
      </c>
    </row>
    <row r="141" spans="1:21" x14ac:dyDescent="0.25">
      <c r="A141" t="s">
        <v>401</v>
      </c>
      <c r="B141" t="s">
        <v>402</v>
      </c>
      <c r="C141" s="1">
        <v>-0.83122649000000004</v>
      </c>
      <c r="D141" s="110">
        <v>-0.87037330000000002</v>
      </c>
      <c r="E141" s="1">
        <v>-0.97530499999999998</v>
      </c>
      <c r="F141" s="1">
        <v>-0.86793180000000003</v>
      </c>
      <c r="G141" s="1">
        <v>-0.69743387000000001</v>
      </c>
      <c r="H141" s="1">
        <v>-1.02189771</v>
      </c>
      <c r="I141" s="1">
        <v>-0.98209994</v>
      </c>
      <c r="J141" s="1">
        <v>-0.95874068999999995</v>
      </c>
      <c r="K141" s="1">
        <v>-1.0648403</v>
      </c>
      <c r="L141" s="1">
        <v>-0.94829870000000005</v>
      </c>
      <c r="M141" s="1">
        <v>-0.77005733399999998</v>
      </c>
      <c r="N141" s="1">
        <v>-1.104665504</v>
      </c>
      <c r="O141" s="1">
        <v>-1.0477708320000001</v>
      </c>
      <c r="P141" s="1">
        <v>-0.93586561999999995</v>
      </c>
      <c r="Q141" s="1">
        <v>-1.04613661</v>
      </c>
      <c r="R141" s="1">
        <v>-0.93006750000000005</v>
      </c>
      <c r="S141" s="1">
        <v>-0.75125777900000001</v>
      </c>
      <c r="T141" s="1">
        <v>-1.0873755199999999</v>
      </c>
      <c r="U141" s="1">
        <v>-1.0328734079999999</v>
      </c>
    </row>
    <row r="142" spans="1:21" x14ac:dyDescent="0.25">
      <c r="A142" t="s">
        <v>404</v>
      </c>
      <c r="B142" t="s">
        <v>405</v>
      </c>
      <c r="C142" s="1">
        <v>-0.95074141999999995</v>
      </c>
      <c r="D142" s="110">
        <v>-0.77433600000000002</v>
      </c>
      <c r="E142" s="1">
        <v>-0.85840470000000002</v>
      </c>
      <c r="F142" s="1">
        <v>-0.7853308</v>
      </c>
      <c r="G142" s="1">
        <v>-0.89169016000000001</v>
      </c>
      <c r="H142" s="1">
        <v>-0.93926688000000003</v>
      </c>
      <c r="I142" s="1">
        <v>-1.0160429600000001</v>
      </c>
      <c r="J142" s="1">
        <v>-0.97667420999999999</v>
      </c>
      <c r="K142" s="1">
        <v>-1.0696734800000001</v>
      </c>
      <c r="L142" s="1">
        <v>-0.96817010000000003</v>
      </c>
      <c r="M142" s="1">
        <v>-1.057978995</v>
      </c>
      <c r="N142" s="1">
        <v>-1.134567009</v>
      </c>
      <c r="O142" s="1">
        <v>-1.1654479499999999</v>
      </c>
      <c r="P142" s="1">
        <v>-0.92377282000000005</v>
      </c>
      <c r="Q142" s="1">
        <v>-1.01849371</v>
      </c>
      <c r="R142" s="1">
        <v>-0.92231269999999999</v>
      </c>
      <c r="S142" s="1">
        <v>-1.014502724</v>
      </c>
      <c r="T142" s="1">
        <v>-1.08725564</v>
      </c>
      <c r="U142" s="1">
        <v>-1.1279761420000001</v>
      </c>
    </row>
    <row r="143" spans="1:21" x14ac:dyDescent="0.25">
      <c r="A143" t="s">
        <v>407</v>
      </c>
      <c r="B143" t="s">
        <v>408</v>
      </c>
      <c r="C143" s="1">
        <v>-1.0875798299999999</v>
      </c>
      <c r="D143" s="110">
        <v>-0.93209399999999998</v>
      </c>
      <c r="E143" s="1">
        <v>-0.97587990000000002</v>
      </c>
      <c r="F143" s="1">
        <v>-0.95136960000000004</v>
      </c>
      <c r="G143" s="1">
        <v>-1.2485528400000001</v>
      </c>
      <c r="H143" s="1">
        <v>-1.2925977500000001</v>
      </c>
      <c r="I143" s="1">
        <v>-1.2102822200000001</v>
      </c>
      <c r="J143" s="1">
        <v>-0.91309952999999999</v>
      </c>
      <c r="K143" s="1">
        <v>-0.95542165000000001</v>
      </c>
      <c r="L143" s="1">
        <v>-0.93432349999999997</v>
      </c>
      <c r="M143" s="1">
        <v>-1.2329424920000001</v>
      </c>
      <c r="N143" s="1">
        <v>-1.2736858150000001</v>
      </c>
      <c r="O143" s="1">
        <v>-1.1963532429999999</v>
      </c>
      <c r="P143" s="1">
        <v>-0.88153040000000005</v>
      </c>
      <c r="Q143" s="1">
        <v>-0.92188473000000004</v>
      </c>
      <c r="R143" s="1">
        <v>-0.90556130000000001</v>
      </c>
      <c r="S143" s="1">
        <v>-1.2069978429999999</v>
      </c>
      <c r="T143" s="1">
        <v>-1.24268377</v>
      </c>
      <c r="U143" s="1">
        <v>-1.172850545</v>
      </c>
    </row>
    <row r="144" spans="1:21" x14ac:dyDescent="0.25">
      <c r="A144" t="s">
        <v>407</v>
      </c>
      <c r="B144" t="s">
        <v>410</v>
      </c>
      <c r="C144" s="1">
        <v>-1.0654308400000001</v>
      </c>
      <c r="D144" s="110">
        <v>-0.9746996</v>
      </c>
      <c r="E144" s="1">
        <v>-1.0221526999999999</v>
      </c>
      <c r="F144" s="1">
        <v>-0.98329469999999997</v>
      </c>
      <c r="G144" s="1">
        <v>-1.18751552</v>
      </c>
      <c r="H144" s="1">
        <v>-1.18320662</v>
      </c>
      <c r="I144" s="1">
        <v>-1.13346144</v>
      </c>
      <c r="J144" s="1">
        <v>-0.93674747000000003</v>
      </c>
      <c r="K144" s="1">
        <v>-0.98083536000000004</v>
      </c>
      <c r="L144" s="1">
        <v>-0.94931869999999996</v>
      </c>
      <c r="M144" s="1">
        <v>-1.1563250469999999</v>
      </c>
      <c r="N144" s="1">
        <v>-1.1450121959999999</v>
      </c>
      <c r="O144" s="1">
        <v>-1.10569834</v>
      </c>
      <c r="P144" s="1">
        <v>-0.92553726999999997</v>
      </c>
      <c r="Q144" s="1">
        <v>-0.96991205999999996</v>
      </c>
      <c r="R144" s="1">
        <v>-0.93956479999999998</v>
      </c>
      <c r="S144" s="1">
        <v>-1.1471121049999999</v>
      </c>
      <c r="T144" s="1">
        <v>-1.13491454</v>
      </c>
      <c r="U144" s="1">
        <v>-1.0977280970000001</v>
      </c>
    </row>
    <row r="145" spans="1:21" x14ac:dyDescent="0.25">
      <c r="A145" t="s">
        <v>412</v>
      </c>
      <c r="B145" t="s">
        <v>413</v>
      </c>
      <c r="C145" s="1">
        <v>-0.88989814</v>
      </c>
      <c r="D145" s="110">
        <v>-0.83082009999999995</v>
      </c>
      <c r="E145" s="1">
        <v>-0.79131649999999998</v>
      </c>
      <c r="F145" s="1">
        <v>-0.84911060000000005</v>
      </c>
      <c r="G145" s="1">
        <v>-0.89629269</v>
      </c>
      <c r="H145" s="1">
        <v>-0.86873692999999996</v>
      </c>
      <c r="I145" s="1">
        <v>-1.0340467799999999</v>
      </c>
      <c r="J145" s="1">
        <v>-0.87592318000000002</v>
      </c>
      <c r="K145" s="1">
        <v>-0.83701970999999997</v>
      </c>
      <c r="L145" s="1">
        <v>-0.89012950000000002</v>
      </c>
      <c r="M145" s="1">
        <v>-0.93336000799999996</v>
      </c>
      <c r="N145" s="1">
        <v>-0.91098563600000004</v>
      </c>
      <c r="O145" s="1">
        <v>-1.0675648659999999</v>
      </c>
      <c r="P145" s="1">
        <v>-0.86085493000000002</v>
      </c>
      <c r="Q145" s="1">
        <v>-0.82383550999999999</v>
      </c>
      <c r="R145" s="1">
        <v>-0.87771750000000004</v>
      </c>
      <c r="S145" s="1">
        <v>-0.92097637799999998</v>
      </c>
      <c r="T145" s="1">
        <v>-0.89879796000000001</v>
      </c>
      <c r="U145" s="1">
        <v>-1.0574225509999999</v>
      </c>
    </row>
    <row r="146" spans="1:21" x14ac:dyDescent="0.25">
      <c r="A146" t="s">
        <v>415</v>
      </c>
      <c r="B146" t="s">
        <v>416</v>
      </c>
      <c r="C146" s="1">
        <v>-0.91810117000000002</v>
      </c>
      <c r="D146" s="110">
        <v>-0.9462815</v>
      </c>
      <c r="E146" s="1">
        <v>-1.0302218999999999</v>
      </c>
      <c r="F146" s="1">
        <v>-0.97683529999999996</v>
      </c>
      <c r="G146" s="1">
        <v>-0.99553959000000003</v>
      </c>
      <c r="H146" s="1">
        <v>-1.0560743500000001</v>
      </c>
      <c r="I146" s="1">
        <v>-1.15709682</v>
      </c>
      <c r="J146" s="1">
        <v>-0.84927041999999997</v>
      </c>
      <c r="K146" s="1">
        <v>-0.92285687000000005</v>
      </c>
      <c r="L146" s="1">
        <v>-0.89031839999999995</v>
      </c>
      <c r="M146" s="1">
        <v>-0.91581243099999998</v>
      </c>
      <c r="N146" s="1">
        <v>-0.95682447100000001</v>
      </c>
      <c r="O146" s="1">
        <v>-1.086400525</v>
      </c>
      <c r="P146" s="1">
        <v>-0.85303856</v>
      </c>
      <c r="Q146" s="1">
        <v>-0.93183492000000001</v>
      </c>
      <c r="R146" s="1">
        <v>-0.89607139999999996</v>
      </c>
      <c r="S146" s="1">
        <v>-0.91890922600000002</v>
      </c>
      <c r="T146" s="1">
        <v>-0.96512392000000002</v>
      </c>
      <c r="U146" s="1">
        <v>-1.091101455</v>
      </c>
    </row>
    <row r="147" spans="1:21" x14ac:dyDescent="0.25">
      <c r="A147" t="s">
        <v>418</v>
      </c>
      <c r="B147" t="s">
        <v>419</v>
      </c>
      <c r="C147" s="1">
        <v>-0.86210776</v>
      </c>
      <c r="D147" s="110">
        <v>-0.8535895</v>
      </c>
      <c r="E147" s="1">
        <v>-0.86817549999999999</v>
      </c>
      <c r="F147" s="1">
        <v>-0.85266140000000001</v>
      </c>
      <c r="G147" s="1">
        <v>-0.81304951000000003</v>
      </c>
      <c r="H147" s="1">
        <v>-0.95224507999999997</v>
      </c>
      <c r="I147" s="1">
        <v>-1.0648292699999999</v>
      </c>
      <c r="J147" s="1">
        <v>-0.88979123000000004</v>
      </c>
      <c r="K147" s="1">
        <v>-0.90061243000000002</v>
      </c>
      <c r="L147" s="1">
        <v>-0.88638589999999995</v>
      </c>
      <c r="M147" s="1">
        <v>-0.84280140800000003</v>
      </c>
      <c r="N147" s="1">
        <v>-0.98223031599999999</v>
      </c>
      <c r="O147" s="1">
        <v>-1.09238689</v>
      </c>
      <c r="P147" s="1">
        <v>-0.99425986</v>
      </c>
      <c r="Q147" s="1">
        <v>-1.0201304600000001</v>
      </c>
      <c r="R147" s="1">
        <v>-0.98554679999999995</v>
      </c>
      <c r="S147" s="1">
        <v>-0.92865748800000003</v>
      </c>
      <c r="T147" s="1">
        <v>-1.0927146299999999</v>
      </c>
      <c r="U147" s="1">
        <v>-1.173415098</v>
      </c>
    </row>
    <row r="148" spans="1:21" x14ac:dyDescent="0.25">
      <c r="A148" t="s">
        <v>421</v>
      </c>
      <c r="B148" t="s">
        <v>422</v>
      </c>
      <c r="C148" s="1">
        <v>-1.0233723100000001</v>
      </c>
      <c r="D148" s="110">
        <v>-0.95172210000000002</v>
      </c>
      <c r="E148" s="1">
        <v>-0.91296900000000003</v>
      </c>
      <c r="F148" s="1">
        <v>-0.98615280000000005</v>
      </c>
      <c r="G148" s="1">
        <v>-1.1247722600000001</v>
      </c>
      <c r="H148" s="1">
        <v>-0.94687714000000001</v>
      </c>
      <c r="I148" s="1">
        <v>-1.2180117699999999</v>
      </c>
      <c r="J148" s="1">
        <v>-0.91999854999999997</v>
      </c>
      <c r="K148" s="1">
        <v>-0.87417310999999998</v>
      </c>
      <c r="L148" s="1">
        <v>-0.95855619999999997</v>
      </c>
      <c r="M148" s="1">
        <v>-1.0987006859999999</v>
      </c>
      <c r="N148" s="1">
        <v>-0.91101358799999999</v>
      </c>
      <c r="O148" s="1">
        <v>-1.195461573</v>
      </c>
      <c r="P148" s="1">
        <v>-0.91586990999999995</v>
      </c>
      <c r="Q148" s="1">
        <v>-0.87596065000000001</v>
      </c>
      <c r="R148" s="1">
        <v>-0.95767329999999995</v>
      </c>
      <c r="S148" s="1">
        <v>-1.0953076230000001</v>
      </c>
      <c r="T148" s="1">
        <v>-0.91266601000000003</v>
      </c>
      <c r="U148" s="1">
        <v>-1.194740138</v>
      </c>
    </row>
    <row r="149" spans="1:21" x14ac:dyDescent="0.25">
      <c r="A149" t="s">
        <v>424</v>
      </c>
      <c r="B149" t="s">
        <v>82</v>
      </c>
      <c r="C149" s="1">
        <v>-0.92146074</v>
      </c>
      <c r="D149" s="110">
        <v>-0.96264939999999999</v>
      </c>
      <c r="E149" s="1">
        <v>-1.0676242</v>
      </c>
      <c r="F149" s="1">
        <v>-1.0012281000000001</v>
      </c>
      <c r="G149" s="1">
        <v>-0.94069175000000005</v>
      </c>
      <c r="H149" s="1">
        <v>-1.2194793900000001</v>
      </c>
      <c r="I149" s="1">
        <v>-1.0969336300000001</v>
      </c>
      <c r="J149" s="1">
        <v>-0.90372273000000003</v>
      </c>
      <c r="K149" s="1">
        <v>-1.00689451</v>
      </c>
      <c r="L149" s="1">
        <v>-0.94782960000000005</v>
      </c>
      <c r="M149" s="1">
        <v>-0.89226370300000002</v>
      </c>
      <c r="N149" s="1">
        <v>-1.1633399579999999</v>
      </c>
      <c r="O149" s="1">
        <v>-1.053299671</v>
      </c>
      <c r="P149" s="1">
        <v>-0.92036490999999998</v>
      </c>
      <c r="Q149" s="1">
        <v>-1.02212898</v>
      </c>
      <c r="R149" s="1">
        <v>-0.96185200000000004</v>
      </c>
      <c r="S149" s="1">
        <v>-0.905940839</v>
      </c>
      <c r="T149" s="1">
        <v>-1.1774229300000001</v>
      </c>
      <c r="U149" s="1">
        <v>-1.0647578660000001</v>
      </c>
    </row>
    <row r="150" spans="1:21" x14ac:dyDescent="0.25">
      <c r="A150" t="s">
        <v>424</v>
      </c>
      <c r="B150" t="s">
        <v>426</v>
      </c>
      <c r="C150" s="1">
        <v>-1.0914858300000001</v>
      </c>
      <c r="D150" s="110">
        <v>-0.98149200000000003</v>
      </c>
      <c r="E150" s="1">
        <v>-0.94754020000000005</v>
      </c>
      <c r="F150" s="1">
        <v>-0.88200780000000001</v>
      </c>
      <c r="G150" s="1">
        <v>-1.1747177499999999</v>
      </c>
      <c r="H150" s="1">
        <v>-1.05939564</v>
      </c>
      <c r="I150" s="1">
        <v>-1.0220695799999999</v>
      </c>
      <c r="J150" s="1">
        <v>-0.99666900999999997</v>
      </c>
      <c r="K150" s="1">
        <v>-0.96216330000000005</v>
      </c>
      <c r="L150" s="1">
        <v>-0.895953</v>
      </c>
      <c r="M150" s="1">
        <v>-1.1871907189999999</v>
      </c>
      <c r="N150" s="1">
        <v>-1.0729134570000001</v>
      </c>
      <c r="O150" s="1">
        <v>-1.0334647450000001</v>
      </c>
      <c r="P150" s="1">
        <v>-0.99810988</v>
      </c>
      <c r="Q150" s="1">
        <v>-0.96564028000000002</v>
      </c>
      <c r="R150" s="1">
        <v>-0.89817329999999995</v>
      </c>
      <c r="S150" s="1">
        <v>-1.1883748789999999</v>
      </c>
      <c r="T150" s="1">
        <v>-1.07612763</v>
      </c>
      <c r="U150" s="1">
        <v>-1.0352790359999999</v>
      </c>
    </row>
    <row r="151" spans="1:21" x14ac:dyDescent="0.25">
      <c r="A151" t="s">
        <v>424</v>
      </c>
      <c r="B151" t="s">
        <v>428</v>
      </c>
      <c r="C151" s="1">
        <v>-1.14406725</v>
      </c>
      <c r="D151" s="110">
        <v>-1.1191163</v>
      </c>
      <c r="E151" s="1">
        <v>-1.1165845000000001</v>
      </c>
      <c r="F151" s="1">
        <v>-1.0601468999999999</v>
      </c>
      <c r="G151" s="1">
        <v>-1.2909193400000001</v>
      </c>
      <c r="H151" s="1">
        <v>-1.28587914</v>
      </c>
      <c r="I151" s="1">
        <v>-1.2387085200000001</v>
      </c>
      <c r="J151" s="1">
        <v>-1.0025175399999999</v>
      </c>
      <c r="K151" s="1">
        <v>-0.99616704</v>
      </c>
      <c r="L151" s="1">
        <v>-0.95453410000000005</v>
      </c>
      <c r="M151" s="1">
        <v>-1.1950943169999999</v>
      </c>
      <c r="N151" s="1">
        <v>-1.1745634089999999</v>
      </c>
      <c r="O151" s="1">
        <v>-1.152408305</v>
      </c>
      <c r="P151" s="1">
        <v>-1.0194491000000001</v>
      </c>
      <c r="Q151" s="1">
        <v>-1.00949388</v>
      </c>
      <c r="R151" s="1">
        <v>-0.96778730000000002</v>
      </c>
      <c r="S151" s="1">
        <v>-1.2090092779999999</v>
      </c>
      <c r="T151" s="1">
        <v>-1.1868829400000001</v>
      </c>
      <c r="U151" s="1">
        <v>-1.1632379500000001</v>
      </c>
    </row>
    <row r="152" spans="1:21" x14ac:dyDescent="0.25">
      <c r="A152" t="s">
        <v>424</v>
      </c>
      <c r="B152" t="s">
        <v>430</v>
      </c>
      <c r="C152" s="1">
        <v>-0.80351501000000003</v>
      </c>
      <c r="D152" s="110">
        <v>-0.79152920000000004</v>
      </c>
      <c r="E152" s="1">
        <v>-0.86083779999999999</v>
      </c>
      <c r="F152" s="1">
        <v>-0.7853559</v>
      </c>
      <c r="G152" s="1">
        <v>-0.75686927000000004</v>
      </c>
      <c r="H152" s="1">
        <v>-0.94834143999999998</v>
      </c>
      <c r="I152" s="1">
        <v>-0.85048153999999998</v>
      </c>
      <c r="J152" s="1">
        <v>-0.83789862000000004</v>
      </c>
      <c r="K152" s="1">
        <v>-0.90900175999999999</v>
      </c>
      <c r="L152" s="1">
        <v>-0.82730440000000005</v>
      </c>
      <c r="M152" s="1">
        <v>-0.794977355</v>
      </c>
      <c r="N152" s="1">
        <v>-0.99286490800000005</v>
      </c>
      <c r="O152" s="1">
        <v>-0.88475925</v>
      </c>
      <c r="P152" s="1">
        <v>-0.85773527000000005</v>
      </c>
      <c r="Q152" s="1">
        <v>-0.93180847</v>
      </c>
      <c r="R152" s="1">
        <v>-0.84618559999999998</v>
      </c>
      <c r="S152" s="1">
        <v>-0.81127983000000004</v>
      </c>
      <c r="T152" s="1">
        <v>-1.01394779</v>
      </c>
      <c r="U152" s="1">
        <v>-0.90018785199999996</v>
      </c>
    </row>
    <row r="153" spans="1:21" x14ac:dyDescent="0.25">
      <c r="A153" t="s">
        <v>424</v>
      </c>
      <c r="B153" t="s">
        <v>431</v>
      </c>
      <c r="C153" s="1">
        <v>-1.03865859</v>
      </c>
      <c r="D153" s="110">
        <v>-1.0756547000000001</v>
      </c>
      <c r="E153" s="1">
        <v>-1.0589564</v>
      </c>
      <c r="F153" s="1">
        <v>-1.0016535</v>
      </c>
      <c r="G153" s="1">
        <v>-1.18740534</v>
      </c>
      <c r="H153" s="1">
        <v>-1.16293205</v>
      </c>
      <c r="I153" s="1">
        <v>-1.13586823</v>
      </c>
      <c r="J153" s="1">
        <v>-0.89651948999999997</v>
      </c>
      <c r="K153" s="1">
        <v>-0.87009037</v>
      </c>
      <c r="L153" s="1">
        <v>-0.84012529999999996</v>
      </c>
      <c r="M153" s="1">
        <v>-1.0401855440000001</v>
      </c>
      <c r="N153" s="1">
        <v>-0.98834141600000003</v>
      </c>
      <c r="O153" s="1">
        <v>-1.003877312</v>
      </c>
      <c r="P153" s="1">
        <v>-0.99688014999999996</v>
      </c>
      <c r="Q153" s="1">
        <v>-0.97498655000000001</v>
      </c>
      <c r="R153" s="1">
        <v>-0.93076040000000004</v>
      </c>
      <c r="S153" s="1">
        <v>-1.122665552</v>
      </c>
      <c r="T153" s="1">
        <v>-1.0853090599999999</v>
      </c>
      <c r="U153" s="1">
        <v>-1.077938718</v>
      </c>
    </row>
    <row r="154" spans="1:21" x14ac:dyDescent="0.25">
      <c r="A154" t="s">
        <v>433</v>
      </c>
      <c r="B154" t="s">
        <v>434</v>
      </c>
      <c r="C154" s="1">
        <v>-1.00032297</v>
      </c>
      <c r="D154" s="110">
        <v>-1.0313361999999999</v>
      </c>
      <c r="E154" s="1">
        <v>-1.0952306000000001</v>
      </c>
      <c r="F154" s="1">
        <v>-0.92664659999999999</v>
      </c>
      <c r="G154" s="1">
        <v>-1.0005860600000001</v>
      </c>
      <c r="H154" s="1">
        <v>-1.2098400300000001</v>
      </c>
      <c r="I154" s="1">
        <v>-1.15587488</v>
      </c>
      <c r="J154" s="1">
        <v>-1.0039386800000001</v>
      </c>
      <c r="K154" s="1">
        <v>-1.0605755100000001</v>
      </c>
      <c r="L154" s="1">
        <v>-0.90303020000000001</v>
      </c>
      <c r="M154" s="1">
        <v>-0.97806976199999995</v>
      </c>
      <c r="N154" s="1">
        <v>-1.177804308</v>
      </c>
      <c r="O154" s="1">
        <v>-1.13657696</v>
      </c>
      <c r="P154" s="1">
        <v>-0.9950774</v>
      </c>
      <c r="Q154" s="1">
        <v>-1.0578808799999999</v>
      </c>
      <c r="R154" s="1">
        <v>-0.89808980000000005</v>
      </c>
      <c r="S154" s="1">
        <v>-0.97078724299999997</v>
      </c>
      <c r="T154" s="1">
        <v>-1.1753133600000001</v>
      </c>
      <c r="U154" s="1">
        <v>-1.132539993</v>
      </c>
    </row>
    <row r="155" spans="1:21" x14ac:dyDescent="0.25">
      <c r="A155" t="s">
        <v>436</v>
      </c>
      <c r="B155" t="s">
        <v>437</v>
      </c>
      <c r="C155" s="1">
        <v>-1.1491066299999999</v>
      </c>
      <c r="D155" s="110">
        <v>-1.0958299</v>
      </c>
      <c r="E155" s="1">
        <v>-1.1454812000000001</v>
      </c>
      <c r="F155" s="1">
        <v>-1.1467806</v>
      </c>
      <c r="G155" s="1">
        <v>-1.2515514700000001</v>
      </c>
      <c r="H155" s="1">
        <v>-1.3985333</v>
      </c>
      <c r="I155" s="1">
        <v>-1.4855516900000001</v>
      </c>
      <c r="J155" s="1">
        <v>-1.04494811</v>
      </c>
      <c r="K155" s="1">
        <v>-1.0829003800000001</v>
      </c>
      <c r="L155" s="1">
        <v>-1.1025853000000001</v>
      </c>
      <c r="M155" s="1">
        <v>-1.2097349980000001</v>
      </c>
      <c r="N155" s="1">
        <v>-1.340682618</v>
      </c>
      <c r="O155" s="1">
        <v>-1.4494380069999999</v>
      </c>
      <c r="P155" s="1">
        <v>-1.0228432000000001</v>
      </c>
      <c r="Q155" s="1">
        <v>-1.06963191</v>
      </c>
      <c r="R155" s="1">
        <v>-1.0872086999999999</v>
      </c>
      <c r="S155" s="1">
        <v>-1.19156839</v>
      </c>
      <c r="T155" s="1">
        <v>-1.3284170399999999</v>
      </c>
      <c r="U155" s="1">
        <v>-1.436873171</v>
      </c>
    </row>
    <row r="156" spans="1:21" x14ac:dyDescent="0.25">
      <c r="A156" t="s">
        <v>439</v>
      </c>
      <c r="B156" t="s">
        <v>440</v>
      </c>
      <c r="C156" s="1">
        <v>-0.92643602999999997</v>
      </c>
      <c r="D156" s="110">
        <v>-0.99294800000000005</v>
      </c>
      <c r="E156" s="1">
        <v>-0.99527120000000002</v>
      </c>
      <c r="F156" s="1">
        <v>-0.91226549999999995</v>
      </c>
      <c r="G156" s="1">
        <v>-0.91510035999999995</v>
      </c>
      <c r="H156" s="1">
        <v>-1.0032981000000001</v>
      </c>
      <c r="I156" s="1">
        <v>-0.99622334999999995</v>
      </c>
      <c r="J156" s="1">
        <v>-0.94940769999999997</v>
      </c>
      <c r="K156" s="1">
        <v>-0.94223484000000002</v>
      </c>
      <c r="L156" s="1">
        <v>-0.87434979999999995</v>
      </c>
      <c r="M156" s="1">
        <v>-0.87931735899999997</v>
      </c>
      <c r="N156" s="1">
        <v>-0.95427042900000003</v>
      </c>
      <c r="O156" s="1">
        <v>-0.96524094100000002</v>
      </c>
      <c r="P156" s="1">
        <v>-0.94437990000000005</v>
      </c>
      <c r="Q156" s="1">
        <v>-0.94510974999999997</v>
      </c>
      <c r="R156" s="1">
        <v>-0.87360009999999999</v>
      </c>
      <c r="S156" s="1">
        <v>-0.87518533099999996</v>
      </c>
      <c r="T156" s="1">
        <v>-0.95692803999999998</v>
      </c>
      <c r="U156" s="1">
        <v>-0.96462836900000004</v>
      </c>
    </row>
    <row r="157" spans="1:21" x14ac:dyDescent="0.25">
      <c r="A157" t="s">
        <v>442</v>
      </c>
      <c r="B157" t="s">
        <v>443</v>
      </c>
      <c r="C157" s="1">
        <v>-0.97777049999999999</v>
      </c>
      <c r="D157" s="110">
        <v>-1.0847095</v>
      </c>
      <c r="E157" s="1">
        <v>-1.1681170000000001</v>
      </c>
      <c r="F157" s="1">
        <v>-1.0624593</v>
      </c>
      <c r="G157" s="1">
        <v>-0.9576036</v>
      </c>
      <c r="H157" s="1">
        <v>-1.2216909600000001</v>
      </c>
      <c r="I157" s="1">
        <v>-1.16734592</v>
      </c>
      <c r="J157" s="1">
        <v>-1.0176197</v>
      </c>
      <c r="K157" s="1">
        <v>-1.09460987</v>
      </c>
      <c r="L157" s="1">
        <v>-1.0024867</v>
      </c>
      <c r="M157" s="1">
        <v>-0.90246675700000001</v>
      </c>
      <c r="N157" s="1">
        <v>-1.1537398329999999</v>
      </c>
      <c r="O157" s="1">
        <v>-1.1183399860000001</v>
      </c>
      <c r="P157" s="1">
        <v>-0.97370650999999997</v>
      </c>
      <c r="Q157" s="1">
        <v>-1.05008232</v>
      </c>
      <c r="R157" s="1">
        <v>-0.96346790000000004</v>
      </c>
      <c r="S157" s="1">
        <v>-0.86637731600000001</v>
      </c>
      <c r="T157" s="1">
        <v>-1.1125778799999999</v>
      </c>
      <c r="U157" s="1">
        <v>-1.086456206</v>
      </c>
    </row>
    <row r="158" spans="1:21" x14ac:dyDescent="0.25">
      <c r="A158" t="s">
        <v>445</v>
      </c>
      <c r="B158" t="s">
        <v>446</v>
      </c>
      <c r="C158" s="1">
        <v>-0.78871276000000001</v>
      </c>
      <c r="D158" s="110">
        <v>-0.87110699999999996</v>
      </c>
      <c r="E158" s="1">
        <v>-0.90629990000000005</v>
      </c>
      <c r="F158" s="1">
        <v>-0.94083620000000001</v>
      </c>
      <c r="G158" s="1">
        <v>-0.66994712000000001</v>
      </c>
      <c r="H158" s="1">
        <v>-0.86300253999999998</v>
      </c>
      <c r="I158" s="1">
        <v>-1.0563188999999999</v>
      </c>
      <c r="J158" s="1">
        <v>-0.91732807999999999</v>
      </c>
      <c r="K158" s="1">
        <v>-0.95352742000000001</v>
      </c>
      <c r="L158" s="1">
        <v>-0.98279799999999995</v>
      </c>
      <c r="M158" s="1">
        <v>-0.70793325699999998</v>
      </c>
      <c r="N158" s="1">
        <v>-0.90666041200000003</v>
      </c>
      <c r="O158" s="1">
        <v>-1.090607485</v>
      </c>
      <c r="P158" s="1">
        <v>-0.86248351999999995</v>
      </c>
      <c r="Q158" s="1">
        <v>-0.89733786000000004</v>
      </c>
      <c r="R158" s="1">
        <v>-0.93379679999999998</v>
      </c>
      <c r="S158" s="1">
        <v>-0.66286002300000002</v>
      </c>
      <c r="T158" s="1">
        <v>-0.85471792000000002</v>
      </c>
      <c r="U158" s="1">
        <v>-1.050566715</v>
      </c>
    </row>
    <row r="159" spans="1:21" x14ac:dyDescent="0.25">
      <c r="A159" t="s">
        <v>448</v>
      </c>
      <c r="B159" t="s">
        <v>449</v>
      </c>
      <c r="C159" s="1">
        <v>-0.53367699999999996</v>
      </c>
      <c r="D159" s="110">
        <v>-0.71671010000000002</v>
      </c>
      <c r="E159" s="1">
        <v>-0.90638600000000002</v>
      </c>
      <c r="F159" s="1">
        <v>-0.81090430000000002</v>
      </c>
      <c r="G159" s="1">
        <v>-0.42183163000000001</v>
      </c>
      <c r="H159" s="1">
        <v>-0.92317598000000001</v>
      </c>
      <c r="I159" s="1">
        <v>-0.95851229000000004</v>
      </c>
      <c r="J159" s="1">
        <v>-0.66225562999999998</v>
      </c>
      <c r="K159" s="1">
        <v>-0.84185575999999995</v>
      </c>
      <c r="L159" s="1">
        <v>-0.76314470000000001</v>
      </c>
      <c r="M159" s="1">
        <v>-0.37707900599999999</v>
      </c>
      <c r="N159" s="1">
        <v>-0.86352323099999995</v>
      </c>
      <c r="O159" s="1">
        <v>-0.91948607400000004</v>
      </c>
      <c r="P159" s="1">
        <v>-0.65136315</v>
      </c>
      <c r="Q159" s="1">
        <v>-0.83827828000000004</v>
      </c>
      <c r="R159" s="1">
        <v>-0.75694819999999996</v>
      </c>
      <c r="S159" s="1">
        <v>-0.36812717</v>
      </c>
      <c r="T159" s="1">
        <v>-0.86021614999999996</v>
      </c>
      <c r="U159" s="1">
        <v>-0.91442269799999998</v>
      </c>
    </row>
    <row r="160" spans="1:21" x14ac:dyDescent="0.25">
      <c r="A160" t="s">
        <v>451</v>
      </c>
      <c r="B160" t="s">
        <v>452</v>
      </c>
      <c r="C160" s="1">
        <v>-0.39706836000000001</v>
      </c>
      <c r="D160" s="110">
        <v>-0.60712750000000004</v>
      </c>
      <c r="E160" s="1">
        <v>-0.79779730000000004</v>
      </c>
      <c r="F160" s="1">
        <v>-0.8154112</v>
      </c>
      <c r="G160" s="1">
        <v>-0.21453548</v>
      </c>
      <c r="H160" s="1">
        <v>-0.63857881000000005</v>
      </c>
      <c r="I160" s="1">
        <v>-0.72656664999999998</v>
      </c>
      <c r="J160" s="1">
        <v>-0.59708671999999996</v>
      </c>
      <c r="K160" s="1">
        <v>-0.78005595000000005</v>
      </c>
      <c r="L160" s="1">
        <v>-0.80770690000000001</v>
      </c>
      <c r="M160" s="1">
        <v>-0.20628360300000001</v>
      </c>
      <c r="N160" s="1">
        <v>-0.62217842999999995</v>
      </c>
      <c r="O160" s="1">
        <v>-0.72027118700000003</v>
      </c>
      <c r="P160" s="1">
        <v>-0.5782988</v>
      </c>
      <c r="Q160" s="1">
        <v>-0.76870707999999999</v>
      </c>
      <c r="R160" s="1">
        <v>-0.79460430000000004</v>
      </c>
      <c r="S160" s="1">
        <v>-0.19084301300000001</v>
      </c>
      <c r="T160" s="1">
        <v>-0.61168734999999996</v>
      </c>
      <c r="U160" s="1">
        <v>-0.70956457100000003</v>
      </c>
    </row>
    <row r="161" spans="1:21" x14ac:dyDescent="0.25">
      <c r="A161" t="s">
        <v>454</v>
      </c>
      <c r="B161" t="s">
        <v>455</v>
      </c>
      <c r="C161" s="1">
        <v>-0.77364854999999999</v>
      </c>
      <c r="D161" s="110">
        <v>-0.91612130000000003</v>
      </c>
      <c r="E161" s="1">
        <v>-0.9804406</v>
      </c>
      <c r="F161" s="1">
        <v>-0.97088770000000002</v>
      </c>
      <c r="G161" s="1">
        <v>-0.70300456</v>
      </c>
      <c r="H161" s="1">
        <v>-0.90908922000000003</v>
      </c>
      <c r="I161" s="1">
        <v>-0.94085671000000004</v>
      </c>
      <c r="J161" s="1">
        <v>-0.86671686000000003</v>
      </c>
      <c r="K161" s="1">
        <v>-0.92418736000000001</v>
      </c>
      <c r="L161" s="1">
        <v>-0.92712479999999997</v>
      </c>
      <c r="M161" s="1">
        <v>-0.66240223799999998</v>
      </c>
      <c r="N161" s="1">
        <v>-0.85708786800000003</v>
      </c>
      <c r="O161" s="1">
        <v>-0.90509639399999997</v>
      </c>
      <c r="P161" s="1">
        <v>-0.82689714999999997</v>
      </c>
      <c r="Q161" s="1">
        <v>-0.88603038000000001</v>
      </c>
      <c r="R161" s="1">
        <v>-0.89277830000000002</v>
      </c>
      <c r="S161" s="1">
        <v>-0.62967697199999995</v>
      </c>
      <c r="T161" s="1">
        <v>-0.82181497000000003</v>
      </c>
      <c r="U161" s="1">
        <v>-0.87703055399999996</v>
      </c>
    </row>
    <row r="162" spans="1:21" x14ac:dyDescent="0.25">
      <c r="A162" t="s">
        <v>457</v>
      </c>
      <c r="B162" t="s">
        <v>458</v>
      </c>
      <c r="C162" s="1">
        <v>-0.84796800000000006</v>
      </c>
      <c r="D162" s="110">
        <v>-0.86130450000000003</v>
      </c>
      <c r="E162" s="1">
        <v>-0.93229320000000004</v>
      </c>
      <c r="F162" s="1">
        <v>-0.84137790000000001</v>
      </c>
      <c r="G162" s="1">
        <v>-0.75649317000000005</v>
      </c>
      <c r="H162" s="1">
        <v>-0.91734305999999999</v>
      </c>
      <c r="I162" s="1">
        <v>-0.87465556</v>
      </c>
      <c r="J162" s="1">
        <v>-0.93002978999999997</v>
      </c>
      <c r="K162" s="1">
        <v>-0.99988242999999999</v>
      </c>
      <c r="L162" s="1">
        <v>-0.90426669999999998</v>
      </c>
      <c r="M162" s="1">
        <v>-0.81297406500000002</v>
      </c>
      <c r="N162" s="1">
        <v>-0.97982355399999999</v>
      </c>
      <c r="O162" s="1">
        <v>-0.92604438899999997</v>
      </c>
      <c r="P162" s="1">
        <v>-0.94042524000000005</v>
      </c>
      <c r="Q162" s="1">
        <v>-1.0180629000000001</v>
      </c>
      <c r="R162" s="1">
        <v>-0.91706580000000004</v>
      </c>
      <c r="S162" s="1">
        <v>-0.821517418</v>
      </c>
      <c r="T162" s="1">
        <v>-0.99662987000000003</v>
      </c>
      <c r="U162" s="1">
        <v>-0.93650302399999996</v>
      </c>
    </row>
    <row r="163" spans="1:21" x14ac:dyDescent="0.25">
      <c r="A163" t="s">
        <v>460</v>
      </c>
      <c r="B163" t="s">
        <v>461</v>
      </c>
      <c r="C163" s="1">
        <v>-0.75549306999999999</v>
      </c>
      <c r="D163" s="110">
        <v>-0.86157890000000004</v>
      </c>
      <c r="E163" s="1">
        <v>-0.85900880000000002</v>
      </c>
      <c r="F163" s="1">
        <v>-0.93282569999999998</v>
      </c>
      <c r="G163" s="1">
        <v>-0.68769086999999995</v>
      </c>
      <c r="H163" s="1">
        <v>-0.80543761999999997</v>
      </c>
      <c r="I163" s="1">
        <v>-1.0266540500000001</v>
      </c>
      <c r="J163" s="1">
        <v>-0.83906069000000005</v>
      </c>
      <c r="K163" s="1">
        <v>-0.83262756000000004</v>
      </c>
      <c r="L163" s="1">
        <v>-0.91301869999999996</v>
      </c>
      <c r="M163" s="1">
        <v>-0.66918457399999998</v>
      </c>
      <c r="N163" s="1">
        <v>-0.78105035700000003</v>
      </c>
      <c r="O163" s="1">
        <v>-1.0104689840000001</v>
      </c>
      <c r="P163" s="1">
        <v>-0.81643984000000003</v>
      </c>
      <c r="Q163" s="1">
        <v>-0.81137165</v>
      </c>
      <c r="R163" s="1">
        <v>-0.89370309999999997</v>
      </c>
      <c r="S163" s="1">
        <v>-0.65059394199999998</v>
      </c>
      <c r="T163" s="1">
        <v>-0.76140107000000001</v>
      </c>
      <c r="U163" s="1">
        <v>-0.99468546499999999</v>
      </c>
    </row>
    <row r="164" spans="1:21" x14ac:dyDescent="0.25">
      <c r="A164" t="s">
        <v>463</v>
      </c>
      <c r="B164" t="s">
        <v>464</v>
      </c>
      <c r="C164" s="1">
        <v>-0.76031817999999995</v>
      </c>
      <c r="D164" s="110">
        <v>-0.87918350000000001</v>
      </c>
      <c r="E164" s="1">
        <v>-1.0106096</v>
      </c>
      <c r="F164" s="1">
        <v>-0.9257533</v>
      </c>
      <c r="G164" s="1">
        <v>-0.71591698999999998</v>
      </c>
      <c r="H164" s="1">
        <v>-0.98264717999999995</v>
      </c>
      <c r="I164" s="1">
        <v>-1.0883394799999999</v>
      </c>
      <c r="J164" s="1">
        <v>-0.81899502000000002</v>
      </c>
      <c r="K164" s="1">
        <v>-0.94033745999999996</v>
      </c>
      <c r="L164" s="1">
        <v>-0.87276600000000004</v>
      </c>
      <c r="M164" s="1">
        <v>-0.66645195800000001</v>
      </c>
      <c r="N164" s="1">
        <v>-0.917686526</v>
      </c>
      <c r="O164" s="1">
        <v>-1.0450415289999999</v>
      </c>
      <c r="P164" s="1">
        <v>-0.80834035000000004</v>
      </c>
      <c r="Q164" s="1">
        <v>-0.93655436000000003</v>
      </c>
      <c r="R164" s="1">
        <v>-0.86657249999999997</v>
      </c>
      <c r="S164" s="1">
        <v>-0.65769556100000004</v>
      </c>
      <c r="T164" s="1">
        <v>-0.91418937</v>
      </c>
      <c r="U164" s="1">
        <v>-1.039980594</v>
      </c>
    </row>
    <row r="165" spans="1:21" x14ac:dyDescent="0.25">
      <c r="A165" t="s">
        <v>463</v>
      </c>
      <c r="B165" t="s">
        <v>466</v>
      </c>
      <c r="C165" s="1">
        <v>-0.73872539999999998</v>
      </c>
      <c r="D165" s="110">
        <v>-0.83685319999999996</v>
      </c>
      <c r="E165" s="1">
        <v>-0.88484759999999996</v>
      </c>
      <c r="F165" s="1">
        <v>-0.84497230000000001</v>
      </c>
      <c r="G165" s="1">
        <v>-0.67782659999999995</v>
      </c>
      <c r="H165" s="1">
        <v>-0.90795897000000003</v>
      </c>
      <c r="I165" s="1">
        <v>-0.88937491000000002</v>
      </c>
      <c r="J165" s="1">
        <v>-0.81168976000000004</v>
      </c>
      <c r="K165" s="1">
        <v>-0.85098823000000001</v>
      </c>
      <c r="L165" s="1">
        <v>-0.82366459999999997</v>
      </c>
      <c r="M165" s="1">
        <v>-0.65714641900000004</v>
      </c>
      <c r="N165" s="1">
        <v>-0.87665887399999998</v>
      </c>
      <c r="O165" s="1">
        <v>-0.87196357000000002</v>
      </c>
      <c r="P165" s="1">
        <v>-0.79513577999999996</v>
      </c>
      <c r="Q165" s="1">
        <v>-0.84203136999999995</v>
      </c>
      <c r="R165" s="1">
        <v>-0.8126061</v>
      </c>
      <c r="S165" s="1">
        <v>-0.64354176299999999</v>
      </c>
      <c r="T165" s="1">
        <v>-0.86837900999999995</v>
      </c>
      <c r="U165" s="1">
        <v>-0.862927259</v>
      </c>
    </row>
    <row r="166" spans="1:21" x14ac:dyDescent="0.25">
      <c r="A166" t="s">
        <v>468</v>
      </c>
      <c r="B166" t="s">
        <v>469</v>
      </c>
      <c r="C166" s="1">
        <v>-0.75014148000000003</v>
      </c>
      <c r="D166" s="110">
        <v>-0.83518769999999998</v>
      </c>
      <c r="E166" s="1">
        <v>-0.90223609999999999</v>
      </c>
      <c r="F166" s="1">
        <v>-0.89258199999999999</v>
      </c>
      <c r="G166" s="1">
        <v>-0.69455734999999996</v>
      </c>
      <c r="H166" s="1">
        <v>-0.87645782999999999</v>
      </c>
      <c r="I166" s="1">
        <v>-0.89963612999999998</v>
      </c>
      <c r="J166" s="1">
        <v>-0.80729079000000004</v>
      </c>
      <c r="K166" s="1">
        <v>-0.86430766000000003</v>
      </c>
      <c r="L166" s="1">
        <v>-0.86903330000000001</v>
      </c>
      <c r="M166" s="1">
        <v>-0.67163063700000003</v>
      </c>
      <c r="N166" s="1">
        <v>-0.84139623799999996</v>
      </c>
      <c r="O166" s="1">
        <v>-0.88039360200000005</v>
      </c>
      <c r="P166" s="1">
        <v>-0.85418868000000003</v>
      </c>
      <c r="Q166" s="1">
        <v>-0.92473183999999997</v>
      </c>
      <c r="R166" s="1">
        <v>-0.9167054</v>
      </c>
      <c r="S166" s="1">
        <v>-0.71017301600000005</v>
      </c>
      <c r="T166" s="1">
        <v>-0.89725328000000004</v>
      </c>
      <c r="U166" s="1">
        <v>-0.91934832399999999</v>
      </c>
    </row>
    <row r="167" spans="1:21" x14ac:dyDescent="0.25">
      <c r="A167" t="s">
        <v>468</v>
      </c>
      <c r="B167" t="s">
        <v>471</v>
      </c>
      <c r="C167" s="1">
        <v>-1.1276463299999999</v>
      </c>
      <c r="D167" s="110">
        <v>-1.1496691000000001</v>
      </c>
      <c r="E167" s="1">
        <v>-1.1252770999999999</v>
      </c>
      <c r="F167" s="1">
        <v>-1.0284263</v>
      </c>
      <c r="G167" s="1">
        <v>-1.22808659</v>
      </c>
      <c r="H167" s="1">
        <v>-1.2157293300000001</v>
      </c>
      <c r="I167" s="1">
        <v>-1.0705811999999999</v>
      </c>
      <c r="J167" s="1">
        <v>-1.0347743</v>
      </c>
      <c r="K167" s="1">
        <v>-0.99664657000000001</v>
      </c>
      <c r="L167" s="1">
        <v>-0.92623800000000001</v>
      </c>
      <c r="M167" s="1">
        <v>-1.133661875</v>
      </c>
      <c r="N167" s="1">
        <v>-1.0968212900000001</v>
      </c>
      <c r="O167" s="1">
        <v>-0.98707919600000005</v>
      </c>
      <c r="P167" s="1">
        <v>-1.07983042</v>
      </c>
      <c r="Q167" s="1">
        <v>-1.0525800700000001</v>
      </c>
      <c r="R167" s="1">
        <v>-0.97105050000000004</v>
      </c>
      <c r="S167" s="1">
        <v>-1.170690614</v>
      </c>
      <c r="T167" s="1">
        <v>-1.14852708</v>
      </c>
      <c r="U167" s="1">
        <v>-1.0236971909999999</v>
      </c>
    </row>
    <row r="168" spans="1:21" x14ac:dyDescent="0.25">
      <c r="A168" t="s">
        <v>473</v>
      </c>
      <c r="B168" t="s">
        <v>474</v>
      </c>
      <c r="C168" s="1">
        <v>-0.93287509000000002</v>
      </c>
      <c r="D168" s="110">
        <v>-1.043703</v>
      </c>
      <c r="E168" s="1">
        <v>-1.0447883</v>
      </c>
      <c r="F168" s="1">
        <v>-1.0664906999999999</v>
      </c>
      <c r="G168" s="1">
        <v>-0.81313844000000002</v>
      </c>
      <c r="H168" s="1">
        <v>-0.98362455999999998</v>
      </c>
      <c r="I168" s="1">
        <v>-0.98231199999999996</v>
      </c>
      <c r="J168" s="1">
        <v>-1.06956541</v>
      </c>
      <c r="K168" s="1">
        <v>-1.07208265</v>
      </c>
      <c r="L168" s="1">
        <v>-1.0898061000000001</v>
      </c>
      <c r="M168" s="1">
        <v>-0.83439312200000004</v>
      </c>
      <c r="N168" s="1">
        <v>-1.008855836</v>
      </c>
      <c r="O168" s="1">
        <v>-1.0013638739999999</v>
      </c>
      <c r="P168" s="1">
        <v>-1.00959468</v>
      </c>
      <c r="Q168" s="1">
        <v>-1.00820526</v>
      </c>
      <c r="R168" s="1">
        <v>-1.0350889999999999</v>
      </c>
      <c r="S168" s="1">
        <v>-0.78510701199999999</v>
      </c>
      <c r="T168" s="1">
        <v>-0.94980659000000001</v>
      </c>
      <c r="U168" s="1">
        <v>-0.95665244000000005</v>
      </c>
    </row>
    <row r="169" spans="1:21" x14ac:dyDescent="0.25">
      <c r="A169" t="s">
        <v>476</v>
      </c>
      <c r="B169" t="s">
        <v>63</v>
      </c>
      <c r="C169" s="1">
        <v>-0.97825510999999998</v>
      </c>
      <c r="D169" s="110">
        <v>-1.0588553999999999</v>
      </c>
      <c r="E169" s="1">
        <v>-1.0339499999999999</v>
      </c>
      <c r="F169" s="1">
        <v>-1.0146488</v>
      </c>
      <c r="G169" s="1">
        <v>-0.98129398999999995</v>
      </c>
      <c r="H169" s="1">
        <v>-1.0494982100000001</v>
      </c>
      <c r="I169" s="1">
        <v>-0.92233858000000002</v>
      </c>
      <c r="J169" s="1">
        <v>-0.98176132999999999</v>
      </c>
      <c r="K169" s="1">
        <v>-0.95880368999999999</v>
      </c>
      <c r="L169" s="1">
        <v>-0.94397489999999995</v>
      </c>
      <c r="M169" s="1">
        <v>-0.91793529699999998</v>
      </c>
      <c r="N169" s="1">
        <v>-0.98003183500000002</v>
      </c>
      <c r="O169" s="1">
        <v>-0.86458823100000004</v>
      </c>
      <c r="P169" s="1">
        <v>-1.0469617899999999</v>
      </c>
      <c r="Q169" s="1">
        <v>-1.0198710099999999</v>
      </c>
      <c r="R169" s="1">
        <v>-0.99955579999999999</v>
      </c>
      <c r="S169" s="1">
        <v>-0.97151938500000001</v>
      </c>
      <c r="T169" s="1">
        <v>-1.03648341</v>
      </c>
      <c r="U169" s="1">
        <v>-0.91000553799999995</v>
      </c>
    </row>
    <row r="170" spans="1:21" x14ac:dyDescent="0.25">
      <c r="A170" t="s">
        <v>478</v>
      </c>
      <c r="B170" t="s">
        <v>479</v>
      </c>
      <c r="C170" s="1">
        <v>-0.76908619</v>
      </c>
      <c r="D170" s="110">
        <v>-0.92686460000000004</v>
      </c>
      <c r="E170" s="1">
        <v>-1.0003179</v>
      </c>
      <c r="F170" s="1">
        <v>-0.9701632</v>
      </c>
      <c r="G170" s="1">
        <v>-0.66342466</v>
      </c>
      <c r="H170" s="1">
        <v>-0.93829028000000003</v>
      </c>
      <c r="I170" s="1">
        <v>-0.87699382000000004</v>
      </c>
      <c r="J170" s="1">
        <v>-0.89167315999999996</v>
      </c>
      <c r="K170" s="1">
        <v>-0.96832319</v>
      </c>
      <c r="L170" s="1">
        <v>-0.93746719999999994</v>
      </c>
      <c r="M170" s="1">
        <v>-0.63450305799999995</v>
      </c>
      <c r="N170" s="1">
        <v>-0.90871391700000004</v>
      </c>
      <c r="O170" s="1">
        <v>-0.85027661099999996</v>
      </c>
      <c r="P170" s="1">
        <v>-0.88577510000000004</v>
      </c>
      <c r="Q170" s="1">
        <v>-0.95514080000000001</v>
      </c>
      <c r="R170" s="1">
        <v>-0.92886829999999998</v>
      </c>
      <c r="S170" s="1">
        <v>-0.62965581599999998</v>
      </c>
      <c r="T170" s="1">
        <v>-0.89652790999999998</v>
      </c>
      <c r="U170" s="1">
        <v>-0.84325017000000002</v>
      </c>
    </row>
    <row r="171" spans="1:21" x14ac:dyDescent="0.25">
      <c r="A171" t="s">
        <v>481</v>
      </c>
      <c r="B171" t="s">
        <v>482</v>
      </c>
      <c r="C171" s="1">
        <v>-0.98368900999999997</v>
      </c>
      <c r="D171" s="110">
        <v>-1.0680419999999999</v>
      </c>
      <c r="E171" s="1">
        <v>-1.0276430000000001</v>
      </c>
      <c r="F171" s="1">
        <v>-0.94486919999999996</v>
      </c>
      <c r="G171" s="1">
        <v>-0.96401066999999996</v>
      </c>
      <c r="H171" s="1">
        <v>-1.03099897</v>
      </c>
      <c r="I171" s="1">
        <v>-0.88316512999999996</v>
      </c>
      <c r="J171" s="1">
        <v>-1.01066641</v>
      </c>
      <c r="K171" s="1">
        <v>-0.96843539000000001</v>
      </c>
      <c r="L171" s="1">
        <v>-0.89289070000000004</v>
      </c>
      <c r="M171" s="1">
        <v>-0.91685733000000003</v>
      </c>
      <c r="N171" s="1">
        <v>-0.97626658600000005</v>
      </c>
      <c r="O171" s="1">
        <v>-0.84069147099999997</v>
      </c>
      <c r="P171" s="1">
        <v>-1.0674755899999999</v>
      </c>
      <c r="Q171" s="1">
        <v>-1.02684229</v>
      </c>
      <c r="R171" s="1">
        <v>-0.94374259999999999</v>
      </c>
      <c r="S171" s="1">
        <v>-0.96354516700000004</v>
      </c>
      <c r="T171" s="1">
        <v>-1.03025882</v>
      </c>
      <c r="U171" s="1">
        <v>-0.88224450399999998</v>
      </c>
    </row>
    <row r="172" spans="1:21" x14ac:dyDescent="0.25">
      <c r="A172" t="s">
        <v>484</v>
      </c>
      <c r="B172" t="s">
        <v>485</v>
      </c>
      <c r="C172" s="1">
        <v>-0.93228988000000002</v>
      </c>
      <c r="D172" s="110">
        <v>-1.040651</v>
      </c>
      <c r="E172" s="1">
        <v>-0.9998359</v>
      </c>
      <c r="F172" s="1">
        <v>-0.93516869999999996</v>
      </c>
      <c r="G172" s="1">
        <v>-0.87040998999999997</v>
      </c>
      <c r="H172" s="1">
        <v>-0.95827026000000004</v>
      </c>
      <c r="I172" s="1">
        <v>-0.77161447000000005</v>
      </c>
      <c r="J172" s="1">
        <v>-1.00914579</v>
      </c>
      <c r="K172" s="1">
        <v>-0.96927998999999998</v>
      </c>
      <c r="L172" s="1">
        <v>-0.90625820000000001</v>
      </c>
      <c r="M172" s="1">
        <v>-0.84451788299999997</v>
      </c>
      <c r="N172" s="1">
        <v>-0.93002394099999997</v>
      </c>
      <c r="O172" s="1">
        <v>-0.74799063099999996</v>
      </c>
      <c r="P172" s="1">
        <v>-1.0139767099999999</v>
      </c>
      <c r="Q172" s="1">
        <v>-0.97068734000000001</v>
      </c>
      <c r="R172" s="1">
        <v>-0.90892280000000003</v>
      </c>
      <c r="S172" s="1">
        <v>-0.84848810200000002</v>
      </c>
      <c r="T172" s="1">
        <v>-0.93132492</v>
      </c>
      <c r="U172" s="1">
        <v>-0.75016796699999999</v>
      </c>
    </row>
    <row r="173" spans="1:21" x14ac:dyDescent="0.25">
      <c r="A173" t="s">
        <v>487</v>
      </c>
      <c r="B173" t="s">
        <v>488</v>
      </c>
      <c r="C173" s="1">
        <v>-0.84805620999999998</v>
      </c>
      <c r="D173" s="110">
        <v>-0.9624606</v>
      </c>
      <c r="E173" s="1">
        <v>-0.98048199999999996</v>
      </c>
      <c r="F173" s="1">
        <v>-0.97746379999999999</v>
      </c>
      <c r="G173" s="1">
        <v>-0.80160534000000006</v>
      </c>
      <c r="H173" s="1">
        <v>-1.03354575</v>
      </c>
      <c r="I173" s="1">
        <v>-0.94991015000000001</v>
      </c>
      <c r="J173" s="1">
        <v>-0.90130768000000006</v>
      </c>
      <c r="K173" s="1">
        <v>-0.91803016000000004</v>
      </c>
      <c r="L173" s="1">
        <v>-0.92193999999999998</v>
      </c>
      <c r="M173" s="1">
        <v>-0.75134767499999999</v>
      </c>
      <c r="N173" s="1">
        <v>-0.975814301</v>
      </c>
      <c r="O173" s="1">
        <v>-0.90453950900000002</v>
      </c>
      <c r="P173" s="1">
        <v>-0.95926414999999998</v>
      </c>
      <c r="Q173" s="1">
        <v>-0.97669192999999999</v>
      </c>
      <c r="R173" s="1">
        <v>-0.97338769999999997</v>
      </c>
      <c r="S173" s="1">
        <v>-0.79897839000000004</v>
      </c>
      <c r="T173" s="1">
        <v>-1.0300421399999999</v>
      </c>
      <c r="U173" s="1">
        <v>-0.94657939400000002</v>
      </c>
    </row>
    <row r="174" spans="1:21" x14ac:dyDescent="0.25">
      <c r="A174" t="s">
        <v>490</v>
      </c>
      <c r="B174" t="s">
        <v>48</v>
      </c>
      <c r="C174" s="1">
        <v>-0.99909764000000001</v>
      </c>
      <c r="D174" s="110">
        <v>-1.0534787000000001</v>
      </c>
      <c r="E174" s="1">
        <v>-1.058835</v>
      </c>
      <c r="F174" s="1">
        <v>-1.0717067</v>
      </c>
      <c r="G174" s="1">
        <v>-1.0156376600000001</v>
      </c>
      <c r="H174" s="1">
        <v>-1.1009852</v>
      </c>
      <c r="I174" s="1">
        <v>-1.0560621699999999</v>
      </c>
      <c r="J174" s="1">
        <v>-0.98972890999999996</v>
      </c>
      <c r="K174" s="1">
        <v>-0.99929444999999995</v>
      </c>
      <c r="L174" s="1">
        <v>-1.0127756999999999</v>
      </c>
      <c r="M174" s="1">
        <v>-0.96324579499999996</v>
      </c>
      <c r="N174" s="1">
        <v>-1.045945028</v>
      </c>
      <c r="O174" s="1">
        <v>-1.0079073789999999</v>
      </c>
      <c r="P174" s="1">
        <v>-1.0129342699999999</v>
      </c>
      <c r="Q174" s="1">
        <v>-1.01367235</v>
      </c>
      <c r="R174" s="1">
        <v>-1.0291272</v>
      </c>
      <c r="S174" s="1">
        <v>-0.98231679100000002</v>
      </c>
      <c r="T174" s="1">
        <v>-1.0592361800000001</v>
      </c>
      <c r="U174" s="1">
        <v>-1.021268767</v>
      </c>
    </row>
    <row r="175" spans="1:21" x14ac:dyDescent="0.25">
      <c r="A175" t="s">
        <v>492</v>
      </c>
      <c r="B175" t="s">
        <v>493</v>
      </c>
      <c r="C175" s="1">
        <v>-0.89981091000000002</v>
      </c>
      <c r="D175" s="110">
        <v>-0.96278580000000002</v>
      </c>
      <c r="E175" s="1">
        <v>-0.96690310000000002</v>
      </c>
      <c r="F175" s="1">
        <v>-0.90234199999999998</v>
      </c>
      <c r="G175" s="1">
        <v>-0.84324350999999997</v>
      </c>
      <c r="H175" s="1">
        <v>-0.96984351000000002</v>
      </c>
      <c r="I175" s="1">
        <v>-0.79655339000000003</v>
      </c>
      <c r="J175" s="1">
        <v>-0.96704535000000003</v>
      </c>
      <c r="K175" s="1">
        <v>-0.97122129999999995</v>
      </c>
      <c r="L175" s="1">
        <v>-0.9062154</v>
      </c>
      <c r="M175" s="1">
        <v>-0.84674413599999998</v>
      </c>
      <c r="N175" s="1">
        <v>-0.97383534999999999</v>
      </c>
      <c r="O175" s="1">
        <v>-0.79971850700000002</v>
      </c>
      <c r="P175" s="1">
        <v>-0.93183066000000003</v>
      </c>
      <c r="Q175" s="1">
        <v>-0.93379093000000002</v>
      </c>
      <c r="R175" s="1">
        <v>-0.87412210000000001</v>
      </c>
      <c r="S175" s="1">
        <v>-0.81780343700000002</v>
      </c>
      <c r="T175" s="1">
        <v>-0.93923414000000005</v>
      </c>
      <c r="U175" s="1">
        <v>-0.77349388299999999</v>
      </c>
    </row>
    <row r="176" spans="1:21" x14ac:dyDescent="0.25">
      <c r="A176" t="s">
        <v>495</v>
      </c>
      <c r="B176" t="s">
        <v>496</v>
      </c>
      <c r="C176" s="1">
        <v>-1.07615755</v>
      </c>
      <c r="D176" s="110">
        <v>-1.1233498</v>
      </c>
      <c r="E176" s="1">
        <v>-1.1168975000000001</v>
      </c>
      <c r="F176" s="1">
        <v>-1.0465286</v>
      </c>
      <c r="G176" s="1">
        <v>-1.03688482</v>
      </c>
      <c r="H176" s="1">
        <v>-1.0563113799999999</v>
      </c>
      <c r="I176" s="1">
        <v>-0.93031070999999999</v>
      </c>
      <c r="J176" s="1">
        <v>-1.12838243</v>
      </c>
      <c r="K176" s="1">
        <v>-1.1243576500000001</v>
      </c>
      <c r="L176" s="1">
        <v>-1.0506603000000001</v>
      </c>
      <c r="M176" s="1">
        <v>-1.041020847</v>
      </c>
      <c r="N176" s="1">
        <v>-1.0632076669999999</v>
      </c>
      <c r="O176" s="1">
        <v>-0.93368688300000002</v>
      </c>
      <c r="P176" s="1">
        <v>-1.07593546</v>
      </c>
      <c r="Q176" s="1">
        <v>-1.0655885599999999</v>
      </c>
      <c r="R176" s="1">
        <v>-1.0014529999999999</v>
      </c>
      <c r="S176" s="1">
        <v>-0.99791803999999995</v>
      </c>
      <c r="T176" s="1">
        <v>-1.0088806100000001</v>
      </c>
      <c r="U176" s="1">
        <v>-0.89347772299999995</v>
      </c>
    </row>
    <row r="177" spans="1:21" x14ac:dyDescent="0.25">
      <c r="A177" t="s">
        <v>498</v>
      </c>
      <c r="B177" t="s">
        <v>499</v>
      </c>
      <c r="C177" s="1">
        <v>-0.82548938999999999</v>
      </c>
      <c r="D177" s="110">
        <v>-0.84372340000000001</v>
      </c>
      <c r="E177" s="1">
        <v>-0.78270839999999997</v>
      </c>
      <c r="F177" s="1">
        <v>-0.77169239999999995</v>
      </c>
      <c r="G177" s="1">
        <v>-0.79149069999999999</v>
      </c>
      <c r="H177" s="1">
        <v>-0.75517071999999996</v>
      </c>
      <c r="I177" s="1">
        <v>-0.76477010999999995</v>
      </c>
      <c r="J177" s="1">
        <v>-0.86970892</v>
      </c>
      <c r="K177" s="1">
        <v>-0.80784816999999998</v>
      </c>
      <c r="L177" s="1">
        <v>-0.79554970000000003</v>
      </c>
      <c r="M177" s="1">
        <v>-0.81284657699999996</v>
      </c>
      <c r="N177" s="1">
        <v>-0.77841034099999995</v>
      </c>
      <c r="O177" s="1">
        <v>-0.78426478300000002</v>
      </c>
      <c r="P177" s="1">
        <v>-0.81306951999999999</v>
      </c>
      <c r="Q177" s="1">
        <v>-0.75038488999999997</v>
      </c>
      <c r="R177" s="1">
        <v>-0.74520839999999999</v>
      </c>
      <c r="S177" s="1">
        <v>-0.76629827800000005</v>
      </c>
      <c r="T177" s="1">
        <v>-0.7252904</v>
      </c>
      <c r="U177" s="1">
        <v>-0.74312897</v>
      </c>
    </row>
    <row r="178" spans="1:21" x14ac:dyDescent="0.25">
      <c r="A178" t="s">
        <v>501</v>
      </c>
      <c r="B178" t="s">
        <v>502</v>
      </c>
      <c r="C178" s="1">
        <v>-0.78927692000000005</v>
      </c>
      <c r="D178" s="110">
        <v>-0.89317800000000003</v>
      </c>
      <c r="E178" s="1">
        <v>-0.90297910000000003</v>
      </c>
      <c r="F178" s="1">
        <v>-0.92556159999999998</v>
      </c>
      <c r="G178" s="1">
        <v>-0.68110654000000004</v>
      </c>
      <c r="H178" s="1">
        <v>-0.78087751999999999</v>
      </c>
      <c r="I178" s="1">
        <v>-0.82472683000000002</v>
      </c>
      <c r="J178" s="1">
        <v>-0.91738927000000003</v>
      </c>
      <c r="K178" s="1">
        <v>-0.93015035999999995</v>
      </c>
      <c r="L178" s="1">
        <v>-0.94708289999999995</v>
      </c>
      <c r="M178" s="1">
        <v>-0.70100423599999995</v>
      </c>
      <c r="N178" s="1">
        <v>-0.80599505599999999</v>
      </c>
      <c r="O178" s="1">
        <v>-0.84231272899999998</v>
      </c>
      <c r="P178" s="1">
        <v>-0.83689997000000005</v>
      </c>
      <c r="Q178" s="1">
        <v>-0.84226374999999998</v>
      </c>
      <c r="R178" s="1">
        <v>-0.87264030000000004</v>
      </c>
      <c r="S178" s="1">
        <v>-0.63485522699999997</v>
      </c>
      <c r="T178" s="1">
        <v>-0.72475131999999998</v>
      </c>
      <c r="U178" s="1">
        <v>-0.78148285699999998</v>
      </c>
    </row>
    <row r="179" spans="1:21" x14ac:dyDescent="0.25">
      <c r="A179" t="s">
        <v>504</v>
      </c>
      <c r="B179" t="s">
        <v>505</v>
      </c>
      <c r="C179" s="1">
        <v>-0.95143184000000003</v>
      </c>
      <c r="D179" s="110">
        <v>-0.97614290000000004</v>
      </c>
      <c r="E179" s="1">
        <v>-1.0260298000000001</v>
      </c>
      <c r="F179" s="1">
        <v>-1.0318792000000001</v>
      </c>
      <c r="G179" s="1">
        <v>-0.91947254</v>
      </c>
      <c r="H179" s="1">
        <v>-1.0472964300000001</v>
      </c>
      <c r="I179" s="1">
        <v>-1.0198950899999999</v>
      </c>
      <c r="J179" s="1">
        <v>-0.98941862000000003</v>
      </c>
      <c r="K179" s="1">
        <v>-1.03994959</v>
      </c>
      <c r="L179" s="1">
        <v>-1.0438646</v>
      </c>
      <c r="M179" s="1">
        <v>-0.93038303099999997</v>
      </c>
      <c r="N179" s="1">
        <v>-1.06016413</v>
      </c>
      <c r="O179" s="1">
        <v>-1.0296888399999999</v>
      </c>
      <c r="P179" s="1">
        <v>-0.93872255999999998</v>
      </c>
      <c r="Q179" s="1">
        <v>-0.98595248000000002</v>
      </c>
      <c r="R179" s="1">
        <v>-0.99761040000000001</v>
      </c>
      <c r="S179" s="1">
        <v>-0.88871918500000002</v>
      </c>
      <c r="T179" s="1">
        <v>-1.01024837</v>
      </c>
      <c r="U179" s="1">
        <v>-0.99189272799999995</v>
      </c>
    </row>
    <row r="180" spans="1:21" x14ac:dyDescent="0.25">
      <c r="A180" t="s">
        <v>507</v>
      </c>
      <c r="B180" t="s">
        <v>508</v>
      </c>
      <c r="C180" s="1">
        <v>-0.96386565000000002</v>
      </c>
      <c r="D180" s="110">
        <v>-1.0832390000000001</v>
      </c>
      <c r="E180" s="1">
        <v>-1.1485456000000001</v>
      </c>
      <c r="F180" s="1">
        <v>-1.0351524999999999</v>
      </c>
      <c r="G180" s="1">
        <v>-0.87077515999999999</v>
      </c>
      <c r="H180" s="1">
        <v>-1.09737789</v>
      </c>
      <c r="I180" s="1">
        <v>-0.85241579000000001</v>
      </c>
      <c r="J180" s="1">
        <v>-1.0769733100000001</v>
      </c>
      <c r="K180" s="1">
        <v>-1.1488896200000001</v>
      </c>
      <c r="L180" s="1">
        <v>-1.0281916</v>
      </c>
      <c r="M180" s="1">
        <v>-0.86562576499999999</v>
      </c>
      <c r="N180" s="1">
        <v>-1.0976959369999999</v>
      </c>
      <c r="O180" s="1">
        <v>-0.84672784700000003</v>
      </c>
      <c r="P180" s="1">
        <v>-1.0102054499999999</v>
      </c>
      <c r="Q180" s="1">
        <v>-1.0686506499999999</v>
      </c>
      <c r="R180" s="1">
        <v>-0.96301950000000003</v>
      </c>
      <c r="S180" s="1">
        <v>-0.810753532</v>
      </c>
      <c r="T180" s="1">
        <v>-1.0235217999999999</v>
      </c>
      <c r="U180" s="1">
        <v>-0.79347320399999999</v>
      </c>
    </row>
    <row r="181" spans="1:21" x14ac:dyDescent="0.25">
      <c r="A181" t="s">
        <v>507</v>
      </c>
      <c r="B181" t="s">
        <v>510</v>
      </c>
      <c r="C181" s="1">
        <v>-1.0707134700000001</v>
      </c>
      <c r="D181" s="110">
        <v>-1.1216652</v>
      </c>
      <c r="E181" s="1">
        <v>-1.0242176999999999</v>
      </c>
      <c r="F181" s="1">
        <v>-1.0126073</v>
      </c>
      <c r="G181" s="1">
        <v>-1.0427573999999999</v>
      </c>
      <c r="H181" s="1">
        <v>-0.93867792999999999</v>
      </c>
      <c r="I181" s="1">
        <v>-0.81595704999999996</v>
      </c>
      <c r="J181" s="1">
        <v>-1.1161652200000001</v>
      </c>
      <c r="K181" s="1">
        <v>-1.0225993600000001</v>
      </c>
      <c r="L181" s="1">
        <v>-1.0068594</v>
      </c>
      <c r="M181" s="1">
        <v>-1.0382373140000001</v>
      </c>
      <c r="N181" s="1">
        <v>-0.93718190499999998</v>
      </c>
      <c r="O181" s="1">
        <v>-0.81126021400000004</v>
      </c>
      <c r="P181" s="1">
        <v>-1.06713769</v>
      </c>
      <c r="Q181" s="1">
        <v>-0.96481689000000004</v>
      </c>
      <c r="R181" s="1">
        <v>-0.95953370000000004</v>
      </c>
      <c r="S181" s="1">
        <v>-0.99794472499999998</v>
      </c>
      <c r="T181" s="1">
        <v>-0.88376690000000002</v>
      </c>
      <c r="U181" s="1">
        <v>-0.77258859499999999</v>
      </c>
    </row>
    <row r="182" spans="1:21" x14ac:dyDescent="0.25">
      <c r="A182" t="s">
        <v>512</v>
      </c>
      <c r="B182" t="s">
        <v>513</v>
      </c>
      <c r="C182" s="1">
        <v>-1.0083272999999999</v>
      </c>
      <c r="D182" s="110">
        <v>-1.0900917999999999</v>
      </c>
      <c r="E182" s="1">
        <v>-1.1571155</v>
      </c>
      <c r="F182" s="1">
        <v>-1.1619128999999999</v>
      </c>
      <c r="G182" s="1">
        <v>-0.93104282999999999</v>
      </c>
      <c r="H182" s="1">
        <v>-1.13471959</v>
      </c>
      <c r="I182" s="1">
        <v>-1.1584873</v>
      </c>
      <c r="J182" s="1">
        <v>-1.09814319</v>
      </c>
      <c r="K182" s="1">
        <v>-1.1676360299999999</v>
      </c>
      <c r="L182" s="1">
        <v>-1.1687897</v>
      </c>
      <c r="M182" s="1">
        <v>-0.937659731</v>
      </c>
      <c r="N182" s="1">
        <v>-1.144444931</v>
      </c>
      <c r="O182" s="1">
        <v>-1.1641065669999999</v>
      </c>
      <c r="P182" s="1">
        <v>-1.04157144</v>
      </c>
      <c r="Q182" s="1">
        <v>-1.10464586</v>
      </c>
      <c r="R182" s="1">
        <v>-1.1158994</v>
      </c>
      <c r="S182" s="1">
        <v>-0.891167029</v>
      </c>
      <c r="T182" s="1">
        <v>-1.0862158500000001</v>
      </c>
      <c r="U182" s="1">
        <v>-1.120887851</v>
      </c>
    </row>
    <row r="183" spans="1:21" x14ac:dyDescent="0.25">
      <c r="A183" t="s">
        <v>515</v>
      </c>
      <c r="B183" t="s">
        <v>516</v>
      </c>
      <c r="C183" s="1">
        <v>-0.72979943000000003</v>
      </c>
      <c r="D183" s="110">
        <v>-0.82755829999999997</v>
      </c>
      <c r="E183" s="1">
        <v>-0.92631470000000005</v>
      </c>
      <c r="F183" s="1">
        <v>-1.0065059000000001</v>
      </c>
      <c r="G183" s="1">
        <v>-0.61681485000000003</v>
      </c>
      <c r="H183" s="1">
        <v>-0.92533949000000004</v>
      </c>
      <c r="I183" s="1">
        <v>-1.02703594</v>
      </c>
      <c r="J183" s="1">
        <v>-0.85916188999999998</v>
      </c>
      <c r="K183" s="1">
        <v>-0.96277003999999999</v>
      </c>
      <c r="L183" s="1">
        <v>-1.0344118</v>
      </c>
      <c r="M183" s="1">
        <v>-0.64278778999999997</v>
      </c>
      <c r="N183" s="1">
        <v>-0.95903932599999997</v>
      </c>
      <c r="O183" s="1">
        <v>-1.0498389610000001</v>
      </c>
      <c r="P183" s="1">
        <v>-0.75629497000000001</v>
      </c>
      <c r="Q183" s="1">
        <v>-0.84917211000000004</v>
      </c>
      <c r="R183" s="1">
        <v>-0.93867730000000005</v>
      </c>
      <c r="S183" s="1">
        <v>-0.558248046</v>
      </c>
      <c r="T183" s="1">
        <v>-0.85402765999999997</v>
      </c>
      <c r="U183" s="1">
        <v>-0.971610576</v>
      </c>
    </row>
    <row r="184" spans="1:21" x14ac:dyDescent="0.25">
      <c r="A184" t="s">
        <v>518</v>
      </c>
      <c r="B184" t="s">
        <v>519</v>
      </c>
      <c r="C184" s="1">
        <v>-0.73949045999999996</v>
      </c>
      <c r="D184" s="110">
        <v>-0.89999969999999996</v>
      </c>
      <c r="E184" s="1">
        <v>-1.0029986</v>
      </c>
      <c r="F184" s="1">
        <v>-0.98167020000000005</v>
      </c>
      <c r="G184" s="1">
        <v>-0.59064793999999998</v>
      </c>
      <c r="H184" s="1">
        <v>-0.86455901999999996</v>
      </c>
      <c r="I184" s="1">
        <v>-0.90301253000000004</v>
      </c>
      <c r="J184" s="1">
        <v>-0.90402784000000003</v>
      </c>
      <c r="K184" s="1">
        <v>-1.0055141700000001</v>
      </c>
      <c r="L184" s="1">
        <v>-0.98562910000000004</v>
      </c>
      <c r="M184" s="1">
        <v>-0.59395844399999997</v>
      </c>
      <c r="N184" s="1">
        <v>-0.86688450399999994</v>
      </c>
      <c r="O184" s="1">
        <v>-0.90624743699999999</v>
      </c>
      <c r="P184" s="1">
        <v>-0.87988573999999997</v>
      </c>
      <c r="Q184" s="1">
        <v>-0.98187804999999995</v>
      </c>
      <c r="R184" s="1">
        <v>-0.96457119999999996</v>
      </c>
      <c r="S184" s="1">
        <v>-0.57411760099999998</v>
      </c>
      <c r="T184" s="1">
        <v>-0.84503490999999997</v>
      </c>
      <c r="U184" s="1">
        <v>-0.88904021799999999</v>
      </c>
    </row>
    <row r="185" spans="1:21" x14ac:dyDescent="0.25">
      <c r="A185" t="s">
        <v>521</v>
      </c>
      <c r="B185" t="s">
        <v>522</v>
      </c>
      <c r="C185" s="1">
        <v>-0.83575752999999997</v>
      </c>
      <c r="D185" s="110">
        <v>-0.93416580000000005</v>
      </c>
      <c r="E185" s="1">
        <v>-1.0439083</v>
      </c>
      <c r="F185" s="1">
        <v>-1.0141194</v>
      </c>
      <c r="G185" s="1">
        <v>-0.74003865999999996</v>
      </c>
      <c r="H185" s="1">
        <v>-1.11938713</v>
      </c>
      <c r="I185" s="1">
        <v>-0.86997351999999994</v>
      </c>
      <c r="J185" s="1">
        <v>-0.93698075000000003</v>
      </c>
      <c r="K185" s="1">
        <v>-1.04388627</v>
      </c>
      <c r="L185" s="1">
        <v>-1.0172216999999999</v>
      </c>
      <c r="M185" s="1">
        <v>-0.74235211899999998</v>
      </c>
      <c r="N185" s="1">
        <v>-1.1193667380000001</v>
      </c>
      <c r="O185" s="1">
        <v>-0.87250850499999999</v>
      </c>
      <c r="P185" s="1">
        <v>-0.92346711000000004</v>
      </c>
      <c r="Q185" s="1">
        <v>-1.0331809700000001</v>
      </c>
      <c r="R185" s="1">
        <v>-1.0066117999999999</v>
      </c>
      <c r="S185" s="1">
        <v>-0.73124612</v>
      </c>
      <c r="T185" s="1">
        <v>-1.1094705899999999</v>
      </c>
      <c r="U185" s="1">
        <v>-0.86383882099999998</v>
      </c>
    </row>
    <row r="186" spans="1:21" x14ac:dyDescent="0.25">
      <c r="A186" t="s">
        <v>524</v>
      </c>
      <c r="B186" t="s">
        <v>525</v>
      </c>
      <c r="C186" s="1">
        <v>-1.1695931399999999</v>
      </c>
      <c r="D186" s="110">
        <v>-1.2106505000000001</v>
      </c>
      <c r="E186" s="1">
        <v>-1.2127075</v>
      </c>
      <c r="F186" s="1">
        <v>-1.2107687</v>
      </c>
      <c r="G186" s="1">
        <v>-1.13055919</v>
      </c>
      <c r="H186" s="1">
        <v>-1.1967504499999999</v>
      </c>
      <c r="I186" s="1">
        <v>-1.2452820600000001</v>
      </c>
      <c r="J186" s="1">
        <v>-1.2230567299999999</v>
      </c>
      <c r="K186" s="1">
        <v>-1.2302947799999999</v>
      </c>
      <c r="L186" s="1">
        <v>-1.2211053999999999</v>
      </c>
      <c r="M186" s="1">
        <v>-1.14075507</v>
      </c>
      <c r="N186" s="1">
        <v>-1.213008391</v>
      </c>
      <c r="O186" s="1">
        <v>-1.253728569</v>
      </c>
      <c r="P186" s="1">
        <v>-1.14234422</v>
      </c>
      <c r="Q186" s="1">
        <v>-1.1384348500000001</v>
      </c>
      <c r="R186" s="1">
        <v>-1.1447172999999999</v>
      </c>
      <c r="S186" s="1">
        <v>-1.0744226299999999</v>
      </c>
      <c r="T186" s="1">
        <v>-1.1280916599999999</v>
      </c>
      <c r="U186" s="1">
        <v>-1.191308941</v>
      </c>
    </row>
    <row r="187" spans="1:21" x14ac:dyDescent="0.25">
      <c r="A187" t="s">
        <v>527</v>
      </c>
      <c r="B187" t="s">
        <v>63</v>
      </c>
      <c r="C187" s="1">
        <v>-1.0262577100000001</v>
      </c>
      <c r="D187" s="110">
        <v>-1.0742503999999999</v>
      </c>
      <c r="E187" s="1">
        <v>-1.1190332999999999</v>
      </c>
      <c r="F187" s="1">
        <v>-1.0462459</v>
      </c>
      <c r="G187" s="1">
        <v>-0.99502816999999999</v>
      </c>
      <c r="H187" s="1">
        <v>-1.11366375</v>
      </c>
      <c r="I187" s="1">
        <v>-0.97170584999999998</v>
      </c>
      <c r="J187" s="1">
        <v>-1.0713245</v>
      </c>
      <c r="K187" s="1">
        <v>-1.12281488</v>
      </c>
      <c r="L187" s="1">
        <v>-1.0423123999999999</v>
      </c>
      <c r="M187" s="1">
        <v>-0.99262358299999998</v>
      </c>
      <c r="N187" s="1">
        <v>-1.117159513</v>
      </c>
      <c r="O187" s="1">
        <v>-0.96849169000000002</v>
      </c>
      <c r="P187" s="1">
        <v>-0.99963919000000001</v>
      </c>
      <c r="Q187" s="1">
        <v>-1.0374626300000001</v>
      </c>
      <c r="R187" s="1">
        <v>-0.97271169999999996</v>
      </c>
      <c r="S187" s="1">
        <v>-0.93371000999999998</v>
      </c>
      <c r="T187" s="1">
        <v>-1.0382585799999999</v>
      </c>
      <c r="U187" s="1">
        <v>-0.91161826099999999</v>
      </c>
    </row>
    <row r="188" spans="1:21" x14ac:dyDescent="0.25">
      <c r="A188" t="s">
        <v>529</v>
      </c>
      <c r="B188" t="s">
        <v>530</v>
      </c>
      <c r="C188" s="1">
        <v>-1.0377489600000001</v>
      </c>
      <c r="D188" s="110">
        <v>-1.0984342</v>
      </c>
      <c r="E188" s="1">
        <v>-1.1626349</v>
      </c>
      <c r="F188" s="1">
        <v>-1.0235752</v>
      </c>
      <c r="G188" s="1">
        <v>-0.99233837999999996</v>
      </c>
      <c r="H188" s="1">
        <v>-1.1894354599999999</v>
      </c>
      <c r="I188" s="1">
        <v>-0.94475050999999999</v>
      </c>
      <c r="J188" s="1">
        <v>-1.0921405799999999</v>
      </c>
      <c r="K188" s="1">
        <v>-1.15812541</v>
      </c>
      <c r="L188" s="1">
        <v>-1.0174991</v>
      </c>
      <c r="M188" s="1">
        <v>-0.98716607099999998</v>
      </c>
      <c r="N188" s="1">
        <v>-1.185266782</v>
      </c>
      <c r="O188" s="1">
        <v>-0.93978557200000001</v>
      </c>
      <c r="P188" s="1">
        <v>-1.0585109699999999</v>
      </c>
      <c r="Q188" s="1">
        <v>-1.11937803</v>
      </c>
      <c r="R188" s="1">
        <v>-0.98545079999999996</v>
      </c>
      <c r="S188" s="1">
        <v>-0.95952804800000002</v>
      </c>
      <c r="T188" s="1">
        <v>-1.1494481000000001</v>
      </c>
      <c r="U188" s="1">
        <v>-0.91359759699999998</v>
      </c>
    </row>
    <row r="189" spans="1:21" x14ac:dyDescent="0.25">
      <c r="A189" t="s">
        <v>529</v>
      </c>
      <c r="B189" t="s">
        <v>532</v>
      </c>
      <c r="C189" s="1">
        <v>-1.03174776</v>
      </c>
      <c r="D189" s="110">
        <v>-1.0762263000000001</v>
      </c>
      <c r="E189" s="1">
        <v>-1.1059036</v>
      </c>
      <c r="F189" s="1">
        <v>-1.0057593</v>
      </c>
      <c r="G189" s="1">
        <v>-0.98206258000000002</v>
      </c>
      <c r="H189" s="1">
        <v>-1.0564966</v>
      </c>
      <c r="I189" s="1">
        <v>-0.87715513000000001</v>
      </c>
      <c r="J189" s="1">
        <v>-1.0948441799999999</v>
      </c>
      <c r="K189" s="1">
        <v>-1.1279351099999999</v>
      </c>
      <c r="L189" s="1">
        <v>-1.0220940999999999</v>
      </c>
      <c r="M189" s="1">
        <v>-0.99736341500000003</v>
      </c>
      <c r="N189" s="1">
        <v>-1.0768628680000001</v>
      </c>
      <c r="O189" s="1">
        <v>-0.89050293899999999</v>
      </c>
      <c r="P189" s="1">
        <v>-1.01835619</v>
      </c>
      <c r="Q189" s="1">
        <v>-1.0433093200000001</v>
      </c>
      <c r="R189" s="1">
        <v>-0.95083549999999994</v>
      </c>
      <c r="S189" s="1">
        <v>-0.93450282799999995</v>
      </c>
      <c r="T189" s="1">
        <v>-0.99863347999999996</v>
      </c>
      <c r="U189" s="1">
        <v>-0.83227479999999998</v>
      </c>
    </row>
    <row r="190" spans="1:21" x14ac:dyDescent="0.25">
      <c r="A190" t="s">
        <v>534</v>
      </c>
      <c r="B190" t="s">
        <v>535</v>
      </c>
      <c r="C190" s="1">
        <v>-0.96084548999999997</v>
      </c>
      <c r="D190" s="110">
        <v>-1.0631938999999999</v>
      </c>
      <c r="E190" s="1">
        <v>-1.0352896</v>
      </c>
      <c r="F190" s="1">
        <v>-1.037188</v>
      </c>
      <c r="G190" s="1">
        <v>-0.94070858999999996</v>
      </c>
      <c r="H190" s="1">
        <v>-1.03019825</v>
      </c>
      <c r="I190" s="1">
        <v>-1.04183559</v>
      </c>
      <c r="J190" s="1">
        <v>-0.99368944000000003</v>
      </c>
      <c r="K190" s="1">
        <v>-0.96953637000000004</v>
      </c>
      <c r="L190" s="1">
        <v>-0.97309540000000005</v>
      </c>
      <c r="M190" s="1">
        <v>-0.88358730600000002</v>
      </c>
      <c r="N190" s="1">
        <v>-0.96941494500000003</v>
      </c>
      <c r="O190" s="1">
        <v>-0.98946301699999994</v>
      </c>
      <c r="P190" s="1">
        <v>-1.0269513100000001</v>
      </c>
      <c r="Q190" s="1">
        <v>-0.99478107000000005</v>
      </c>
      <c r="R190" s="1">
        <v>-0.99869470000000005</v>
      </c>
      <c r="S190" s="1">
        <v>-0.91092310799999998</v>
      </c>
      <c r="T190" s="1">
        <v>-0.99275153999999999</v>
      </c>
      <c r="U190" s="1">
        <v>-1.01038121</v>
      </c>
    </row>
    <row r="191" spans="1:21" x14ac:dyDescent="0.25">
      <c r="A191" t="s">
        <v>537</v>
      </c>
      <c r="B191" t="s">
        <v>63</v>
      </c>
      <c r="C191" s="1">
        <v>-0.89557911000000001</v>
      </c>
      <c r="D191" s="110">
        <v>-0.96348710000000004</v>
      </c>
      <c r="E191" s="1">
        <v>-0.91071000000000002</v>
      </c>
      <c r="F191" s="1">
        <v>-0.84537720000000005</v>
      </c>
      <c r="G191" s="1">
        <v>-0.87071399999999999</v>
      </c>
      <c r="H191" s="1">
        <v>-0.82421027999999996</v>
      </c>
      <c r="I191" s="1">
        <v>-0.81445517999999995</v>
      </c>
      <c r="J191" s="1">
        <v>-0.93208117000000001</v>
      </c>
      <c r="K191" s="1">
        <v>-0.87930732</v>
      </c>
      <c r="L191" s="1">
        <v>-0.81673569999999995</v>
      </c>
      <c r="M191" s="1">
        <v>-0.84490345300000003</v>
      </c>
      <c r="N191" s="1">
        <v>-0.79518112699999999</v>
      </c>
      <c r="O191" s="1">
        <v>-0.79105111299999997</v>
      </c>
      <c r="P191" s="1">
        <v>-0.94179570000000001</v>
      </c>
      <c r="Q191" s="1">
        <v>-0.88713041000000004</v>
      </c>
      <c r="R191" s="1">
        <v>-0.82442219999999999</v>
      </c>
      <c r="S191" s="1">
        <v>-0.85288720799999995</v>
      </c>
      <c r="T191" s="1">
        <v>-0.80241291000000003</v>
      </c>
      <c r="U191" s="1">
        <v>-0.79733201200000003</v>
      </c>
    </row>
    <row r="192" spans="1:21" x14ac:dyDescent="0.25">
      <c r="A192" t="s">
        <v>539</v>
      </c>
      <c r="B192" t="s">
        <v>63</v>
      </c>
      <c r="C192" s="1">
        <v>-1.04879444</v>
      </c>
      <c r="D192" s="110">
        <v>-1.0581799000000001</v>
      </c>
      <c r="E192" s="1">
        <v>-1.0264447999999999</v>
      </c>
      <c r="F192" s="1">
        <v>-0.97698560000000001</v>
      </c>
      <c r="G192" s="1">
        <v>-1.0853142099999999</v>
      </c>
      <c r="H192" s="1">
        <v>-1.0590025199999999</v>
      </c>
      <c r="I192" s="1">
        <v>-0.96742304000000001</v>
      </c>
      <c r="J192" s="1">
        <v>-1.01852572</v>
      </c>
      <c r="K192" s="1">
        <v>-0.99000511999999996</v>
      </c>
      <c r="L192" s="1">
        <v>-0.94021639999999995</v>
      </c>
      <c r="M192" s="1">
        <v>-1.0527249999999999</v>
      </c>
      <c r="N192" s="1">
        <v>-1.0253171059999999</v>
      </c>
      <c r="O192" s="1">
        <v>-0.93737752500000004</v>
      </c>
      <c r="P192" s="1">
        <v>-1.01670164</v>
      </c>
      <c r="Q192" s="1">
        <v>-0.98079709000000004</v>
      </c>
      <c r="R192" s="1">
        <v>-0.93516449999999995</v>
      </c>
      <c r="S192" s="1">
        <v>-1.051225901</v>
      </c>
      <c r="T192" s="1">
        <v>-1.01680506</v>
      </c>
      <c r="U192" s="1">
        <v>-0.93324937699999999</v>
      </c>
    </row>
    <row r="193" spans="1:21" x14ac:dyDescent="0.25">
      <c r="A193" t="s">
        <v>541</v>
      </c>
      <c r="B193" t="s">
        <v>393</v>
      </c>
      <c r="C193" s="1">
        <v>-0.76141020999999998</v>
      </c>
      <c r="D193" s="110">
        <v>-0.81348279999999995</v>
      </c>
      <c r="E193" s="1">
        <v>-0.80657880000000004</v>
      </c>
      <c r="F193" s="1">
        <v>-0.75364679999999995</v>
      </c>
      <c r="G193" s="1">
        <v>-0.78090232999999998</v>
      </c>
      <c r="H193" s="1">
        <v>-0.91466594000000001</v>
      </c>
      <c r="I193" s="1">
        <v>-0.77378033999999996</v>
      </c>
      <c r="J193" s="1">
        <v>-0.74499302000000001</v>
      </c>
      <c r="K193" s="1">
        <v>-0.73863661999999997</v>
      </c>
      <c r="L193" s="1">
        <v>-0.69108389999999997</v>
      </c>
      <c r="M193" s="1">
        <v>-0.72461499799999995</v>
      </c>
      <c r="N193" s="1">
        <v>-0.85185913099999999</v>
      </c>
      <c r="O193" s="1">
        <v>-0.72265773600000005</v>
      </c>
      <c r="P193" s="1">
        <v>-0.79813352999999998</v>
      </c>
      <c r="Q193" s="1">
        <v>-0.78924022000000005</v>
      </c>
      <c r="R193" s="1">
        <v>-0.73677190000000004</v>
      </c>
      <c r="S193" s="1">
        <v>-0.76828778399999997</v>
      </c>
      <c r="T193" s="1">
        <v>-0.89863786999999995</v>
      </c>
      <c r="U193" s="1">
        <v>-0.75999123599999996</v>
      </c>
    </row>
    <row r="194" spans="1:21" x14ac:dyDescent="0.25">
      <c r="A194" t="s">
        <v>543</v>
      </c>
      <c r="B194" s="4" t="s">
        <v>40</v>
      </c>
      <c r="C194" s="1">
        <v>-0.86842319000000001</v>
      </c>
      <c r="D194" s="110">
        <v>-0.9328535</v>
      </c>
      <c r="E194" s="1">
        <v>-0.90316779999999997</v>
      </c>
      <c r="F194" s="1">
        <v>-0.89102950000000003</v>
      </c>
      <c r="G194" s="1">
        <v>-0.85995224999999997</v>
      </c>
      <c r="H194" s="1">
        <v>-0.87548561000000003</v>
      </c>
      <c r="I194" s="1">
        <v>-0.88651389000000003</v>
      </c>
      <c r="J194" s="1">
        <v>-0.88533682000000002</v>
      </c>
      <c r="K194" s="1">
        <v>-0.85616258000000001</v>
      </c>
      <c r="L194" s="1">
        <v>-0.84759989999999996</v>
      </c>
      <c r="M194" s="1">
        <v>-0.82090134699999995</v>
      </c>
      <c r="N194" s="1">
        <v>-0.83203324000000001</v>
      </c>
      <c r="O194" s="1">
        <v>-0.85102588599999995</v>
      </c>
      <c r="P194" s="1">
        <v>-0.91205354000000005</v>
      </c>
      <c r="Q194" s="1">
        <v>-0.88023711999999998</v>
      </c>
      <c r="R194" s="1">
        <v>-0.86993259999999994</v>
      </c>
      <c r="S194" s="1">
        <v>-0.84285810900000002</v>
      </c>
      <c r="T194" s="1">
        <v>-0.85428811000000004</v>
      </c>
      <c r="U194" s="1">
        <v>-0.86927477399999997</v>
      </c>
    </row>
    <row r="195" spans="1:21" x14ac:dyDescent="0.25">
      <c r="A195" t="s">
        <v>545</v>
      </c>
      <c r="B195" s="4" t="s">
        <v>40</v>
      </c>
      <c r="C195" s="1">
        <v>-0.99003695000000003</v>
      </c>
      <c r="D195" s="110">
        <v>-1.0734699999999999</v>
      </c>
      <c r="E195" s="1">
        <v>-1.0961232000000001</v>
      </c>
      <c r="F195" s="1">
        <v>-1.0039663999999999</v>
      </c>
      <c r="G195" s="1">
        <v>-0.96409321999999997</v>
      </c>
      <c r="H195" s="1">
        <v>-1.20542511</v>
      </c>
      <c r="I195" s="1">
        <v>-0.92701073000000001</v>
      </c>
      <c r="J195" s="1">
        <v>-1.0226080399999999</v>
      </c>
      <c r="K195" s="1">
        <v>-1.0459704599999999</v>
      </c>
      <c r="L195" s="1">
        <v>-0.95744870000000004</v>
      </c>
      <c r="M195" s="1">
        <v>-0.92229306600000005</v>
      </c>
      <c r="N195" s="1">
        <v>-1.159063143</v>
      </c>
      <c r="O195" s="1">
        <v>-0.88899937799999995</v>
      </c>
      <c r="P195" s="1">
        <v>-1.05222236</v>
      </c>
      <c r="Q195" s="1">
        <v>-1.07262704</v>
      </c>
      <c r="R195" s="1">
        <v>-0.98219000000000001</v>
      </c>
      <c r="S195" s="1">
        <v>-0.94663117799999996</v>
      </c>
      <c r="T195" s="1">
        <v>-1.1837048999999999</v>
      </c>
      <c r="U195" s="1">
        <v>-0.90921642700000005</v>
      </c>
    </row>
    <row r="196" spans="1:21" x14ac:dyDescent="0.25">
      <c r="A196" t="s">
        <v>547</v>
      </c>
      <c r="B196" t="s">
        <v>548</v>
      </c>
      <c r="C196" s="1">
        <v>-1.13109105</v>
      </c>
      <c r="D196" s="110">
        <v>-1.1955735999999999</v>
      </c>
      <c r="E196" s="1">
        <v>-1.2632445999999999</v>
      </c>
      <c r="F196" s="1">
        <v>-1.0945651999999999</v>
      </c>
      <c r="G196" s="1">
        <v>-1.1203611499999999</v>
      </c>
      <c r="H196" s="1">
        <v>-1.40050794</v>
      </c>
      <c r="I196" s="1">
        <v>-1.00104729</v>
      </c>
      <c r="J196" s="1">
        <v>-1.14251539</v>
      </c>
      <c r="K196" s="1">
        <v>-1.20859597</v>
      </c>
      <c r="L196" s="1">
        <v>-1.0464784</v>
      </c>
      <c r="M196" s="1">
        <v>-1.0767559959999999</v>
      </c>
      <c r="N196" s="1">
        <v>-1.3499898770000001</v>
      </c>
      <c r="O196" s="1">
        <v>-0.96175369700000002</v>
      </c>
      <c r="P196" s="1">
        <v>-1.19056282</v>
      </c>
      <c r="Q196" s="1">
        <v>-1.2576742599999999</v>
      </c>
      <c r="R196" s="1">
        <v>-1.0893379000000001</v>
      </c>
      <c r="S196" s="1">
        <v>-1.1162431079999999</v>
      </c>
      <c r="T196" s="1">
        <v>-1.3953586</v>
      </c>
      <c r="U196" s="1">
        <v>-0.99677585899999999</v>
      </c>
    </row>
    <row r="197" spans="1:21" x14ac:dyDescent="0.25">
      <c r="A197" t="s">
        <v>550</v>
      </c>
      <c r="B197" t="s">
        <v>551</v>
      </c>
      <c r="C197" s="1">
        <v>-0.97226776999999998</v>
      </c>
      <c r="D197" s="110">
        <v>-1.0433758</v>
      </c>
      <c r="E197" s="1">
        <v>-0.97551909999999997</v>
      </c>
      <c r="F197" s="1">
        <v>-1.0329847000000001</v>
      </c>
      <c r="G197" s="1">
        <v>-0.95393052</v>
      </c>
      <c r="H197" s="1">
        <v>-0.86630671000000004</v>
      </c>
      <c r="I197" s="1">
        <v>-0.94593941000000004</v>
      </c>
      <c r="J197" s="1">
        <v>-1.00131485</v>
      </c>
      <c r="K197" s="1">
        <v>-0.93291820999999997</v>
      </c>
      <c r="L197" s="1">
        <v>-0.99472879999999997</v>
      </c>
      <c r="M197" s="1">
        <v>-0.91936333299999995</v>
      </c>
      <c r="N197" s="1">
        <v>-0.826925825</v>
      </c>
      <c r="O197" s="1">
        <v>-0.91467902800000001</v>
      </c>
      <c r="P197" s="1">
        <v>-1.0281708000000001</v>
      </c>
      <c r="Q197" s="1">
        <v>-0.95889864000000002</v>
      </c>
      <c r="R197" s="1">
        <v>-1.0180081000000001</v>
      </c>
      <c r="S197" s="1">
        <v>-0.94143452100000002</v>
      </c>
      <c r="T197" s="1">
        <v>-0.85094252999999997</v>
      </c>
      <c r="U197" s="1">
        <v>-0.93370140800000001</v>
      </c>
    </row>
    <row r="198" spans="1:21" x14ac:dyDescent="0.25">
      <c r="A198" t="s">
        <v>553</v>
      </c>
      <c r="B198" t="s">
        <v>63</v>
      </c>
      <c r="C198" s="1">
        <v>-0.89093111999999997</v>
      </c>
      <c r="D198" s="110">
        <v>-0.98704099999999995</v>
      </c>
      <c r="E198" s="1">
        <v>-1.0028332</v>
      </c>
      <c r="F198" s="1">
        <v>-0.97559709999999999</v>
      </c>
      <c r="G198" s="1">
        <v>-0.87006306</v>
      </c>
      <c r="H198" s="1">
        <v>-1.0782983799999999</v>
      </c>
      <c r="I198" s="1">
        <v>-0.96594314000000003</v>
      </c>
      <c r="J198" s="1">
        <v>-0.91572706000000004</v>
      </c>
      <c r="K198" s="1">
        <v>-0.92971753000000001</v>
      </c>
      <c r="L198" s="1">
        <v>-0.91090179999999998</v>
      </c>
      <c r="M198" s="1">
        <v>-0.81145470399999997</v>
      </c>
      <c r="N198" s="1">
        <v>-1.0107091580000001</v>
      </c>
      <c r="O198" s="1">
        <v>-0.91307804199999998</v>
      </c>
      <c r="P198" s="1">
        <v>-0.98843961999999996</v>
      </c>
      <c r="Q198" s="1">
        <v>-1.0039727000000001</v>
      </c>
      <c r="R198" s="1">
        <v>-0.97575509999999999</v>
      </c>
      <c r="S198" s="1">
        <v>-0.87121250900000002</v>
      </c>
      <c r="T198" s="1">
        <v>-1.0793517800000001</v>
      </c>
      <c r="U198" s="1">
        <v>-0.96607217300000003</v>
      </c>
    </row>
    <row r="199" spans="1:21" x14ac:dyDescent="0.25">
      <c r="A199" t="s">
        <v>555</v>
      </c>
      <c r="B199" t="s">
        <v>556</v>
      </c>
      <c r="C199" s="1">
        <v>-1.07542162</v>
      </c>
      <c r="D199" s="110">
        <v>-1.0670644</v>
      </c>
      <c r="E199" s="1">
        <v>-1.0614021</v>
      </c>
      <c r="F199" s="1">
        <v>-1.0136649</v>
      </c>
      <c r="G199" s="1">
        <v>-1.1293956199999999</v>
      </c>
      <c r="H199" s="1">
        <v>-1.1825492200000001</v>
      </c>
      <c r="I199" s="1">
        <v>-1.04909596</v>
      </c>
      <c r="J199" s="1">
        <v>-1.0182973399999999</v>
      </c>
      <c r="K199" s="1">
        <v>-1.0110464800000001</v>
      </c>
      <c r="L199" s="1">
        <v>-0.96949110000000005</v>
      </c>
      <c r="M199" s="1">
        <v>-1.0893170889999999</v>
      </c>
      <c r="N199" s="1">
        <v>-1.1359997449999999</v>
      </c>
      <c r="O199" s="1">
        <v>-1.0129998280000001</v>
      </c>
      <c r="P199" s="1">
        <v>-1.0608745399999999</v>
      </c>
      <c r="Q199" s="1">
        <v>-1.05461688</v>
      </c>
      <c r="R199" s="1">
        <v>-1.0075082</v>
      </c>
      <c r="S199" s="1">
        <v>-1.1243085580000001</v>
      </c>
      <c r="T199" s="1">
        <v>-1.17627689</v>
      </c>
      <c r="U199" s="1">
        <v>-1.0440650579999999</v>
      </c>
    </row>
    <row r="200" spans="1:21" x14ac:dyDescent="0.25">
      <c r="A200" t="s">
        <v>558</v>
      </c>
      <c r="B200" t="s">
        <v>559</v>
      </c>
      <c r="C200" s="1">
        <v>-0.90071281000000003</v>
      </c>
      <c r="D200" s="110">
        <v>-0.92129099999999997</v>
      </c>
      <c r="E200" s="1">
        <v>-0.92833670000000001</v>
      </c>
      <c r="F200" s="1">
        <v>-0.91474469999999997</v>
      </c>
      <c r="G200" s="1">
        <v>-0.88832043000000005</v>
      </c>
      <c r="H200" s="1">
        <v>-0.87721212999999998</v>
      </c>
      <c r="I200" s="1">
        <v>-0.84223112</v>
      </c>
      <c r="J200" s="1">
        <v>-0.92130743999999998</v>
      </c>
      <c r="K200" s="1">
        <v>-0.92974433000000001</v>
      </c>
      <c r="L200" s="1">
        <v>-0.91449729999999996</v>
      </c>
      <c r="M200" s="1">
        <v>-0.88833393199999999</v>
      </c>
      <c r="N200" s="1">
        <v>-0.878513353</v>
      </c>
      <c r="O200" s="1">
        <v>-0.842028946</v>
      </c>
      <c r="P200" s="1">
        <v>-0.88140658000000005</v>
      </c>
      <c r="Q200" s="1">
        <v>-0.88528863999999996</v>
      </c>
      <c r="R200" s="1">
        <v>-0.87718010000000002</v>
      </c>
      <c r="S200" s="1">
        <v>-0.85554196800000004</v>
      </c>
      <c r="T200" s="1">
        <v>-0.83741783000000003</v>
      </c>
      <c r="U200" s="1">
        <v>-0.81153556800000004</v>
      </c>
    </row>
    <row r="201" spans="1:21" x14ac:dyDescent="0.25">
      <c r="A201" t="s">
        <v>561</v>
      </c>
      <c r="B201" t="s">
        <v>562</v>
      </c>
      <c r="C201" s="1">
        <v>-0.82992684000000005</v>
      </c>
      <c r="D201" s="110">
        <v>-0.86319729999999995</v>
      </c>
      <c r="E201" s="1">
        <v>-0.90351199999999998</v>
      </c>
      <c r="F201" s="1">
        <v>-0.87093039999999999</v>
      </c>
      <c r="G201" s="1">
        <v>-0.86938428000000001</v>
      </c>
      <c r="H201" s="1">
        <v>-1.0044077600000001</v>
      </c>
      <c r="I201" s="1">
        <v>-0.82611140999999999</v>
      </c>
      <c r="J201" s="1">
        <v>-0.78519408000000002</v>
      </c>
      <c r="K201" s="1">
        <v>-0.82211330000000005</v>
      </c>
      <c r="L201" s="1">
        <v>-0.80043520000000001</v>
      </c>
      <c r="M201" s="1">
        <v>-0.80527842800000005</v>
      </c>
      <c r="N201" s="1">
        <v>-0.92916155</v>
      </c>
      <c r="O201" s="1">
        <v>-0.768507143</v>
      </c>
      <c r="P201" s="1">
        <v>-0.87734628000000003</v>
      </c>
      <c r="Q201" s="1">
        <v>-0.9186204</v>
      </c>
      <c r="R201" s="1">
        <v>-0.88374609999999998</v>
      </c>
      <c r="S201" s="1">
        <v>-0.88101242599999996</v>
      </c>
      <c r="T201" s="1">
        <v>-1.0183742</v>
      </c>
      <c r="U201" s="1">
        <v>-0.83658361800000003</v>
      </c>
    </row>
    <row r="202" spans="1:21" x14ac:dyDescent="0.25">
      <c r="A202" t="s">
        <v>564</v>
      </c>
      <c r="B202" t="s">
        <v>565</v>
      </c>
      <c r="C202" s="1">
        <v>-0.87914720000000002</v>
      </c>
      <c r="D202" s="110">
        <v>-0.97476030000000002</v>
      </c>
      <c r="E202" s="1">
        <v>-1.0117883000000001</v>
      </c>
      <c r="F202" s="1">
        <v>-0.94412419999999997</v>
      </c>
      <c r="G202" s="1">
        <v>-0.84909824</v>
      </c>
      <c r="H202" s="1">
        <v>-0.99588410999999999</v>
      </c>
      <c r="I202" s="1">
        <v>-0.87233331000000003</v>
      </c>
      <c r="J202" s="1">
        <v>-0.91390331000000002</v>
      </c>
      <c r="K202" s="1">
        <v>-0.94822627000000004</v>
      </c>
      <c r="L202" s="1">
        <v>-0.88913549999999997</v>
      </c>
      <c r="M202" s="1">
        <v>-0.79908378899999999</v>
      </c>
      <c r="N202" s="1">
        <v>-0.937126444</v>
      </c>
      <c r="O202" s="1">
        <v>-0.82739991800000001</v>
      </c>
      <c r="P202" s="1">
        <v>-0.97789954000000001</v>
      </c>
      <c r="Q202" s="1">
        <v>-1.0151307899999999</v>
      </c>
      <c r="R202" s="1">
        <v>-0.94693760000000005</v>
      </c>
      <c r="S202" s="1">
        <v>-0.85167819300000003</v>
      </c>
      <c r="T202" s="1">
        <v>-0.99897400999999997</v>
      </c>
      <c r="U202" s="1">
        <v>-0.87463225200000005</v>
      </c>
    </row>
    <row r="203" spans="1:21" x14ac:dyDescent="0.25">
      <c r="A203" t="s">
        <v>567</v>
      </c>
      <c r="B203" t="s">
        <v>568</v>
      </c>
      <c r="C203" s="1">
        <v>-0.75432801999999999</v>
      </c>
      <c r="D203" s="110">
        <v>-0.84608680000000003</v>
      </c>
      <c r="E203" s="1">
        <v>-0.87283639999999996</v>
      </c>
      <c r="F203" s="1">
        <v>-0.84337209999999996</v>
      </c>
      <c r="G203" s="1">
        <v>-0.70460323999999996</v>
      </c>
      <c r="H203" s="1">
        <v>-0.86036559000000001</v>
      </c>
      <c r="I203" s="1">
        <v>-0.74509886999999997</v>
      </c>
      <c r="J203" s="1">
        <v>-0.81253531000000001</v>
      </c>
      <c r="K203" s="1">
        <v>-0.83821206999999998</v>
      </c>
      <c r="L203" s="1">
        <v>-0.8129769</v>
      </c>
      <c r="M203" s="1">
        <v>-0.67702940199999995</v>
      </c>
      <c r="N203" s="1">
        <v>-0.82835832799999998</v>
      </c>
      <c r="O203" s="1">
        <v>-0.72026180399999995</v>
      </c>
      <c r="P203" s="1">
        <v>-0.83034169000000002</v>
      </c>
      <c r="Q203" s="1">
        <v>-0.85586399999999996</v>
      </c>
      <c r="R203" s="1">
        <v>-0.82861050000000003</v>
      </c>
      <c r="S203" s="1">
        <v>-0.69166332399999997</v>
      </c>
      <c r="T203" s="1">
        <v>-0.84467603999999996</v>
      </c>
      <c r="U203" s="1">
        <v>-0.73303660199999998</v>
      </c>
    </row>
    <row r="204" spans="1:21" x14ac:dyDescent="0.25">
      <c r="A204" t="s">
        <v>570</v>
      </c>
      <c r="B204" t="s">
        <v>571</v>
      </c>
      <c r="C204" s="1">
        <v>-0.99907292999999997</v>
      </c>
      <c r="D204" s="110">
        <v>-0.96315969999999995</v>
      </c>
      <c r="E204" s="1">
        <v>-0.9857747</v>
      </c>
      <c r="F204" s="1">
        <v>-1.0311986</v>
      </c>
      <c r="G204" s="1">
        <v>-1.04398557</v>
      </c>
      <c r="H204" s="1">
        <v>-1.21913969</v>
      </c>
      <c r="I204" s="1">
        <v>-1.12012841</v>
      </c>
      <c r="J204" s="1">
        <v>-0.95132269999999997</v>
      </c>
      <c r="K204" s="1">
        <v>-0.97491391000000005</v>
      </c>
      <c r="L204" s="1">
        <v>-1.0202197</v>
      </c>
      <c r="M204" s="1">
        <v>-1.0342575270000001</v>
      </c>
      <c r="N204" s="1">
        <v>-1.209099795</v>
      </c>
      <c r="O204" s="1">
        <v>-1.1111571090000001</v>
      </c>
      <c r="P204" s="1">
        <v>-0.92719008000000003</v>
      </c>
      <c r="Q204" s="1">
        <v>-0.94688735000000002</v>
      </c>
      <c r="R204" s="1">
        <v>-0.99711850000000002</v>
      </c>
      <c r="S204" s="1">
        <v>-1.014424467</v>
      </c>
      <c r="T204" s="1">
        <v>-1.1831916099999999</v>
      </c>
      <c r="U204" s="1">
        <v>-1.0922802389999999</v>
      </c>
    </row>
    <row r="205" spans="1:21" x14ac:dyDescent="0.25">
      <c r="A205" t="s">
        <v>573</v>
      </c>
      <c r="B205" t="s">
        <v>574</v>
      </c>
      <c r="C205" s="1">
        <v>-0.65321733999999998</v>
      </c>
      <c r="D205" s="110">
        <v>-0.71477429999999997</v>
      </c>
      <c r="E205" s="1">
        <v>-0.83318490000000001</v>
      </c>
      <c r="F205" s="1">
        <v>-0.84641109999999997</v>
      </c>
      <c r="G205" s="1">
        <v>-0.62586324999999998</v>
      </c>
      <c r="H205" s="1">
        <v>-0.75832719999999998</v>
      </c>
      <c r="I205" s="1">
        <v>-0.72209802999999995</v>
      </c>
      <c r="J205" s="1">
        <v>-0.68277807000000001</v>
      </c>
      <c r="K205" s="1">
        <v>-0.79947774999999999</v>
      </c>
      <c r="L205" s="1">
        <v>-0.81755469999999997</v>
      </c>
      <c r="M205" s="1">
        <v>-0.59956761800000002</v>
      </c>
      <c r="N205" s="1">
        <v>-0.72716779399999998</v>
      </c>
      <c r="O205" s="1">
        <v>-0.69851831900000005</v>
      </c>
      <c r="P205" s="1">
        <v>-0.70244567999999996</v>
      </c>
      <c r="Q205" s="1">
        <v>-0.82004494000000006</v>
      </c>
      <c r="R205" s="1">
        <v>-0.83532139999999999</v>
      </c>
      <c r="S205" s="1">
        <v>-0.61573116299999997</v>
      </c>
      <c r="T205" s="1">
        <v>-0.74618041999999996</v>
      </c>
      <c r="U205" s="1">
        <v>-0.71303617699999999</v>
      </c>
    </row>
    <row r="206" spans="1:21" x14ac:dyDescent="0.25">
      <c r="A206" t="s">
        <v>576</v>
      </c>
      <c r="B206" t="s">
        <v>577</v>
      </c>
      <c r="C206" s="1">
        <v>-0.82751850000000005</v>
      </c>
      <c r="D206" s="110">
        <v>-0.89602440000000005</v>
      </c>
      <c r="E206" s="1">
        <v>-0.88888319999999998</v>
      </c>
      <c r="F206" s="1">
        <v>-0.87155839999999996</v>
      </c>
      <c r="G206" s="1">
        <v>-0.79398606000000005</v>
      </c>
      <c r="H206" s="1">
        <v>-0.87600317000000005</v>
      </c>
      <c r="I206" s="1">
        <v>-0.79412996000000002</v>
      </c>
      <c r="J206" s="1">
        <v>-0.87123768999999995</v>
      </c>
      <c r="K206" s="1">
        <v>-0.86464810000000003</v>
      </c>
      <c r="L206" s="1">
        <v>-0.84884990000000005</v>
      </c>
      <c r="M206" s="1">
        <v>-0.77361541300000003</v>
      </c>
      <c r="N206" s="1">
        <v>-0.85359986899999996</v>
      </c>
      <c r="O206" s="1">
        <v>-0.77557396599999995</v>
      </c>
      <c r="P206" s="1">
        <v>-0.86553817</v>
      </c>
      <c r="Q206" s="1">
        <v>-0.85582601999999997</v>
      </c>
      <c r="R206" s="1">
        <v>-0.84236679999999997</v>
      </c>
      <c r="S206" s="1">
        <v>-0.76893134299999999</v>
      </c>
      <c r="T206" s="1">
        <v>-0.84544461000000004</v>
      </c>
      <c r="U206" s="1">
        <v>-0.77027636200000005</v>
      </c>
    </row>
    <row r="207" spans="1:21" x14ac:dyDescent="0.25">
      <c r="A207" t="s">
        <v>579</v>
      </c>
      <c r="B207" t="s">
        <v>580</v>
      </c>
      <c r="C207" s="1">
        <v>-0.61514493999999997</v>
      </c>
      <c r="D207" s="110">
        <v>-0.76172119999999999</v>
      </c>
      <c r="E207" s="1">
        <v>-0.80291199999999996</v>
      </c>
      <c r="F207" s="1">
        <v>-0.96067970000000003</v>
      </c>
      <c r="G207" s="1">
        <v>-0.51572291000000003</v>
      </c>
      <c r="H207" s="1">
        <v>-0.69236072000000004</v>
      </c>
      <c r="I207" s="1">
        <v>-0.90835085999999998</v>
      </c>
      <c r="J207" s="1">
        <v>-0.72856354999999995</v>
      </c>
      <c r="K207" s="1">
        <v>-0.76930505999999999</v>
      </c>
      <c r="L207" s="1">
        <v>-0.93052610000000002</v>
      </c>
      <c r="M207" s="1">
        <v>-0.48847275200000001</v>
      </c>
      <c r="N207" s="1">
        <v>-0.66129397300000003</v>
      </c>
      <c r="O207" s="1">
        <v>-0.88371118100000001</v>
      </c>
      <c r="P207" s="1">
        <v>-0.74037529999999996</v>
      </c>
      <c r="Q207" s="1">
        <v>-0.77979377999999999</v>
      </c>
      <c r="R207" s="1">
        <v>-0.94032740000000004</v>
      </c>
      <c r="S207" s="1">
        <v>-0.498180075</v>
      </c>
      <c r="T207" s="1">
        <v>-0.67098990000000003</v>
      </c>
      <c r="U207" s="1">
        <v>-0.891720191</v>
      </c>
    </row>
    <row r="208" spans="1:21" x14ac:dyDescent="0.25">
      <c r="A208" t="s">
        <v>582</v>
      </c>
      <c r="B208" t="s">
        <v>583</v>
      </c>
      <c r="C208" s="1">
        <v>-0.81961139999999999</v>
      </c>
      <c r="D208" s="110">
        <v>-0.84632359999999995</v>
      </c>
      <c r="E208" s="1">
        <v>-0.91517749999999998</v>
      </c>
      <c r="F208" s="1">
        <v>-0.93166020000000005</v>
      </c>
      <c r="G208" s="1">
        <v>-0.83262729999999996</v>
      </c>
      <c r="H208" s="1">
        <v>-0.99671447999999996</v>
      </c>
      <c r="I208" s="1">
        <v>-0.91812905</v>
      </c>
      <c r="J208" s="1">
        <v>-0.80816310999999996</v>
      </c>
      <c r="K208" s="1">
        <v>-0.87841581000000002</v>
      </c>
      <c r="L208" s="1">
        <v>-0.89659560000000005</v>
      </c>
      <c r="M208" s="1">
        <v>-0.80126564199999994</v>
      </c>
      <c r="N208" s="1">
        <v>-0.96273137200000003</v>
      </c>
      <c r="O208" s="1">
        <v>-0.88947645500000005</v>
      </c>
      <c r="P208" s="1">
        <v>-0.81366019000000001</v>
      </c>
      <c r="Q208" s="1">
        <v>-0.87943104000000005</v>
      </c>
      <c r="R208" s="1">
        <v>-0.89935430000000005</v>
      </c>
      <c r="S208" s="1">
        <v>-0.80578334399999996</v>
      </c>
      <c r="T208" s="1">
        <v>-0.96366985999999999</v>
      </c>
      <c r="U208" s="1">
        <v>-0.89173068600000005</v>
      </c>
    </row>
    <row r="209" spans="1:21" x14ac:dyDescent="0.25">
      <c r="A209" t="s">
        <v>585</v>
      </c>
      <c r="B209" t="s">
        <v>586</v>
      </c>
      <c r="C209" s="1">
        <v>-0.71918442999999999</v>
      </c>
      <c r="D209" s="110">
        <v>-0.769648</v>
      </c>
      <c r="E209" s="1">
        <v>-0.83107560000000003</v>
      </c>
      <c r="F209" s="1">
        <v>-0.73044869999999995</v>
      </c>
      <c r="G209" s="1">
        <v>-0.68733681999999996</v>
      </c>
      <c r="H209" s="1">
        <v>-0.82842327999999998</v>
      </c>
      <c r="I209" s="1">
        <v>-0.54415327999999996</v>
      </c>
      <c r="J209" s="1">
        <v>-0.75855558000000001</v>
      </c>
      <c r="K209" s="1">
        <v>-0.82077164000000002</v>
      </c>
      <c r="L209" s="1">
        <v>-0.72018420000000005</v>
      </c>
      <c r="M209" s="1">
        <v>-0.67822068099999999</v>
      </c>
      <c r="N209" s="1">
        <v>-0.81889816199999999</v>
      </c>
      <c r="O209" s="1">
        <v>-0.53576574399999999</v>
      </c>
      <c r="P209" s="1">
        <v>-0.73381642999999996</v>
      </c>
      <c r="Q209" s="1">
        <v>-0.79239046999999996</v>
      </c>
      <c r="R209" s="1">
        <v>-0.69666550000000005</v>
      </c>
      <c r="S209" s="1">
        <v>-0.657889159</v>
      </c>
      <c r="T209" s="1">
        <v>-0.79266217000000005</v>
      </c>
      <c r="U209" s="1">
        <v>-0.51654771700000002</v>
      </c>
    </row>
    <row r="210" spans="1:21" x14ac:dyDescent="0.25">
      <c r="A210" t="s">
        <v>588</v>
      </c>
      <c r="B210" t="s">
        <v>589</v>
      </c>
      <c r="C210" s="1">
        <v>-1.03169015</v>
      </c>
      <c r="D210" s="110">
        <v>-1.0515441000000001</v>
      </c>
      <c r="E210" s="1">
        <v>-1.0302880000000001</v>
      </c>
      <c r="F210" s="1">
        <v>-0.90688040000000003</v>
      </c>
      <c r="G210" s="1">
        <v>-1.0313056700000001</v>
      </c>
      <c r="H210" s="1">
        <v>-1.0848193699999999</v>
      </c>
      <c r="I210" s="1">
        <v>-0.83109834000000005</v>
      </c>
      <c r="J210" s="1">
        <v>-1.0405106799999999</v>
      </c>
      <c r="K210" s="1">
        <v>-1.0210783000000001</v>
      </c>
      <c r="L210" s="1">
        <v>-0.89647449999999995</v>
      </c>
      <c r="M210" s="1">
        <v>-1.02223804</v>
      </c>
      <c r="N210" s="1">
        <v>-1.0763057599999999</v>
      </c>
      <c r="O210" s="1">
        <v>-0.82259523899999998</v>
      </c>
      <c r="P210" s="1">
        <v>-1.00859538</v>
      </c>
      <c r="Q210" s="1">
        <v>-0.98372862000000005</v>
      </c>
      <c r="R210" s="1">
        <v>-0.86579050000000002</v>
      </c>
      <c r="S210" s="1">
        <v>-0.99600889599999998</v>
      </c>
      <c r="T210" s="1">
        <v>-1.04177915</v>
      </c>
      <c r="U210" s="1">
        <v>-0.79752219000000002</v>
      </c>
    </row>
    <row r="211" spans="1:21" x14ac:dyDescent="0.25">
      <c r="A211" t="s">
        <v>591</v>
      </c>
      <c r="B211" t="s">
        <v>592</v>
      </c>
      <c r="C211" s="1">
        <v>-0.89655408000000003</v>
      </c>
      <c r="D211" s="110">
        <v>-0.88613439999999999</v>
      </c>
      <c r="E211" s="1">
        <v>-0.94947009999999998</v>
      </c>
      <c r="F211" s="1">
        <v>-0.86323570000000005</v>
      </c>
      <c r="G211" s="1">
        <v>-0.91088424000000001</v>
      </c>
      <c r="H211" s="1">
        <v>-1.04351729</v>
      </c>
      <c r="I211" s="1">
        <v>-0.80452190999999995</v>
      </c>
      <c r="J211" s="1">
        <v>-0.88203602000000003</v>
      </c>
      <c r="K211" s="1">
        <v>-0.94450276</v>
      </c>
      <c r="L211" s="1">
        <v>-0.85966209999999998</v>
      </c>
      <c r="M211" s="1">
        <v>-0.90751601599999998</v>
      </c>
      <c r="N211" s="1">
        <v>-1.0389254029999999</v>
      </c>
      <c r="O211" s="1">
        <v>-0.80160171300000005</v>
      </c>
      <c r="P211" s="1">
        <v>-0.85722081000000006</v>
      </c>
      <c r="Q211" s="1">
        <v>-0.91867794999999997</v>
      </c>
      <c r="R211" s="1">
        <v>-0.83730380000000004</v>
      </c>
      <c r="S211" s="1">
        <v>-0.88712197999999998</v>
      </c>
      <c r="T211" s="1">
        <v>-1.0150525500000001</v>
      </c>
      <c r="U211" s="1">
        <v>-0.78333188399999998</v>
      </c>
    </row>
    <row r="212" spans="1:21" x14ac:dyDescent="0.25">
      <c r="A212" t="s">
        <v>594</v>
      </c>
      <c r="B212" t="s">
        <v>595</v>
      </c>
      <c r="C212" s="1">
        <v>-0.82940038000000005</v>
      </c>
      <c r="D212" s="110">
        <v>-0.8948834</v>
      </c>
      <c r="E212" s="1">
        <v>-0.79683269999999995</v>
      </c>
      <c r="F212" s="1">
        <v>-1.0006504000000001</v>
      </c>
      <c r="G212" s="1">
        <v>-0.80676910999999996</v>
      </c>
      <c r="H212" s="1">
        <v>-0.77491591999999998</v>
      </c>
      <c r="I212" s="1">
        <v>-1.10687402</v>
      </c>
      <c r="J212" s="1">
        <v>-0.865788</v>
      </c>
      <c r="K212" s="1">
        <v>-0.76939594</v>
      </c>
      <c r="L212" s="1">
        <v>-0.9738038</v>
      </c>
      <c r="M212" s="1">
        <v>-0.78285748600000005</v>
      </c>
      <c r="N212" s="1">
        <v>-0.74955292600000001</v>
      </c>
      <c r="O212" s="1">
        <v>-1.0849366620000001</v>
      </c>
      <c r="P212" s="1">
        <v>-0.85380917000000001</v>
      </c>
      <c r="Q212" s="1">
        <v>-0.75211824000000005</v>
      </c>
      <c r="R212" s="1">
        <v>-0.9607675</v>
      </c>
      <c r="S212" s="1">
        <v>-0.77301285099999995</v>
      </c>
      <c r="T212" s="1">
        <v>-0.73358115999999995</v>
      </c>
      <c r="U212" s="1">
        <v>-1.0742841219999999</v>
      </c>
    </row>
    <row r="213" spans="1:21" x14ac:dyDescent="0.25">
      <c r="A213" t="s">
        <v>597</v>
      </c>
      <c r="B213" t="s">
        <v>598</v>
      </c>
      <c r="C213" s="1">
        <v>-1.00972</v>
      </c>
      <c r="D213" s="110">
        <v>-0.92970589999999997</v>
      </c>
      <c r="E213" s="1">
        <v>-0.90340050000000005</v>
      </c>
      <c r="F213" s="1">
        <v>-0.8410282</v>
      </c>
      <c r="G213" s="1">
        <v>-1.10239</v>
      </c>
      <c r="H213" s="1">
        <v>-1.1125649200000001</v>
      </c>
      <c r="I213" s="1">
        <v>-0.90543434</v>
      </c>
      <c r="J213" s="1">
        <v>-0.90701807000000001</v>
      </c>
      <c r="K213" s="1">
        <v>-0.87562240999999996</v>
      </c>
      <c r="L213" s="1">
        <v>-0.82129799999999997</v>
      </c>
      <c r="M213" s="1">
        <v>-1.0837443600000001</v>
      </c>
      <c r="N213" s="1">
        <v>-1.0868864119999999</v>
      </c>
      <c r="O213" s="1">
        <v>-0.88931208100000003</v>
      </c>
      <c r="P213" s="1">
        <v>-0.93210959000000004</v>
      </c>
      <c r="Q213" s="1">
        <v>-0.90696971999999998</v>
      </c>
      <c r="R213" s="1">
        <v>-0.8463463</v>
      </c>
      <c r="S213" s="1">
        <v>-1.104365477</v>
      </c>
      <c r="T213" s="1">
        <v>-1.1158643500000001</v>
      </c>
      <c r="U213" s="1">
        <v>-0.90977998800000004</v>
      </c>
    </row>
    <row r="214" spans="1:21" x14ac:dyDescent="0.25">
      <c r="A214" t="s">
        <v>600</v>
      </c>
      <c r="B214" t="s">
        <v>601</v>
      </c>
      <c r="C214" s="1">
        <v>-0.56660619999999995</v>
      </c>
      <c r="D214" s="110">
        <v>-0.59345009999999998</v>
      </c>
      <c r="E214" s="1">
        <v>-0.60890979999999995</v>
      </c>
      <c r="F214" s="1">
        <v>-0.63749149999999999</v>
      </c>
      <c r="G214" s="1">
        <v>-0.54717402000000004</v>
      </c>
      <c r="H214" s="1">
        <v>-0.60634125000000005</v>
      </c>
      <c r="I214" s="1">
        <v>-0.63643455999999998</v>
      </c>
      <c r="J214" s="1">
        <v>-0.59776839000000004</v>
      </c>
      <c r="K214" s="1">
        <v>-0.61718176999999996</v>
      </c>
      <c r="L214" s="1">
        <v>-0.64068380000000003</v>
      </c>
      <c r="M214" s="1">
        <v>-0.55072296799999998</v>
      </c>
      <c r="N214" s="1">
        <v>-0.613988007</v>
      </c>
      <c r="O214" s="1">
        <v>-0.63904316699999997</v>
      </c>
      <c r="P214" s="1">
        <v>-0.52620802</v>
      </c>
      <c r="Q214" s="1">
        <v>-0.53598725999999997</v>
      </c>
      <c r="R214" s="1">
        <v>-0.57307379999999997</v>
      </c>
      <c r="S214" s="1">
        <v>-0.491912077</v>
      </c>
      <c r="T214" s="1">
        <v>-0.53893055000000001</v>
      </c>
      <c r="U214" s="1">
        <v>-0.58379638499999997</v>
      </c>
    </row>
    <row r="215" spans="1:21" x14ac:dyDescent="0.25">
      <c r="A215" t="s">
        <v>603</v>
      </c>
      <c r="B215" t="s">
        <v>604</v>
      </c>
      <c r="C215" s="1">
        <v>-0.58042830000000001</v>
      </c>
      <c r="D215" s="110">
        <v>-0.59461090000000005</v>
      </c>
      <c r="E215" s="1">
        <v>-0.55055200000000004</v>
      </c>
      <c r="F215" s="1">
        <v>-0.67419359999999995</v>
      </c>
      <c r="G215" s="1">
        <v>-0.58726493999999996</v>
      </c>
      <c r="H215" s="1">
        <v>-0.61863075000000001</v>
      </c>
      <c r="I215" s="1">
        <v>-0.75818474000000002</v>
      </c>
      <c r="J215" s="1">
        <v>-0.57862026</v>
      </c>
      <c r="K215" s="1">
        <v>-0.53378046999999995</v>
      </c>
      <c r="L215" s="1">
        <v>-0.65975810000000001</v>
      </c>
      <c r="M215" s="1">
        <v>-0.57412326599999997</v>
      </c>
      <c r="N215" s="1">
        <v>-0.603126897</v>
      </c>
      <c r="O215" s="1">
        <v>-0.74638896200000004</v>
      </c>
      <c r="P215" s="1">
        <v>-0.56536456999999996</v>
      </c>
      <c r="Q215" s="1">
        <v>-0.51924851000000005</v>
      </c>
      <c r="R215" s="1">
        <v>-0.64747120000000002</v>
      </c>
      <c r="S215" s="1">
        <v>-0.56322927</v>
      </c>
      <c r="T215" s="1">
        <v>-0.58969333000000002</v>
      </c>
      <c r="U215" s="1">
        <v>-0.73634885800000005</v>
      </c>
    </row>
    <row r="216" spans="1:21" x14ac:dyDescent="0.25">
      <c r="A216" t="s">
        <v>606</v>
      </c>
      <c r="B216" t="s">
        <v>607</v>
      </c>
      <c r="C216" s="1">
        <v>-0.49444326999999999</v>
      </c>
      <c r="D216" s="110">
        <v>-0.62717469999999997</v>
      </c>
      <c r="E216" s="1">
        <v>-0.66426759999999996</v>
      </c>
      <c r="F216" s="1">
        <v>-0.69240619999999997</v>
      </c>
      <c r="G216" s="1">
        <v>-0.42462176000000001</v>
      </c>
      <c r="H216" s="1">
        <v>-0.66660549999999996</v>
      </c>
      <c r="I216" s="1">
        <v>-0.68660986000000002</v>
      </c>
      <c r="J216" s="1">
        <v>-0.57247797</v>
      </c>
      <c r="K216" s="1">
        <v>-0.60621506000000003</v>
      </c>
      <c r="L216" s="1">
        <v>-0.64315809999999995</v>
      </c>
      <c r="M216" s="1">
        <v>-0.37967002999999999</v>
      </c>
      <c r="N216" s="1">
        <v>-0.61294084500000001</v>
      </c>
      <c r="O216" s="1">
        <v>-0.64636735999999995</v>
      </c>
      <c r="P216" s="1">
        <v>-0.62610818000000001</v>
      </c>
      <c r="Q216" s="1">
        <v>-0.66333573999999995</v>
      </c>
      <c r="R216" s="1">
        <v>-0.6920887</v>
      </c>
      <c r="S216" s="1">
        <v>-0.42374527299999998</v>
      </c>
      <c r="T216" s="1">
        <v>-0.66574409000000001</v>
      </c>
      <c r="U216" s="1">
        <v>-0.68635039399999997</v>
      </c>
    </row>
    <row r="217" spans="1:21" x14ac:dyDescent="0.25">
      <c r="A217" t="s">
        <v>609</v>
      </c>
      <c r="B217" t="s">
        <v>610</v>
      </c>
      <c r="C217" s="1">
        <v>-0.67184591000000005</v>
      </c>
      <c r="D217" s="110">
        <v>-0.68697699999999995</v>
      </c>
      <c r="E217" s="1">
        <v>-0.69020729999999997</v>
      </c>
      <c r="F217" s="1">
        <v>-0.74816499999999997</v>
      </c>
      <c r="G217" s="1">
        <v>-0.68088618000000001</v>
      </c>
      <c r="H217" s="1">
        <v>-0.80987173000000001</v>
      </c>
      <c r="I217" s="1">
        <v>-0.80619594999999999</v>
      </c>
      <c r="J217" s="1">
        <v>-0.66114090000000003</v>
      </c>
      <c r="K217" s="1">
        <v>-0.65979942999999996</v>
      </c>
      <c r="L217" s="1">
        <v>-0.72546580000000005</v>
      </c>
      <c r="M217" s="1">
        <v>-0.65965311500000001</v>
      </c>
      <c r="N217" s="1">
        <v>-0.78176219700000005</v>
      </c>
      <c r="O217" s="1">
        <v>-0.78764763100000001</v>
      </c>
      <c r="P217" s="1">
        <v>-0.68614089</v>
      </c>
      <c r="Q217" s="1">
        <v>-0.69014472000000004</v>
      </c>
      <c r="R217" s="1">
        <v>-0.75000880000000003</v>
      </c>
      <c r="S217" s="1">
        <v>-0.68019900499999997</v>
      </c>
      <c r="T217" s="1">
        <v>-0.80981384999999995</v>
      </c>
      <c r="U217" s="1">
        <v>-0.807702645</v>
      </c>
    </row>
    <row r="218" spans="1:21" x14ac:dyDescent="0.25">
      <c r="A218" t="s">
        <v>612</v>
      </c>
      <c r="B218" t="s">
        <v>613</v>
      </c>
      <c r="C218" s="1">
        <v>-0.22607859999999999</v>
      </c>
      <c r="D218" s="110">
        <v>-0.38848640000000001</v>
      </c>
      <c r="E218" s="1">
        <v>-0.48354209999999997</v>
      </c>
      <c r="F218" s="1">
        <v>-0.4558605</v>
      </c>
      <c r="G218" s="1">
        <v>-9.8270570000000002E-2</v>
      </c>
      <c r="H218" s="1">
        <v>-0.41262963000000003</v>
      </c>
      <c r="I218" s="1">
        <v>-0.29250727999999998</v>
      </c>
      <c r="J218" s="1">
        <v>-0.36410056000000002</v>
      </c>
      <c r="K218" s="1">
        <v>-0.45342939999999998</v>
      </c>
      <c r="L218" s="1">
        <v>-0.43470180000000003</v>
      </c>
      <c r="M218" s="1">
        <v>-7.8229407000000001E-2</v>
      </c>
      <c r="N218" s="1">
        <v>-0.38479302100000001</v>
      </c>
      <c r="O218" s="1">
        <v>-0.27521774500000001</v>
      </c>
      <c r="P218" s="1">
        <v>-0.39477590000000001</v>
      </c>
      <c r="Q218" s="1">
        <v>-0.49140924000000002</v>
      </c>
      <c r="R218" s="1">
        <v>-0.46516410000000002</v>
      </c>
      <c r="S218" s="1">
        <v>-0.103439509</v>
      </c>
      <c r="T218" s="1">
        <v>-0.41990217000000002</v>
      </c>
      <c r="U218" s="1">
        <v>-0.30010967999999999</v>
      </c>
    </row>
    <row r="219" spans="1:21" x14ac:dyDescent="0.25">
      <c r="A219" t="s">
        <v>615</v>
      </c>
      <c r="B219" t="s">
        <v>1147</v>
      </c>
      <c r="C219" s="1">
        <v>-0.57710121999999997</v>
      </c>
      <c r="D219" s="110">
        <v>-0.6163092</v>
      </c>
      <c r="E219" s="1">
        <v>-0.61525819999999998</v>
      </c>
      <c r="F219" s="1">
        <v>-0.71046889999999996</v>
      </c>
      <c r="G219" s="1">
        <v>-0.57440597000000004</v>
      </c>
      <c r="H219" s="1">
        <v>-0.66075006000000003</v>
      </c>
      <c r="I219" s="1">
        <v>-0.86707959000000001</v>
      </c>
      <c r="J219" s="1">
        <v>-0.57708258999999995</v>
      </c>
      <c r="K219" s="1">
        <v>-0.56832039000000001</v>
      </c>
      <c r="L219" s="1">
        <v>-0.67615040000000004</v>
      </c>
      <c r="M219" s="1">
        <v>-0.54216810400000004</v>
      </c>
      <c r="N219" s="1">
        <v>-0.61736005900000002</v>
      </c>
      <c r="O219" s="1">
        <v>-0.83903660300000005</v>
      </c>
      <c r="P219" s="1">
        <v>-0.64024278999999995</v>
      </c>
      <c r="Q219" s="1">
        <v>-0.64233857999999999</v>
      </c>
      <c r="R219" s="1">
        <v>-0.73692199999999997</v>
      </c>
      <c r="S219" s="1">
        <v>-0.59407542599999996</v>
      </c>
      <c r="T219" s="1">
        <v>-0.68578360999999999</v>
      </c>
      <c r="U219" s="1">
        <v>-0.88869541799999996</v>
      </c>
    </row>
    <row r="220" spans="1:21" x14ac:dyDescent="0.25">
      <c r="A220" t="s">
        <v>615</v>
      </c>
      <c r="B220" t="s">
        <v>616</v>
      </c>
      <c r="C220" s="1">
        <v>-0.46517489000000001</v>
      </c>
      <c r="D220" s="110">
        <v>-0.57007680000000005</v>
      </c>
      <c r="E220" s="1">
        <v>-0.59801309999999996</v>
      </c>
      <c r="F220" s="1">
        <v>-0.60805759999999998</v>
      </c>
      <c r="G220" s="1">
        <v>-0.40094629999999998</v>
      </c>
      <c r="H220" s="1">
        <v>-0.63325847000000002</v>
      </c>
      <c r="I220" s="1">
        <v>-0.58022686000000001</v>
      </c>
      <c r="J220" s="1">
        <v>-0.53132851999999997</v>
      </c>
      <c r="K220" s="1">
        <v>-0.55066811999999998</v>
      </c>
      <c r="L220" s="1">
        <v>-0.57434229999999997</v>
      </c>
      <c r="M220" s="1">
        <v>-0.36910155500000003</v>
      </c>
      <c r="N220" s="1">
        <v>-0.58949207599999998</v>
      </c>
      <c r="O220" s="1">
        <v>-0.55267681300000004</v>
      </c>
      <c r="P220" s="1">
        <v>-0.59995476999999997</v>
      </c>
      <c r="Q220" s="1">
        <v>-0.63168133000000004</v>
      </c>
      <c r="R220" s="1">
        <v>-0.64064810000000005</v>
      </c>
      <c r="S220" s="1">
        <v>-0.42550107399999998</v>
      </c>
      <c r="T220" s="1">
        <v>-0.66438193000000001</v>
      </c>
      <c r="U220" s="1">
        <v>-0.60685776700000005</v>
      </c>
    </row>
    <row r="221" spans="1:21" x14ac:dyDescent="0.25">
      <c r="A221" t="s">
        <v>618</v>
      </c>
      <c r="B221" t="s">
        <v>619</v>
      </c>
      <c r="C221" s="1">
        <v>-0.55335524000000003</v>
      </c>
      <c r="D221" s="110">
        <v>-0.58423990000000003</v>
      </c>
      <c r="E221" s="1">
        <v>-0.54719150000000005</v>
      </c>
      <c r="F221" s="1">
        <v>-0.568469</v>
      </c>
      <c r="G221" s="1">
        <v>-0.54545357000000005</v>
      </c>
      <c r="H221" s="1">
        <v>-0.68722777999999995</v>
      </c>
      <c r="I221" s="1">
        <v>-0.64591812999999998</v>
      </c>
      <c r="J221" s="1">
        <v>-0.56323696000000001</v>
      </c>
      <c r="K221" s="1">
        <v>-0.52177819999999997</v>
      </c>
      <c r="L221" s="1">
        <v>-0.5501471</v>
      </c>
      <c r="M221" s="1">
        <v>-0.528192577</v>
      </c>
      <c r="N221" s="1">
        <v>-0.66373532199999996</v>
      </c>
      <c r="O221" s="1">
        <v>-0.63094658800000003</v>
      </c>
      <c r="P221" s="1">
        <v>-0.58044509</v>
      </c>
      <c r="Q221" s="1">
        <v>-0.54397545999999997</v>
      </c>
      <c r="R221" s="1">
        <v>-0.56765140000000003</v>
      </c>
      <c r="S221" s="1">
        <v>-0.54233483800000004</v>
      </c>
      <c r="T221" s="1">
        <v>-0.68425480999999999</v>
      </c>
      <c r="U221" s="1">
        <v>-0.645250043</v>
      </c>
    </row>
    <row r="222" spans="1:21" x14ac:dyDescent="0.25">
      <c r="A222" t="s">
        <v>620</v>
      </c>
      <c r="B222" t="s">
        <v>621</v>
      </c>
      <c r="C222" s="1">
        <v>-0.76632407999999996</v>
      </c>
      <c r="D222" s="110">
        <v>-0.74068310000000004</v>
      </c>
      <c r="E222" s="1">
        <v>-0.70822510000000005</v>
      </c>
      <c r="F222" s="1">
        <v>-0.71544209999999997</v>
      </c>
      <c r="G222" s="1">
        <v>-0.79937917000000003</v>
      </c>
      <c r="H222" s="1">
        <v>-0.85128055000000002</v>
      </c>
      <c r="I222" s="1">
        <v>-0.75124097999999995</v>
      </c>
      <c r="J222" s="1">
        <v>-0.72629007000000001</v>
      </c>
      <c r="K222" s="1">
        <v>-0.68457376999999997</v>
      </c>
      <c r="L222" s="1">
        <v>-0.70406259999999998</v>
      </c>
      <c r="M222" s="1">
        <v>-0.78755043999999996</v>
      </c>
      <c r="N222" s="1">
        <v>-0.82941693299999997</v>
      </c>
      <c r="O222" s="1">
        <v>-0.74194230500000002</v>
      </c>
      <c r="P222" s="1">
        <v>-0.76404192000000004</v>
      </c>
      <c r="Q222" s="1">
        <v>-0.73534873999999995</v>
      </c>
      <c r="R222" s="1">
        <v>-0.74343300000000001</v>
      </c>
      <c r="S222" s="1">
        <v>-0.81857626699999997</v>
      </c>
      <c r="T222" s="1">
        <v>-0.87635410000000002</v>
      </c>
      <c r="U222" s="1">
        <v>-0.77411344900000001</v>
      </c>
    </row>
    <row r="223" spans="1:21" x14ac:dyDescent="0.25">
      <c r="A223" t="s">
        <v>623</v>
      </c>
      <c r="B223" t="s">
        <v>624</v>
      </c>
      <c r="C223" s="1">
        <v>-0.47519818000000003</v>
      </c>
      <c r="D223" s="110">
        <v>-0.62197250000000004</v>
      </c>
      <c r="E223" s="1">
        <v>-0.58262250000000004</v>
      </c>
      <c r="F223" s="1">
        <v>-0.48046529999999998</v>
      </c>
      <c r="G223" s="1">
        <v>-0.41049059999999998</v>
      </c>
      <c r="H223" s="1">
        <v>-0.56919280000000005</v>
      </c>
      <c r="I223" s="1">
        <v>-0.3473292</v>
      </c>
      <c r="J223" s="1">
        <v>-0.55871588000000005</v>
      </c>
      <c r="K223" s="1">
        <v>-0.51772850000000004</v>
      </c>
      <c r="L223" s="1">
        <v>-0.42308689999999999</v>
      </c>
      <c r="M223" s="1">
        <v>-0.35850402799999997</v>
      </c>
      <c r="N223" s="1">
        <v>-0.50920380600000004</v>
      </c>
      <c r="O223" s="1">
        <v>-0.30044303700000002</v>
      </c>
      <c r="P223" s="1">
        <v>-0.58210965000000003</v>
      </c>
      <c r="Q223" s="1">
        <v>-0.53963097999999998</v>
      </c>
      <c r="R223" s="1">
        <v>-0.44302530000000001</v>
      </c>
      <c r="S223" s="1">
        <v>-0.37772987299999999</v>
      </c>
      <c r="T223" s="1">
        <v>-0.5294508</v>
      </c>
      <c r="U223" s="1">
        <v>-0.31673548800000001</v>
      </c>
    </row>
    <row r="224" spans="1:21" x14ac:dyDescent="0.25">
      <c r="A224" t="s">
        <v>1146</v>
      </c>
      <c r="B224" t="s">
        <v>1161</v>
      </c>
      <c r="C224" s="1">
        <v>-0.88542133000000001</v>
      </c>
      <c r="D224" s="110">
        <v>-0.86078149999999998</v>
      </c>
      <c r="E224" s="1">
        <v>-0.68133969999999999</v>
      </c>
      <c r="F224" s="1">
        <v>-0.66828909999999997</v>
      </c>
      <c r="G224" s="1">
        <v>-0.99230936999999997</v>
      </c>
      <c r="H224" s="1">
        <v>-0.91348737999999996</v>
      </c>
      <c r="I224" s="1">
        <v>-0.68236642000000003</v>
      </c>
      <c r="J224" s="1">
        <v>-0.77241216000000001</v>
      </c>
      <c r="K224" s="1">
        <v>-0.59171037000000004</v>
      </c>
      <c r="L224" s="1">
        <v>-0.58793770000000001</v>
      </c>
      <c r="M224" s="1">
        <v>-0.91968423499999996</v>
      </c>
      <c r="N224" s="1">
        <v>-0.83063262400000004</v>
      </c>
      <c r="O224" s="1">
        <v>-0.61670820000000004</v>
      </c>
      <c r="P224" s="1">
        <v>-0.88852666999999996</v>
      </c>
      <c r="Q224" s="1">
        <v>-0.71036553999999996</v>
      </c>
      <c r="R224" s="1">
        <v>-0.69153779999999998</v>
      </c>
      <c r="S224" s="1">
        <v>-1.015111326</v>
      </c>
      <c r="T224" s="1">
        <v>-0.94031929000000003</v>
      </c>
      <c r="U224" s="1">
        <v>-0.70136383800000002</v>
      </c>
    </row>
    <row r="225" spans="1:21" x14ac:dyDescent="0.25">
      <c r="A225" t="s">
        <v>626</v>
      </c>
      <c r="B225" t="s">
        <v>627</v>
      </c>
      <c r="C225" s="1">
        <v>-0.60460972999999996</v>
      </c>
      <c r="D225" s="110">
        <v>-0.71639470000000005</v>
      </c>
      <c r="E225" s="1">
        <v>-0.68913990000000003</v>
      </c>
      <c r="F225" s="1">
        <v>-0.60633610000000004</v>
      </c>
      <c r="G225" s="1">
        <v>-0.57749539000000005</v>
      </c>
      <c r="H225" s="1">
        <v>-0.72668913000000002</v>
      </c>
      <c r="I225" s="1">
        <v>-0.35989425000000003</v>
      </c>
      <c r="J225" s="1">
        <v>-0.63607393000000001</v>
      </c>
      <c r="K225" s="1">
        <v>-0.60527657999999995</v>
      </c>
      <c r="L225" s="1">
        <v>-0.53375519999999999</v>
      </c>
      <c r="M225" s="1">
        <v>-0.51148486900000001</v>
      </c>
      <c r="N225" s="1">
        <v>-0.64916459599999998</v>
      </c>
      <c r="O225" s="1">
        <v>-0.30058559099999999</v>
      </c>
      <c r="P225" s="1">
        <v>-0.73944465000000004</v>
      </c>
      <c r="Q225" s="1">
        <v>-0.71378914000000004</v>
      </c>
      <c r="R225" s="1">
        <v>-0.62732790000000005</v>
      </c>
      <c r="S225" s="1">
        <v>-0.59643865100000004</v>
      </c>
      <c r="T225" s="1">
        <v>-0.74947527000000003</v>
      </c>
      <c r="U225" s="1">
        <v>-0.37704746700000003</v>
      </c>
    </row>
    <row r="226" spans="1:21" x14ac:dyDescent="0.25">
      <c r="A226" t="s">
        <v>628</v>
      </c>
      <c r="B226" t="s">
        <v>629</v>
      </c>
      <c r="C226" s="1">
        <v>-0.28385022999999998</v>
      </c>
      <c r="D226" s="110">
        <v>-0.4087845</v>
      </c>
      <c r="E226" s="1">
        <v>-0.4019045</v>
      </c>
      <c r="F226" s="1">
        <v>-0.47513420000000001</v>
      </c>
      <c r="G226" s="1">
        <v>-0.14514061</v>
      </c>
      <c r="H226" s="1">
        <v>-0.33270621</v>
      </c>
      <c r="I226" s="1">
        <v>-0.32522754999999998</v>
      </c>
      <c r="J226" s="1">
        <v>-0.41132144999999998</v>
      </c>
      <c r="K226" s="1">
        <v>-0.40200111999999999</v>
      </c>
      <c r="L226" s="1">
        <v>-0.47790820000000001</v>
      </c>
      <c r="M226" s="1">
        <v>-0.14722560200000001</v>
      </c>
      <c r="N226" s="1">
        <v>-0.33279554700000002</v>
      </c>
      <c r="O226" s="1">
        <v>-0.327494234</v>
      </c>
      <c r="P226" s="1">
        <v>-0.56963794999999995</v>
      </c>
      <c r="Q226" s="1">
        <v>-0.57476760000000005</v>
      </c>
      <c r="R226" s="1">
        <v>-0.62428450000000002</v>
      </c>
      <c r="S226" s="1">
        <v>-0.27733580200000002</v>
      </c>
      <c r="T226" s="1">
        <v>-0.49250354000000002</v>
      </c>
      <c r="U226" s="1">
        <v>-0.447103994</v>
      </c>
    </row>
    <row r="227" spans="1:21" x14ac:dyDescent="0.25">
      <c r="A227" t="s">
        <v>631</v>
      </c>
      <c r="B227" t="s">
        <v>632</v>
      </c>
      <c r="C227" s="1">
        <v>-0.34176782999999999</v>
      </c>
      <c r="D227" s="110">
        <v>-0.52258660000000001</v>
      </c>
      <c r="E227" s="1">
        <v>-0.64788109999999999</v>
      </c>
      <c r="F227" s="1">
        <v>-0.57358310000000001</v>
      </c>
      <c r="G227" s="1">
        <v>-0.26269437000000001</v>
      </c>
      <c r="H227" s="1">
        <v>-0.46240513</v>
      </c>
      <c r="I227" s="1">
        <v>-0.37194486999999998</v>
      </c>
      <c r="J227" s="1">
        <v>-0.44764030999999999</v>
      </c>
      <c r="K227" s="1">
        <v>-0.56875706999999998</v>
      </c>
      <c r="L227" s="1">
        <v>-0.50602340000000001</v>
      </c>
      <c r="M227" s="1">
        <v>-0.20110081399999999</v>
      </c>
      <c r="N227" s="1">
        <v>-0.38926165800000001</v>
      </c>
      <c r="O227" s="1">
        <v>-0.31673918299999998</v>
      </c>
      <c r="P227" s="1">
        <v>-0.41574013999999998</v>
      </c>
      <c r="Q227" s="1">
        <v>-0.53365892999999998</v>
      </c>
      <c r="R227" s="1">
        <v>-0.47639559999999997</v>
      </c>
      <c r="S227" s="1">
        <v>-0.17488409799999999</v>
      </c>
      <c r="T227" s="1">
        <v>-0.35681639999999998</v>
      </c>
      <c r="U227" s="1">
        <v>-0.29252916299999998</v>
      </c>
    </row>
    <row r="228" spans="1:21" x14ac:dyDescent="0.25">
      <c r="A228" t="s">
        <v>633</v>
      </c>
      <c r="B228" t="s">
        <v>634</v>
      </c>
      <c r="C228" s="1">
        <v>-0.27130913000000001</v>
      </c>
      <c r="D228" s="110">
        <v>-0.41110279999999999</v>
      </c>
      <c r="E228" s="1">
        <v>-0.46588380000000001</v>
      </c>
      <c r="F228" s="1">
        <v>-0.47528749999999997</v>
      </c>
      <c r="G228" s="1">
        <v>-0.20311320999999999</v>
      </c>
      <c r="H228" s="1">
        <v>-0.32514570999999998</v>
      </c>
      <c r="I228" s="1">
        <v>-0.30679676</v>
      </c>
      <c r="J228" s="1">
        <v>-0.35163042999999999</v>
      </c>
      <c r="K228" s="1">
        <v>-0.40305447999999999</v>
      </c>
      <c r="L228" s="1">
        <v>-0.42168450000000002</v>
      </c>
      <c r="M228" s="1">
        <v>-0.154236705</v>
      </c>
      <c r="N228" s="1">
        <v>-0.267065312</v>
      </c>
      <c r="O228" s="1">
        <v>-0.26299568699999998</v>
      </c>
      <c r="P228" s="1">
        <v>-0.39524683999999999</v>
      </c>
      <c r="Q228" s="1">
        <v>-0.44906275000000001</v>
      </c>
      <c r="R228" s="1">
        <v>-0.46127040000000002</v>
      </c>
      <c r="S228" s="1">
        <v>-0.19008224400000001</v>
      </c>
      <c r="T228" s="1">
        <v>-0.30959606000000001</v>
      </c>
      <c r="U228" s="1">
        <v>-0.29534284100000002</v>
      </c>
    </row>
    <row r="229" spans="1:21" x14ac:dyDescent="0.25">
      <c r="A229" t="s">
        <v>636</v>
      </c>
      <c r="B229" t="s">
        <v>637</v>
      </c>
      <c r="C229" s="1">
        <v>-0.52964160000000005</v>
      </c>
      <c r="D229" s="110">
        <v>-0.56962999999999997</v>
      </c>
      <c r="E229" s="1">
        <v>-0.62203470000000005</v>
      </c>
      <c r="F229" s="1">
        <v>-0.59828840000000005</v>
      </c>
      <c r="G229" s="1">
        <v>-0.51956849000000005</v>
      </c>
      <c r="H229" s="1">
        <v>-0.63741256000000002</v>
      </c>
      <c r="I229" s="1">
        <v>-0.47167848000000001</v>
      </c>
      <c r="J229" s="1">
        <v>-0.55125228999999998</v>
      </c>
      <c r="K229" s="1">
        <v>-0.60504422000000002</v>
      </c>
      <c r="L229" s="1">
        <v>-0.58126699999999998</v>
      </c>
      <c r="M229" s="1">
        <v>-0.50446502500000001</v>
      </c>
      <c r="N229" s="1">
        <v>-0.62170630500000001</v>
      </c>
      <c r="O229" s="1">
        <v>-0.45776969299999998</v>
      </c>
      <c r="P229" s="1">
        <v>-0.49545351999999998</v>
      </c>
      <c r="Q229" s="1">
        <v>-0.54206259000000001</v>
      </c>
      <c r="R229" s="1">
        <v>-0.52870209999999995</v>
      </c>
      <c r="S229" s="1">
        <v>-0.45860759000000001</v>
      </c>
      <c r="T229" s="1">
        <v>-0.56348511000000001</v>
      </c>
      <c r="U229" s="1">
        <v>-0.414816819</v>
      </c>
    </row>
    <row r="230" spans="1:21" x14ac:dyDescent="0.25">
      <c r="A230" t="s">
        <v>639</v>
      </c>
      <c r="B230" t="s">
        <v>640</v>
      </c>
      <c r="C230" s="1">
        <v>-0.30246405999999998</v>
      </c>
      <c r="D230" s="110">
        <v>-0.44638349999999999</v>
      </c>
      <c r="E230" s="1">
        <v>-0.42181220000000003</v>
      </c>
      <c r="F230" s="1">
        <v>-0.46666239999999998</v>
      </c>
      <c r="G230" s="1">
        <v>-0.28928257000000002</v>
      </c>
      <c r="H230" s="1">
        <v>-0.26084405999999999</v>
      </c>
      <c r="I230" s="1">
        <v>-0.29065065000000001</v>
      </c>
      <c r="J230" s="1">
        <v>-0.34340213000000003</v>
      </c>
      <c r="K230" s="1">
        <v>-0.30979329</v>
      </c>
      <c r="L230" s="1">
        <v>-0.37445250000000002</v>
      </c>
      <c r="M230" s="1">
        <v>-0.20464874399999999</v>
      </c>
      <c r="N230" s="1">
        <v>-0.15729201600000001</v>
      </c>
      <c r="O230" s="1">
        <v>-0.21530236799999999</v>
      </c>
      <c r="P230" s="1">
        <v>-0.33578495000000003</v>
      </c>
      <c r="Q230" s="1">
        <v>-0.30445122000000002</v>
      </c>
      <c r="R230" s="1">
        <v>-0.36879489999999998</v>
      </c>
      <c r="S230" s="1">
        <v>-0.19838867199999999</v>
      </c>
      <c r="T230" s="1">
        <v>-0.15235372</v>
      </c>
      <c r="U230" s="1">
        <v>-0.21067928699999999</v>
      </c>
    </row>
    <row r="231" spans="1:21" x14ac:dyDescent="0.25">
      <c r="A231" t="s">
        <v>642</v>
      </c>
      <c r="B231" t="s">
        <v>643</v>
      </c>
      <c r="C231" s="1">
        <v>-0.26115533000000002</v>
      </c>
      <c r="D231" s="110">
        <v>-0.39670860000000002</v>
      </c>
      <c r="E231" s="1">
        <v>-0.34628209999999998</v>
      </c>
      <c r="F231" s="1">
        <v>-0.45947729999999998</v>
      </c>
      <c r="G231" s="1">
        <v>-0.23196066000000001</v>
      </c>
      <c r="H231" s="1">
        <v>-0.24642668000000001</v>
      </c>
      <c r="I231" s="1">
        <v>-0.38926417000000002</v>
      </c>
      <c r="J231" s="1">
        <v>-0.31654070000000001</v>
      </c>
      <c r="K231" s="1">
        <v>-0.26329215</v>
      </c>
      <c r="L231" s="1">
        <v>-0.38689990000000002</v>
      </c>
      <c r="M231" s="1">
        <v>-0.166075799</v>
      </c>
      <c r="N231" s="1">
        <v>-0.169709467</v>
      </c>
      <c r="O231" s="1">
        <v>-0.32995841799999998</v>
      </c>
      <c r="P231" s="1">
        <v>-0.29693784000000001</v>
      </c>
      <c r="Q231" s="1">
        <v>-0.23924480000000001</v>
      </c>
      <c r="R231" s="1">
        <v>-0.36753740000000001</v>
      </c>
      <c r="S231" s="1">
        <v>-0.14996546199999999</v>
      </c>
      <c r="T231" s="1">
        <v>-0.14747973</v>
      </c>
      <c r="U231" s="1">
        <v>-0.314136525</v>
      </c>
    </row>
    <row r="232" spans="1:21" x14ac:dyDescent="0.25">
      <c r="A232" t="s">
        <v>645</v>
      </c>
      <c r="B232" t="s">
        <v>646</v>
      </c>
      <c r="C232" s="1">
        <v>-0.31876761999999997</v>
      </c>
      <c r="D232" s="110">
        <v>-0.46173940000000002</v>
      </c>
      <c r="E232" s="1">
        <v>-0.46389930000000001</v>
      </c>
      <c r="F232" s="1">
        <v>-0.5282983</v>
      </c>
      <c r="G232" s="1">
        <v>-0.17039039</v>
      </c>
      <c r="H232" s="1">
        <v>-0.17090611999999999</v>
      </c>
      <c r="I232" s="1">
        <v>-0.27871368000000002</v>
      </c>
      <c r="J232" s="1">
        <v>-0.47632869999999999</v>
      </c>
      <c r="K232" s="1">
        <v>-0.48080341999999998</v>
      </c>
      <c r="L232" s="1">
        <v>-0.54116660000000005</v>
      </c>
      <c r="M232" s="1">
        <v>-0.18238043900000001</v>
      </c>
      <c r="N232" s="1">
        <v>-0.18653254899999999</v>
      </c>
      <c r="O232" s="1">
        <v>-0.28922881499999997</v>
      </c>
      <c r="P232" s="1">
        <v>-0.51628107999999995</v>
      </c>
      <c r="Q232" s="1">
        <v>-0.52189565999999998</v>
      </c>
      <c r="R232" s="1">
        <v>-0.57693689999999997</v>
      </c>
      <c r="S232" s="1">
        <v>-0.21521473999999999</v>
      </c>
      <c r="T232" s="1">
        <v>-0.22451884999999999</v>
      </c>
      <c r="U232" s="1">
        <v>-0.31845813499999998</v>
      </c>
    </row>
    <row r="233" spans="1:21" x14ac:dyDescent="0.25">
      <c r="A233" t="s">
        <v>648</v>
      </c>
      <c r="B233" t="s">
        <v>649</v>
      </c>
      <c r="C233" s="1">
        <v>-0.49940234</v>
      </c>
      <c r="D233" s="110">
        <v>-0.53109850000000003</v>
      </c>
      <c r="E233" s="1">
        <v>-0.61112449999999996</v>
      </c>
      <c r="F233" s="1">
        <v>-0.64303940000000004</v>
      </c>
      <c r="G233" s="1">
        <v>-0.44241796</v>
      </c>
      <c r="H233" s="1">
        <v>-0.57471349999999999</v>
      </c>
      <c r="I233" s="1">
        <v>-0.62340483000000002</v>
      </c>
      <c r="J233" s="1">
        <v>-0.56188616999999996</v>
      </c>
      <c r="K233" s="1">
        <v>-0.64462660999999999</v>
      </c>
      <c r="L233" s="1">
        <v>-0.67060450000000005</v>
      </c>
      <c r="M233" s="1">
        <v>-0.46772040300000001</v>
      </c>
      <c r="N233" s="1">
        <v>-0.60568333200000002</v>
      </c>
      <c r="O233" s="1">
        <v>-0.64592930800000004</v>
      </c>
      <c r="P233" s="1">
        <v>-0.50285639000000004</v>
      </c>
      <c r="Q233" s="1">
        <v>-0.58056308000000001</v>
      </c>
      <c r="R233" s="1">
        <v>-0.61619179999999996</v>
      </c>
      <c r="S233" s="1">
        <v>-0.41920760499999998</v>
      </c>
      <c r="T233" s="1">
        <v>-0.54646201999999999</v>
      </c>
      <c r="U233" s="1">
        <v>-0.60146660100000005</v>
      </c>
    </row>
    <row r="234" spans="1:21" x14ac:dyDescent="0.25">
      <c r="A234" t="s">
        <v>650</v>
      </c>
      <c r="B234" t="s">
        <v>651</v>
      </c>
      <c r="C234" s="1">
        <v>-0.85501537000000005</v>
      </c>
      <c r="D234" s="110">
        <v>-0.91511569999999998</v>
      </c>
      <c r="E234" s="1">
        <v>-0.84910300000000005</v>
      </c>
      <c r="F234" s="1">
        <v>-0.84165319999999999</v>
      </c>
      <c r="G234" s="1">
        <v>-0.82218901</v>
      </c>
      <c r="H234" s="1">
        <v>-0.91063649000000002</v>
      </c>
      <c r="I234" s="1">
        <v>-0.57451169000000002</v>
      </c>
      <c r="J234" s="1">
        <v>-0.90798109000000005</v>
      </c>
      <c r="K234" s="1">
        <v>-0.85331347000000002</v>
      </c>
      <c r="L234" s="1">
        <v>-0.83300689999999999</v>
      </c>
      <c r="M234" s="1">
        <v>-0.81632556999999994</v>
      </c>
      <c r="N234" s="1">
        <v>-0.91452869299999995</v>
      </c>
      <c r="O234" s="1">
        <v>-0.56744645900000001</v>
      </c>
      <c r="P234" s="1">
        <v>-0.82511886000000001</v>
      </c>
      <c r="Q234" s="1">
        <v>-0.74987197999999999</v>
      </c>
      <c r="R234" s="1">
        <v>-0.75032480000000001</v>
      </c>
      <c r="S234" s="1">
        <v>-0.74822640200000001</v>
      </c>
      <c r="T234" s="1">
        <v>-0.81890578000000003</v>
      </c>
      <c r="U234" s="1">
        <v>-0.49988368399999999</v>
      </c>
    </row>
    <row r="235" spans="1:21" x14ac:dyDescent="0.25">
      <c r="A235" t="s">
        <v>652</v>
      </c>
      <c r="B235" t="s">
        <v>653</v>
      </c>
      <c r="C235" s="1">
        <v>-0.29644082999999999</v>
      </c>
      <c r="D235" s="110">
        <v>-0.34518219999999999</v>
      </c>
      <c r="E235" s="1">
        <v>-0.4500595</v>
      </c>
      <c r="F235" s="1">
        <v>-0.50713750000000002</v>
      </c>
      <c r="G235" s="1">
        <v>-0.25640625</v>
      </c>
      <c r="H235" s="1">
        <v>-0.55275445999999995</v>
      </c>
      <c r="I235" s="1">
        <v>-0.34963876999999999</v>
      </c>
      <c r="J235" s="1">
        <v>-0.34838837</v>
      </c>
      <c r="K235" s="1">
        <v>-0.46187900999999998</v>
      </c>
      <c r="L235" s="1">
        <v>-0.50843680000000002</v>
      </c>
      <c r="M235" s="1">
        <v>-0.25904121099999999</v>
      </c>
      <c r="N235" s="1">
        <v>-0.56368058399999998</v>
      </c>
      <c r="O235" s="1">
        <v>-0.350700442</v>
      </c>
      <c r="P235" s="1">
        <v>-0.25457772000000001</v>
      </c>
      <c r="Q235" s="1">
        <v>-0.35096471000000001</v>
      </c>
      <c r="R235" s="1">
        <v>-0.41771849999999999</v>
      </c>
      <c r="S235" s="1">
        <v>-0.18194424100000001</v>
      </c>
      <c r="T235" s="1">
        <v>-0.4611497</v>
      </c>
      <c r="U235" s="1">
        <v>-0.27657107800000003</v>
      </c>
    </row>
    <row r="236" spans="1:21" x14ac:dyDescent="0.25">
      <c r="A236" t="s">
        <v>655</v>
      </c>
      <c r="B236" t="s">
        <v>656</v>
      </c>
      <c r="C236" s="1">
        <v>-0.39320622</v>
      </c>
      <c r="D236" s="110">
        <v>-0.46570060000000002</v>
      </c>
      <c r="E236" s="1">
        <v>-0.49494529999999998</v>
      </c>
      <c r="F236" s="1">
        <v>-0.5413559</v>
      </c>
      <c r="G236" s="1">
        <v>-0.33125487999999997</v>
      </c>
      <c r="H236" s="1">
        <v>-0.45790668000000001</v>
      </c>
      <c r="I236" s="1">
        <v>-0.29442147000000002</v>
      </c>
      <c r="J236" s="1">
        <v>-0.47688578999999998</v>
      </c>
      <c r="K236" s="1">
        <v>-0.51537374999999996</v>
      </c>
      <c r="L236" s="1">
        <v>-0.54981279999999999</v>
      </c>
      <c r="M236" s="1">
        <v>-0.340447255</v>
      </c>
      <c r="N236" s="1">
        <v>-0.476791097</v>
      </c>
      <c r="O236" s="1">
        <v>-0.30133193899999999</v>
      </c>
      <c r="P236" s="1">
        <v>-0.35922685999999998</v>
      </c>
      <c r="Q236" s="1">
        <v>-0.37879310999999999</v>
      </c>
      <c r="R236" s="1">
        <v>-0.4372122</v>
      </c>
      <c r="S236" s="1">
        <v>-0.24375091099999999</v>
      </c>
      <c r="T236" s="1">
        <v>-0.35053384999999998</v>
      </c>
      <c r="U236" s="1">
        <v>-0.209321598</v>
      </c>
    </row>
    <row r="237" spans="1:21" x14ac:dyDescent="0.25">
      <c r="A237" t="s">
        <v>658</v>
      </c>
      <c r="B237" t="s">
        <v>659</v>
      </c>
      <c r="C237" s="1">
        <v>-0.37062679999999998</v>
      </c>
      <c r="D237" s="110">
        <v>-0.53072410000000003</v>
      </c>
      <c r="E237" s="1">
        <v>-0.65418989999999999</v>
      </c>
      <c r="F237" s="1">
        <v>-0.6613194</v>
      </c>
      <c r="G237" s="1">
        <v>-0.28256730000000002</v>
      </c>
      <c r="H237" s="1">
        <v>-0.41715774</v>
      </c>
      <c r="I237" s="1">
        <v>-0.27884262999999998</v>
      </c>
      <c r="J237" s="1">
        <v>-0.47052197000000001</v>
      </c>
      <c r="K237" s="1">
        <v>-0.59674170999999998</v>
      </c>
      <c r="L237" s="1">
        <v>-0.60589820000000005</v>
      </c>
      <c r="M237" s="1">
        <v>-0.23309104999999999</v>
      </c>
      <c r="N237" s="1">
        <v>-0.36405179799999998</v>
      </c>
      <c r="O237" s="1">
        <v>-0.23355587</v>
      </c>
      <c r="P237" s="1">
        <v>-0.51895963000000001</v>
      </c>
      <c r="Q237" s="1">
        <v>-0.64024088999999995</v>
      </c>
      <c r="R237" s="1">
        <v>-0.64631850000000002</v>
      </c>
      <c r="S237" s="1">
        <v>-0.27289886200000002</v>
      </c>
      <c r="T237" s="1">
        <v>-0.40426310999999998</v>
      </c>
      <c r="U237" s="1">
        <v>-0.26658481099999998</v>
      </c>
    </row>
    <row r="238" spans="1:21" x14ac:dyDescent="0.25">
      <c r="A238" t="s">
        <v>661</v>
      </c>
      <c r="B238" t="s">
        <v>63</v>
      </c>
      <c r="C238" s="1">
        <v>-0.24992660999999999</v>
      </c>
      <c r="D238" s="110">
        <v>-0.40614470000000003</v>
      </c>
      <c r="E238" s="1">
        <v>-0.44317669999999998</v>
      </c>
      <c r="F238" s="1">
        <v>-0.48831170000000002</v>
      </c>
      <c r="G238" s="1">
        <v>-0.11076408</v>
      </c>
      <c r="H238" s="1">
        <v>-0.38179481999999998</v>
      </c>
      <c r="I238" s="1">
        <v>-0.33171996999999998</v>
      </c>
      <c r="J238" s="1">
        <v>-0.39586666999999998</v>
      </c>
      <c r="K238" s="1">
        <v>-0.42696542999999998</v>
      </c>
      <c r="L238" s="1">
        <v>-0.48005769999999998</v>
      </c>
      <c r="M238" s="1">
        <v>-0.102317221</v>
      </c>
      <c r="N238" s="1">
        <v>-0.36680883199999997</v>
      </c>
      <c r="O238" s="1">
        <v>-0.32497531400000002</v>
      </c>
      <c r="P238" s="1">
        <v>-0.44846251999999998</v>
      </c>
      <c r="Q238" s="1">
        <v>-0.48983063999999998</v>
      </c>
      <c r="R238" s="1">
        <v>-0.53123679999999995</v>
      </c>
      <c r="S238" s="1">
        <v>-0.145542387</v>
      </c>
      <c r="T238" s="1">
        <v>-0.42492238999999998</v>
      </c>
      <c r="U238" s="1">
        <v>-0.36679577000000002</v>
      </c>
    </row>
    <row r="239" spans="1:21" x14ac:dyDescent="0.25">
      <c r="A239" t="s">
        <v>663</v>
      </c>
      <c r="B239" t="s">
        <v>664</v>
      </c>
      <c r="C239" s="1">
        <v>-0.20907608999999999</v>
      </c>
      <c r="D239" s="110">
        <v>-0.33679589999999998</v>
      </c>
      <c r="E239" s="1">
        <v>-0.40940290000000001</v>
      </c>
      <c r="F239" s="1">
        <v>-0.46908470000000002</v>
      </c>
      <c r="G239" s="1">
        <v>-9.2005589999999998E-2</v>
      </c>
      <c r="H239" s="1">
        <v>-0.30585953999999999</v>
      </c>
      <c r="I239" s="1">
        <v>-0.35256779999999999</v>
      </c>
      <c r="J239" s="1">
        <v>-0.33194625999999999</v>
      </c>
      <c r="K239" s="1">
        <v>-0.40024858000000002</v>
      </c>
      <c r="L239" s="1">
        <v>-0.4654739</v>
      </c>
      <c r="M239" s="1">
        <v>-8.8019994000000004E-2</v>
      </c>
      <c r="N239" s="1">
        <v>-0.29739717900000001</v>
      </c>
      <c r="O239" s="1">
        <v>-0.34961735300000002</v>
      </c>
      <c r="P239" s="1">
        <v>-0.36308922999999999</v>
      </c>
      <c r="Q239" s="1">
        <v>-0.43855938999999999</v>
      </c>
      <c r="R239" s="1">
        <v>-0.49628499999999998</v>
      </c>
      <c r="S239" s="1">
        <v>-0.113614411</v>
      </c>
      <c r="T239" s="1">
        <v>-0.33281228000000002</v>
      </c>
      <c r="U239" s="1">
        <v>-0.37479425100000002</v>
      </c>
    </row>
    <row r="240" spans="1:21" x14ac:dyDescent="0.25">
      <c r="A240" t="s">
        <v>666</v>
      </c>
      <c r="B240" t="s">
        <v>63</v>
      </c>
      <c r="C240" s="1">
        <v>-0.55041728000000001</v>
      </c>
      <c r="D240" s="110">
        <v>-0.65703500000000004</v>
      </c>
      <c r="E240" s="1">
        <v>-0.71759839999999997</v>
      </c>
      <c r="F240" s="1">
        <v>-0.77253570000000005</v>
      </c>
      <c r="G240" s="1">
        <v>-0.50629336999999996</v>
      </c>
      <c r="H240" s="1">
        <v>-0.69641052000000003</v>
      </c>
      <c r="I240" s="1">
        <v>-0.60433946000000005</v>
      </c>
      <c r="J240" s="1">
        <v>-0.60411923999999995</v>
      </c>
      <c r="K240" s="1">
        <v>-0.65718056999999996</v>
      </c>
      <c r="L240" s="1">
        <v>-0.72569379999999994</v>
      </c>
      <c r="M240" s="1">
        <v>-0.462805313</v>
      </c>
      <c r="N240" s="1">
        <v>-0.64055931200000005</v>
      </c>
      <c r="O240" s="1">
        <v>-0.56606320899999996</v>
      </c>
      <c r="P240" s="1">
        <v>-0.62588831</v>
      </c>
      <c r="Q240" s="1">
        <v>-0.68549618999999995</v>
      </c>
      <c r="R240" s="1">
        <v>-0.74794720000000003</v>
      </c>
      <c r="S240" s="1">
        <v>-0.480695914</v>
      </c>
      <c r="T240" s="1">
        <v>-0.66673470999999995</v>
      </c>
      <c r="U240" s="1">
        <v>-0.58424730000000002</v>
      </c>
    </row>
    <row r="241" spans="1:21" x14ac:dyDescent="0.25">
      <c r="A241" t="s">
        <v>668</v>
      </c>
      <c r="B241" t="s">
        <v>669</v>
      </c>
      <c r="C241" s="1">
        <v>-0.26555912999999998</v>
      </c>
      <c r="D241" s="110">
        <v>-0.4766147</v>
      </c>
      <c r="E241" s="1">
        <v>-0.63369799999999998</v>
      </c>
      <c r="F241" s="1">
        <v>-0.650397</v>
      </c>
      <c r="G241" s="1">
        <v>-0.17532438</v>
      </c>
      <c r="H241" s="1">
        <v>-0.56715260999999995</v>
      </c>
      <c r="I241" s="1">
        <v>-0.35467393000000003</v>
      </c>
      <c r="J241" s="1">
        <v>-0.37830364999999999</v>
      </c>
      <c r="K241" s="1">
        <v>-0.52520880000000003</v>
      </c>
      <c r="L241" s="1">
        <v>-0.56266139999999998</v>
      </c>
      <c r="M241" s="1">
        <v>-9.4528842000000002E-2</v>
      </c>
      <c r="N241" s="1">
        <v>-0.46686351500000001</v>
      </c>
      <c r="O241" s="1">
        <v>-0.28298178200000002</v>
      </c>
      <c r="P241" s="1">
        <v>-0.38808348999999998</v>
      </c>
      <c r="Q241" s="1">
        <v>-0.54029837000000003</v>
      </c>
      <c r="R241" s="1">
        <v>-0.57376329999999998</v>
      </c>
      <c r="S241" s="1">
        <v>-0.10256626100000001</v>
      </c>
      <c r="T241" s="1">
        <v>-0.48081255000000001</v>
      </c>
      <c r="U241" s="1">
        <v>-0.29205357599999998</v>
      </c>
    </row>
    <row r="242" spans="1:21" x14ac:dyDescent="0.25">
      <c r="A242" t="s">
        <v>670</v>
      </c>
      <c r="B242" t="s">
        <v>671</v>
      </c>
      <c r="C242" s="1">
        <v>-0.17849356999999999</v>
      </c>
      <c r="D242" s="110">
        <v>-0.38358300000000001</v>
      </c>
      <c r="E242" s="1">
        <v>-0.57456589999999996</v>
      </c>
      <c r="F242" s="1">
        <v>-0.566056</v>
      </c>
      <c r="G242" s="1">
        <v>-5.7358119999999999E-2</v>
      </c>
      <c r="H242" s="1">
        <v>-0.47865646000000001</v>
      </c>
      <c r="I242" s="1">
        <v>-0.29713158000000001</v>
      </c>
      <c r="J242" s="1">
        <v>-0.31820935</v>
      </c>
      <c r="K242" s="1">
        <v>-0.50499658000000003</v>
      </c>
      <c r="L242" s="1">
        <v>-0.50722929999999999</v>
      </c>
      <c r="M242" s="1">
        <v>-3.6316629999999998E-3</v>
      </c>
      <c r="N242" s="1">
        <v>-0.41434553400000002</v>
      </c>
      <c r="O242" s="1">
        <v>-0.24906208599999999</v>
      </c>
      <c r="P242" s="1">
        <v>-0.32216940999999999</v>
      </c>
      <c r="Q242" s="1">
        <v>-0.50910316</v>
      </c>
      <c r="R242" s="1">
        <v>-0.51079050000000004</v>
      </c>
      <c r="S242" s="1">
        <v>-6.8861850000000004E-3</v>
      </c>
      <c r="T242" s="1">
        <v>-0.41814171999999999</v>
      </c>
      <c r="U242" s="1">
        <v>-0.25197206100000002</v>
      </c>
    </row>
    <row r="243" spans="1:21" x14ac:dyDescent="0.25">
      <c r="A243" t="s">
        <v>673</v>
      </c>
      <c r="B243" t="s">
        <v>32</v>
      </c>
      <c r="C243" s="1">
        <v>-0.33788047999999998</v>
      </c>
      <c r="D243" s="110">
        <v>-0.4830854</v>
      </c>
      <c r="E243" s="1">
        <v>-0.50212029999999996</v>
      </c>
      <c r="F243" s="1">
        <v>-0.5227193</v>
      </c>
      <c r="G243" s="1">
        <v>-0.28069643</v>
      </c>
      <c r="H243" s="1">
        <v>-0.31139493000000001</v>
      </c>
      <c r="I243" s="1">
        <v>-0.31191458999999999</v>
      </c>
      <c r="J243" s="1">
        <v>-0.41898808999999998</v>
      </c>
      <c r="K243" s="1">
        <v>-0.43264445000000001</v>
      </c>
      <c r="L243" s="1">
        <v>-0.46527980000000002</v>
      </c>
      <c r="M243" s="1">
        <v>-0.22801897500000001</v>
      </c>
      <c r="N243" s="1">
        <v>-0.247170427</v>
      </c>
      <c r="O243" s="1">
        <v>-0.26497859499999998</v>
      </c>
      <c r="P243" s="1">
        <v>-0.40280605000000003</v>
      </c>
      <c r="Q243" s="1">
        <v>-0.41676175999999998</v>
      </c>
      <c r="R243" s="1">
        <v>-0.45114650000000001</v>
      </c>
      <c r="S243" s="1">
        <v>-0.21471999</v>
      </c>
      <c r="T243" s="1">
        <v>-0.23248822</v>
      </c>
      <c r="U243" s="1">
        <v>-0.25342972000000002</v>
      </c>
    </row>
    <row r="244" spans="1:21" x14ac:dyDescent="0.25">
      <c r="A244" t="s">
        <v>674</v>
      </c>
      <c r="B244" t="s">
        <v>675</v>
      </c>
      <c r="C244" s="1">
        <v>-0.13386402</v>
      </c>
      <c r="D244" s="110">
        <v>-0.31156289999999998</v>
      </c>
      <c r="E244" s="1">
        <v>-0.2880472</v>
      </c>
      <c r="F244" s="1">
        <v>-0.39925149999999998</v>
      </c>
      <c r="G244" s="1">
        <v>-3.4562570000000001E-2</v>
      </c>
      <c r="H244" s="1">
        <v>-5.5729569999999999E-2</v>
      </c>
      <c r="I244" s="1">
        <v>-0.24020269</v>
      </c>
      <c r="J244" s="1">
        <v>-0.25719530000000002</v>
      </c>
      <c r="K244" s="1">
        <v>-0.22412957</v>
      </c>
      <c r="L244" s="1">
        <v>-0.3514719</v>
      </c>
      <c r="M244" s="1">
        <v>1.0118715E-2</v>
      </c>
      <c r="N244" s="1">
        <v>3.3568679999999998E-3</v>
      </c>
      <c r="O244" s="1">
        <v>-0.201160119</v>
      </c>
      <c r="P244" s="1">
        <v>-0.26599093000000001</v>
      </c>
      <c r="Q244" s="1">
        <v>-0.24098549999999999</v>
      </c>
      <c r="R244" s="1">
        <v>-0.36298829999999999</v>
      </c>
      <c r="S244" s="1">
        <v>2.8901460000000001E-3</v>
      </c>
      <c r="T244" s="1">
        <v>-1.222502E-2</v>
      </c>
      <c r="U244" s="1">
        <v>-0.210570601</v>
      </c>
    </row>
    <row r="245" spans="1:21" x14ac:dyDescent="0.25">
      <c r="A245" t="s">
        <v>677</v>
      </c>
      <c r="B245" t="s">
        <v>678</v>
      </c>
      <c r="C245" s="1">
        <v>-0.23779956999999999</v>
      </c>
      <c r="D245" s="110">
        <v>-0.4349962</v>
      </c>
      <c r="E245" s="1">
        <v>-0.54608089999999998</v>
      </c>
      <c r="F245" s="1">
        <v>-0.5702448</v>
      </c>
      <c r="G245" s="1">
        <v>-0.12209886</v>
      </c>
      <c r="H245" s="1">
        <v>-0.51974043999999997</v>
      </c>
      <c r="I245" s="1">
        <v>-0.45230134999999999</v>
      </c>
      <c r="J245" s="1">
        <v>-0.37362195999999998</v>
      </c>
      <c r="K245" s="1">
        <v>-0.48247701999999998</v>
      </c>
      <c r="L245" s="1">
        <v>-0.51469469999999995</v>
      </c>
      <c r="M245" s="1">
        <v>-7.1659275999999994E-2</v>
      </c>
      <c r="N245" s="1">
        <v>-0.46094402299999998</v>
      </c>
      <c r="O245" s="1">
        <v>-0.40690919399999997</v>
      </c>
      <c r="P245" s="1">
        <v>-0.37345050000000002</v>
      </c>
      <c r="Q245" s="1">
        <v>-0.48003885000000002</v>
      </c>
      <c r="R245" s="1">
        <v>-0.51348649999999996</v>
      </c>
      <c r="S245" s="1">
        <v>-7.1518361000000003E-2</v>
      </c>
      <c r="T245" s="1">
        <v>-0.45869014000000002</v>
      </c>
      <c r="U245" s="1">
        <v>-0.40592194300000001</v>
      </c>
    </row>
    <row r="246" spans="1:21" x14ac:dyDescent="0.25">
      <c r="A246" t="s">
        <v>680</v>
      </c>
      <c r="B246" t="s">
        <v>681</v>
      </c>
      <c r="C246" s="1">
        <v>-0.26888894000000002</v>
      </c>
      <c r="D246" s="110">
        <v>-0.42698380000000002</v>
      </c>
      <c r="E246" s="1">
        <v>-0.52994960000000002</v>
      </c>
      <c r="F246" s="1">
        <v>-0.47769339999999999</v>
      </c>
      <c r="G246" s="1">
        <v>-0.15938247</v>
      </c>
      <c r="H246" s="1">
        <v>-0.44243729999999998</v>
      </c>
      <c r="I246" s="1">
        <v>-0.27334576999999999</v>
      </c>
      <c r="J246" s="1">
        <v>-0.39348654</v>
      </c>
      <c r="K246" s="1">
        <v>-0.49442269999999999</v>
      </c>
      <c r="L246" s="1">
        <v>-0.44752819999999999</v>
      </c>
      <c r="M246" s="1">
        <v>-0.13185318200000001</v>
      </c>
      <c r="N246" s="1">
        <v>-0.409595665</v>
      </c>
      <c r="O246" s="1">
        <v>-0.248696578</v>
      </c>
      <c r="P246" s="1">
        <v>-0.39460186000000003</v>
      </c>
      <c r="Q246" s="1">
        <v>-0.49539874</v>
      </c>
      <c r="R246" s="1">
        <v>-0.44844699999999998</v>
      </c>
      <c r="S246" s="1">
        <v>-0.13276979</v>
      </c>
      <c r="T246" s="1">
        <v>-0.41049793000000001</v>
      </c>
      <c r="U246" s="1">
        <v>-0.24944735600000001</v>
      </c>
    </row>
    <row r="247" spans="1:21" x14ac:dyDescent="0.25">
      <c r="A247" t="s">
        <v>683</v>
      </c>
      <c r="B247" t="s">
        <v>684</v>
      </c>
      <c r="C247" s="1">
        <v>-0.55682498000000002</v>
      </c>
      <c r="D247" s="110">
        <v>-0.63517869999999998</v>
      </c>
      <c r="E247" s="1">
        <v>-0.73379629999999996</v>
      </c>
      <c r="F247" s="1">
        <v>-0.69992880000000002</v>
      </c>
      <c r="G247" s="1">
        <v>-0.49051099999999997</v>
      </c>
      <c r="H247" s="1">
        <v>-0.76032727</v>
      </c>
      <c r="I247" s="1">
        <v>-0.55901202000000005</v>
      </c>
      <c r="J247" s="1">
        <v>-0.62829685999999996</v>
      </c>
      <c r="K247" s="1">
        <v>-0.72671839999999999</v>
      </c>
      <c r="L247" s="1">
        <v>-0.69368980000000002</v>
      </c>
      <c r="M247" s="1">
        <v>-0.484855286</v>
      </c>
      <c r="N247" s="1">
        <v>-0.75378437200000004</v>
      </c>
      <c r="O247" s="1">
        <v>-0.55391395499999996</v>
      </c>
      <c r="P247" s="1">
        <v>-0.61881980999999997</v>
      </c>
      <c r="Q247" s="1">
        <v>-0.71625077999999998</v>
      </c>
      <c r="R247" s="1">
        <v>-0.68486899999999995</v>
      </c>
      <c r="S247" s="1">
        <v>-0.47706670899999998</v>
      </c>
      <c r="T247" s="1">
        <v>-0.74410794000000002</v>
      </c>
      <c r="U247" s="1">
        <v>-0.54670610100000006</v>
      </c>
    </row>
    <row r="248" spans="1:21" x14ac:dyDescent="0.25">
      <c r="A248" t="s">
        <v>685</v>
      </c>
      <c r="B248" t="s">
        <v>686</v>
      </c>
      <c r="C248" s="1">
        <v>-0.46707333000000001</v>
      </c>
      <c r="D248" s="110">
        <v>-0.57742550000000004</v>
      </c>
      <c r="E248" s="1">
        <v>-0.67587489999999995</v>
      </c>
      <c r="F248" s="1">
        <v>-0.71322260000000004</v>
      </c>
      <c r="G248" s="1">
        <v>-0.45757067000000001</v>
      </c>
      <c r="H248" s="1">
        <v>-0.59328312000000005</v>
      </c>
      <c r="I248" s="1">
        <v>-0.59333997999999999</v>
      </c>
      <c r="J248" s="1">
        <v>-0.49213191000000001</v>
      </c>
      <c r="K248" s="1">
        <v>-0.58273196999999999</v>
      </c>
      <c r="L248" s="1">
        <v>-0.63691909999999996</v>
      </c>
      <c r="M248" s="1">
        <v>-0.38747332499999998</v>
      </c>
      <c r="N248" s="1">
        <v>-0.50718034999999995</v>
      </c>
      <c r="O248" s="1">
        <v>-0.53098942599999999</v>
      </c>
      <c r="P248" s="1">
        <v>-0.49390961</v>
      </c>
      <c r="Q248" s="1">
        <v>-0.58741966999999995</v>
      </c>
      <c r="R248" s="1">
        <v>-0.63984399999999997</v>
      </c>
      <c r="S248" s="1">
        <v>-0.38893430299999998</v>
      </c>
      <c r="T248" s="1">
        <v>-0.51151374000000005</v>
      </c>
      <c r="U248" s="1">
        <v>-0.53337945799999997</v>
      </c>
    </row>
    <row r="249" spans="1:21" x14ac:dyDescent="0.25">
      <c r="A249" t="s">
        <v>685</v>
      </c>
      <c r="B249" t="s">
        <v>687</v>
      </c>
      <c r="C249" s="1">
        <v>-0.22444386999999999</v>
      </c>
      <c r="D249" s="110">
        <v>-0.4685704</v>
      </c>
      <c r="E249" s="1">
        <v>-0.61324699999999999</v>
      </c>
      <c r="F249" s="1">
        <v>-0.59120510000000004</v>
      </c>
      <c r="G249" s="1">
        <v>-0.12334528</v>
      </c>
      <c r="H249" s="1">
        <v>-0.36572673999999999</v>
      </c>
      <c r="I249" s="1">
        <v>-0.15934860000000001</v>
      </c>
      <c r="J249" s="1">
        <v>-0.35338520000000001</v>
      </c>
      <c r="K249" s="1">
        <v>-0.48897961000000001</v>
      </c>
      <c r="L249" s="1">
        <v>-0.48787429999999998</v>
      </c>
      <c r="M249" s="1">
        <v>-2.8681969000000002E-2</v>
      </c>
      <c r="N249" s="1">
        <v>-0.250852038</v>
      </c>
      <c r="O249" s="1">
        <v>-7.4913021999999996E-2</v>
      </c>
      <c r="P249" s="1">
        <v>-0.38047191000000002</v>
      </c>
      <c r="Q249" s="1">
        <v>-0.51985218</v>
      </c>
      <c r="R249" s="1">
        <v>-0.51353059999999995</v>
      </c>
      <c r="S249" s="1">
        <v>-5.0942804000000001E-2</v>
      </c>
      <c r="T249" s="1">
        <v>-0.27939111999999999</v>
      </c>
      <c r="U249" s="1">
        <v>-9.5877822000000001E-2</v>
      </c>
    </row>
    <row r="250" spans="1:21" x14ac:dyDescent="0.25">
      <c r="A250" t="s">
        <v>689</v>
      </c>
      <c r="B250" t="s">
        <v>690</v>
      </c>
      <c r="C250" s="1">
        <v>-0.38761739000000001</v>
      </c>
      <c r="D250" s="110">
        <v>-0.57056379999999995</v>
      </c>
      <c r="E250" s="1">
        <v>-0.68640869999999998</v>
      </c>
      <c r="F250" s="1">
        <v>-0.5805266</v>
      </c>
      <c r="G250" s="1">
        <v>-0.25633066999999998</v>
      </c>
      <c r="H250" s="1">
        <v>-0.57092681999999995</v>
      </c>
      <c r="I250" s="1">
        <v>-0.28591293000000001</v>
      </c>
      <c r="J250" s="1">
        <v>-0.53609315999999996</v>
      </c>
      <c r="K250" s="1">
        <v>-0.64963808000000001</v>
      </c>
      <c r="L250" s="1">
        <v>-0.54952469999999998</v>
      </c>
      <c r="M250" s="1">
        <v>-0.22800146099999999</v>
      </c>
      <c r="N250" s="1">
        <v>-0.53693550599999995</v>
      </c>
      <c r="O250" s="1">
        <v>-0.260580068</v>
      </c>
      <c r="P250" s="1">
        <v>-0.54024075000000005</v>
      </c>
      <c r="Q250" s="1">
        <v>-0.65411788000000004</v>
      </c>
      <c r="R250" s="1">
        <v>-0.55333779999999999</v>
      </c>
      <c r="S250" s="1">
        <v>-0.23141010100000001</v>
      </c>
      <c r="T250" s="1">
        <v>-0.54107669999999997</v>
      </c>
      <c r="U250" s="1">
        <v>-0.26369595400000001</v>
      </c>
    </row>
    <row r="251" spans="1:21" x14ac:dyDescent="0.25">
      <c r="A251" t="s">
        <v>692</v>
      </c>
      <c r="B251" t="s">
        <v>693</v>
      </c>
      <c r="C251" s="1">
        <v>-0.55258141000000005</v>
      </c>
      <c r="D251" s="110">
        <v>-0.64702879999999996</v>
      </c>
      <c r="E251" s="1">
        <v>-0.70739209999999997</v>
      </c>
      <c r="F251" s="1">
        <v>-0.74862530000000005</v>
      </c>
      <c r="G251" s="1">
        <v>-0.48957305000000001</v>
      </c>
      <c r="H251" s="1">
        <v>-0.57886702999999995</v>
      </c>
      <c r="I251" s="1">
        <v>-0.52995689999999995</v>
      </c>
      <c r="J251" s="1">
        <v>-0.63650775000000004</v>
      </c>
      <c r="K251" s="1">
        <v>-0.69542917000000004</v>
      </c>
      <c r="L251" s="1">
        <v>-0.73930249999999997</v>
      </c>
      <c r="M251" s="1">
        <v>-0.48092646500000003</v>
      </c>
      <c r="N251" s="1">
        <v>-0.56780835900000004</v>
      </c>
      <c r="O251" s="1">
        <v>-0.52233888299999998</v>
      </c>
      <c r="P251" s="1">
        <v>-0.55391937000000002</v>
      </c>
      <c r="Q251" s="1">
        <v>-0.60793023999999996</v>
      </c>
      <c r="R251" s="1">
        <v>-0.66416810000000004</v>
      </c>
      <c r="S251" s="1">
        <v>-0.41305236000000001</v>
      </c>
      <c r="T251" s="1">
        <v>-0.48692299999999999</v>
      </c>
      <c r="U251" s="1">
        <v>-0.46094365399999998</v>
      </c>
    </row>
    <row r="252" spans="1:21" x14ac:dyDescent="0.25">
      <c r="A252" t="s">
        <v>694</v>
      </c>
      <c r="B252" t="s">
        <v>695</v>
      </c>
      <c r="C252" s="1">
        <v>-0.49783044999999998</v>
      </c>
      <c r="D252" s="110">
        <v>-0.72367749999999997</v>
      </c>
      <c r="E252" s="1">
        <v>-0.75158130000000001</v>
      </c>
      <c r="F252" s="1">
        <v>-0.6810022</v>
      </c>
      <c r="G252" s="1">
        <v>-0.32040586999999998</v>
      </c>
      <c r="H252" s="1">
        <v>-0.33759351999999998</v>
      </c>
      <c r="I252" s="1">
        <v>-0.26964368</v>
      </c>
      <c r="J252" s="1">
        <v>-0.70787944000000003</v>
      </c>
      <c r="K252" s="1">
        <v>-0.73244798</v>
      </c>
      <c r="L252" s="1">
        <v>-0.66722420000000005</v>
      </c>
      <c r="M252" s="1">
        <v>-0.30742246499999998</v>
      </c>
      <c r="N252" s="1">
        <v>-0.31990636700000002</v>
      </c>
      <c r="O252" s="1">
        <v>-0.258385115</v>
      </c>
      <c r="P252" s="1">
        <v>-0.67055231000000004</v>
      </c>
      <c r="Q252" s="1">
        <v>-0.69533878000000005</v>
      </c>
      <c r="R252" s="1">
        <v>-0.63440249999999998</v>
      </c>
      <c r="S252" s="1">
        <v>-0.27674568999999999</v>
      </c>
      <c r="T252" s="1">
        <v>-0.28560205</v>
      </c>
      <c r="U252" s="1">
        <v>-0.231565254</v>
      </c>
    </row>
    <row r="253" spans="1:21" x14ac:dyDescent="0.25">
      <c r="A253" t="s">
        <v>696</v>
      </c>
      <c r="B253" t="s">
        <v>63</v>
      </c>
      <c r="C253" s="1">
        <v>-0.43733387000000001</v>
      </c>
      <c r="D253" s="110">
        <v>-0.65182549999999995</v>
      </c>
      <c r="E253" s="1">
        <v>-0.67908230000000003</v>
      </c>
      <c r="F253" s="1">
        <v>-0.69352919999999996</v>
      </c>
      <c r="G253" s="1">
        <v>-0.34774384000000003</v>
      </c>
      <c r="H253" s="1">
        <v>-0.46579147999999998</v>
      </c>
      <c r="I253" s="1">
        <v>-0.45679872999999999</v>
      </c>
      <c r="J253" s="1">
        <v>-0.56526297999999997</v>
      </c>
      <c r="K253" s="1">
        <v>-0.58305077999999999</v>
      </c>
      <c r="L253" s="1">
        <v>-0.61637399999999998</v>
      </c>
      <c r="M253" s="1">
        <v>-0.27660366800000002</v>
      </c>
      <c r="N253" s="1">
        <v>-0.377018505</v>
      </c>
      <c r="O253" s="1">
        <v>-0.39375223999999998</v>
      </c>
      <c r="P253" s="1">
        <v>-0.51001616000000005</v>
      </c>
      <c r="Q253" s="1">
        <v>-0.52859232</v>
      </c>
      <c r="R253" s="1">
        <v>-0.56801279999999998</v>
      </c>
      <c r="S253" s="1">
        <v>-0.23119983899999999</v>
      </c>
      <c r="T253" s="1">
        <v>-0.32667626</v>
      </c>
      <c r="U253" s="1">
        <v>-0.354234404</v>
      </c>
    </row>
    <row r="254" spans="1:21" x14ac:dyDescent="0.25">
      <c r="A254" t="s">
        <v>697</v>
      </c>
      <c r="B254" t="s">
        <v>698</v>
      </c>
      <c r="C254" s="1">
        <v>-0.40835259000000002</v>
      </c>
      <c r="D254" s="110">
        <v>-0.52394660000000004</v>
      </c>
      <c r="E254" s="1">
        <v>-0.6521557</v>
      </c>
      <c r="F254" s="1">
        <v>-0.60755990000000004</v>
      </c>
      <c r="G254" s="1">
        <v>-0.32144992999999999</v>
      </c>
      <c r="H254" s="1">
        <v>-0.60068496999999998</v>
      </c>
      <c r="I254" s="1">
        <v>-0.44951171000000001</v>
      </c>
      <c r="J254" s="1">
        <v>-0.51037549000000004</v>
      </c>
      <c r="K254" s="1">
        <v>-0.63844654000000001</v>
      </c>
      <c r="L254" s="1">
        <v>-0.59520960000000001</v>
      </c>
      <c r="M254" s="1">
        <v>-0.310296709</v>
      </c>
      <c r="N254" s="1">
        <v>-0.58801205700000003</v>
      </c>
      <c r="O254" s="1">
        <v>-0.43941986199999999</v>
      </c>
      <c r="P254" s="1">
        <v>-0.46032793</v>
      </c>
      <c r="Q254" s="1">
        <v>-0.58391693</v>
      </c>
      <c r="R254" s="1">
        <v>-0.54897669999999998</v>
      </c>
      <c r="S254" s="1">
        <v>-0.26916581899999997</v>
      </c>
      <c r="T254" s="1">
        <v>-0.53760403999999995</v>
      </c>
      <c r="U254" s="1">
        <v>-0.40164114699999998</v>
      </c>
    </row>
    <row r="255" spans="1:21" x14ac:dyDescent="0.25">
      <c r="A255" t="s">
        <v>699</v>
      </c>
      <c r="B255" t="s">
        <v>700</v>
      </c>
      <c r="C255" s="1">
        <v>-0.37735750000000001</v>
      </c>
      <c r="D255" s="110">
        <v>-0.59316290000000005</v>
      </c>
      <c r="E255" s="1">
        <v>-0.69224079999999999</v>
      </c>
      <c r="F255" s="1">
        <v>-0.66304739999999995</v>
      </c>
      <c r="G255" s="1">
        <v>-0.14834183000000001</v>
      </c>
      <c r="H255" s="1">
        <v>-0.37364948999999997</v>
      </c>
      <c r="I255" s="1">
        <v>-0.28252382999999998</v>
      </c>
      <c r="J255" s="1">
        <v>-0.63580208000000005</v>
      </c>
      <c r="K255" s="1">
        <v>-0.73568507000000005</v>
      </c>
      <c r="L255" s="1">
        <v>-0.70178059999999998</v>
      </c>
      <c r="M255" s="1">
        <v>-0.18338422800000001</v>
      </c>
      <c r="N255" s="1">
        <v>-0.41381006300000001</v>
      </c>
      <c r="O255" s="1">
        <v>-0.314174236</v>
      </c>
      <c r="P255" s="1">
        <v>-0.54341061000000002</v>
      </c>
      <c r="Q255" s="1">
        <v>-0.63924895999999998</v>
      </c>
      <c r="R255" s="1">
        <v>-0.61840340000000005</v>
      </c>
      <c r="S255" s="1">
        <v>-0.107453597</v>
      </c>
      <c r="T255" s="1">
        <v>-0.32466304000000001</v>
      </c>
      <c r="U255" s="1">
        <v>-0.24604353200000001</v>
      </c>
    </row>
    <row r="256" spans="1:21" x14ac:dyDescent="0.25">
      <c r="A256" t="s">
        <v>701</v>
      </c>
      <c r="B256" t="s">
        <v>702</v>
      </c>
      <c r="C256" s="1">
        <v>-0.71839766999999999</v>
      </c>
      <c r="D256" s="110">
        <v>-0.82586990000000005</v>
      </c>
      <c r="E256" s="1">
        <v>-0.79806109999999997</v>
      </c>
      <c r="F256" s="1">
        <v>-0.7945219</v>
      </c>
      <c r="G256" s="1">
        <v>-0.66894485999999997</v>
      </c>
      <c r="H256" s="1">
        <v>-0.65803208999999996</v>
      </c>
      <c r="I256" s="1">
        <v>-0.56691913999999999</v>
      </c>
      <c r="J256" s="1">
        <v>-0.79681424000000001</v>
      </c>
      <c r="K256" s="1">
        <v>-0.76523810000000003</v>
      </c>
      <c r="L256" s="1">
        <v>-0.76873499999999995</v>
      </c>
      <c r="M256" s="1">
        <v>-0.64506585800000005</v>
      </c>
      <c r="N256" s="1">
        <v>-0.62768997900000001</v>
      </c>
      <c r="O256" s="1">
        <v>-0.54584764399999997</v>
      </c>
      <c r="P256" s="1">
        <v>-0.70742362999999997</v>
      </c>
      <c r="Q256" s="1">
        <v>-0.67183269000000001</v>
      </c>
      <c r="R256" s="1">
        <v>-0.68801860000000004</v>
      </c>
      <c r="S256" s="1">
        <v>-0.57160144099999999</v>
      </c>
      <c r="T256" s="1">
        <v>-0.54134457999999996</v>
      </c>
      <c r="U256" s="1">
        <v>-0.47989113</v>
      </c>
    </row>
    <row r="257" spans="1:21" x14ac:dyDescent="0.25">
      <c r="A257" t="s">
        <v>703</v>
      </c>
      <c r="B257" t="s">
        <v>704</v>
      </c>
      <c r="C257" s="1">
        <v>-0.40060277999999999</v>
      </c>
      <c r="D257" s="110">
        <v>-0.60282709999999995</v>
      </c>
      <c r="E257" s="1">
        <v>-0.55713889999999999</v>
      </c>
      <c r="F257" s="1">
        <v>-0.59709659999999998</v>
      </c>
      <c r="G257" s="1">
        <v>-0.30217495999999999</v>
      </c>
      <c r="H257" s="1">
        <v>-0.30747313999999998</v>
      </c>
      <c r="I257" s="1">
        <v>-0.20548317999999999</v>
      </c>
      <c r="J257" s="1">
        <v>-0.52800502000000005</v>
      </c>
      <c r="K257" s="1">
        <v>-0.48245907999999998</v>
      </c>
      <c r="L257" s="1">
        <v>-0.52883530000000001</v>
      </c>
      <c r="M257" s="1">
        <v>-0.24068346600000001</v>
      </c>
      <c r="N257" s="1">
        <v>-0.238438013</v>
      </c>
      <c r="O257" s="1">
        <v>-0.14970419300000001</v>
      </c>
      <c r="P257" s="1">
        <v>-0.54233671999999999</v>
      </c>
      <c r="Q257" s="1">
        <v>-0.49149335999999999</v>
      </c>
      <c r="R257" s="1">
        <v>-0.53900599999999999</v>
      </c>
      <c r="S257" s="1">
        <v>-0.25246177400000003</v>
      </c>
      <c r="T257" s="1">
        <v>-0.24678943</v>
      </c>
      <c r="U257" s="1">
        <v>-0.15801507200000001</v>
      </c>
    </row>
    <row r="258" spans="1:21" x14ac:dyDescent="0.25">
      <c r="A258" t="s">
        <v>705</v>
      </c>
      <c r="B258" t="s">
        <v>706</v>
      </c>
      <c r="C258" s="1">
        <v>-0.38343545000000001</v>
      </c>
      <c r="D258" s="110">
        <v>-0.54928290000000002</v>
      </c>
      <c r="E258" s="1">
        <v>-0.58360529999999999</v>
      </c>
      <c r="F258" s="1">
        <v>-0.64819320000000002</v>
      </c>
      <c r="G258" s="1">
        <v>-0.19477976</v>
      </c>
      <c r="H258" s="1">
        <v>-0.25978659999999998</v>
      </c>
      <c r="I258" s="1">
        <v>-0.36076200000000003</v>
      </c>
      <c r="J258" s="1">
        <v>-0.59460206000000004</v>
      </c>
      <c r="K258" s="1">
        <v>-0.63366257000000004</v>
      </c>
      <c r="L258" s="1">
        <v>-0.68862849999999998</v>
      </c>
      <c r="M258" s="1">
        <v>-0.232024644</v>
      </c>
      <c r="N258" s="1">
        <v>-0.30606036199999997</v>
      </c>
      <c r="O258" s="1">
        <v>-0.393803293</v>
      </c>
      <c r="P258" s="1">
        <v>-0.53053570000000005</v>
      </c>
      <c r="Q258" s="1">
        <v>-0.56287659999999995</v>
      </c>
      <c r="R258" s="1">
        <v>-0.62898739999999997</v>
      </c>
      <c r="S258" s="1">
        <v>-0.17937260399999999</v>
      </c>
      <c r="T258" s="1">
        <v>-0.24062471999999999</v>
      </c>
      <c r="U258" s="1">
        <v>-0.34506820199999999</v>
      </c>
    </row>
    <row r="259" spans="1:21" x14ac:dyDescent="0.25">
      <c r="A259" t="s">
        <v>705</v>
      </c>
      <c r="B259" t="s">
        <v>707</v>
      </c>
      <c r="C259" s="1">
        <v>-0.50167987000000003</v>
      </c>
      <c r="D259" s="110">
        <v>-0.6641051</v>
      </c>
      <c r="E259" s="1">
        <v>-0.72979950000000005</v>
      </c>
      <c r="F259" s="1">
        <v>-0.76956800000000003</v>
      </c>
      <c r="G259" s="1">
        <v>-0.43485617999999998</v>
      </c>
      <c r="H259" s="1">
        <v>-0.51695586000000004</v>
      </c>
      <c r="I259" s="1">
        <v>-0.54843907000000003</v>
      </c>
      <c r="J259" s="1">
        <v>-0.59655939000000002</v>
      </c>
      <c r="K259" s="1">
        <v>-0.66072213999999996</v>
      </c>
      <c r="L259" s="1">
        <v>-0.70825800000000005</v>
      </c>
      <c r="M259" s="1">
        <v>-0.37934464800000001</v>
      </c>
      <c r="N259" s="1">
        <v>-0.45309963800000003</v>
      </c>
      <c r="O259" s="1">
        <v>-0.49834037599999997</v>
      </c>
      <c r="P259" s="1">
        <v>-0.55360967999999999</v>
      </c>
      <c r="Q259" s="1">
        <v>-0.61110343</v>
      </c>
      <c r="R259" s="1">
        <v>-0.66726580000000002</v>
      </c>
      <c r="S259" s="1">
        <v>-0.344047033</v>
      </c>
      <c r="T259" s="1">
        <v>-0.40723134</v>
      </c>
      <c r="U259" s="1">
        <v>-0.46484404000000001</v>
      </c>
    </row>
    <row r="260" spans="1:21" x14ac:dyDescent="0.25">
      <c r="A260" t="s">
        <v>708</v>
      </c>
      <c r="B260" t="s">
        <v>709</v>
      </c>
      <c r="C260" s="1">
        <v>-0.52415040999999996</v>
      </c>
      <c r="D260" s="110">
        <v>-0.65845200000000004</v>
      </c>
      <c r="E260" s="1">
        <v>-0.72170199999999995</v>
      </c>
      <c r="F260" s="1">
        <v>-0.743784</v>
      </c>
      <c r="G260" s="1">
        <v>-0.37083526999999999</v>
      </c>
      <c r="H260" s="1">
        <v>-0.56538867999999998</v>
      </c>
      <c r="I260" s="1">
        <v>-0.46850458</v>
      </c>
      <c r="J260" s="1">
        <v>-0.69689975999999998</v>
      </c>
      <c r="K260" s="1">
        <v>-0.76380970999999998</v>
      </c>
      <c r="L260" s="1">
        <v>-0.77815639999999997</v>
      </c>
      <c r="M260" s="1">
        <v>-0.402433023</v>
      </c>
      <c r="N260" s="1">
        <v>-0.60431373099999997</v>
      </c>
      <c r="O260" s="1">
        <v>-0.49659155199999999</v>
      </c>
      <c r="P260" s="1">
        <v>-0.61745897000000005</v>
      </c>
      <c r="Q260" s="1">
        <v>-0.67734106999999999</v>
      </c>
      <c r="R260" s="1">
        <v>-0.70481090000000002</v>
      </c>
      <c r="S260" s="1">
        <v>-0.33714571399999999</v>
      </c>
      <c r="T260" s="1">
        <v>-0.52438079000000004</v>
      </c>
      <c r="U260" s="1">
        <v>-0.43665815099999999</v>
      </c>
    </row>
    <row r="261" spans="1:21" x14ac:dyDescent="0.25">
      <c r="A261" t="s">
        <v>710</v>
      </c>
      <c r="B261" t="s">
        <v>711</v>
      </c>
      <c r="C261" s="1">
        <v>-0.63128324999999996</v>
      </c>
      <c r="D261" s="110">
        <v>-0.70665670000000003</v>
      </c>
      <c r="E261" s="1">
        <v>-0.75907460000000004</v>
      </c>
      <c r="F261" s="1">
        <v>-0.81210939999999998</v>
      </c>
      <c r="G261" s="1">
        <v>-0.53578002999999996</v>
      </c>
      <c r="H261" s="1">
        <v>-0.72499360999999996</v>
      </c>
      <c r="I261" s="1">
        <v>-0.71613466000000003</v>
      </c>
      <c r="J261" s="1">
        <v>-0.73205445999999996</v>
      </c>
      <c r="K261" s="1">
        <v>-0.79153642000000002</v>
      </c>
      <c r="L261" s="1">
        <v>-0.83393870000000003</v>
      </c>
      <c r="M261" s="1">
        <v>-0.55665285099999995</v>
      </c>
      <c r="N261" s="1">
        <v>-0.75500179599999995</v>
      </c>
      <c r="O261" s="1">
        <v>-0.73397220799999996</v>
      </c>
      <c r="P261" s="1">
        <v>-0.71180571999999998</v>
      </c>
      <c r="Q261" s="1">
        <v>-0.76313836999999995</v>
      </c>
      <c r="R261" s="1">
        <v>-0.81227890000000003</v>
      </c>
      <c r="S261" s="1">
        <v>-0.54001170200000004</v>
      </c>
      <c r="T261" s="1">
        <v>-0.72875020000000001</v>
      </c>
      <c r="U261" s="1">
        <v>-0.71627317599999996</v>
      </c>
    </row>
    <row r="262" spans="1:21" x14ac:dyDescent="0.25">
      <c r="A262" t="s">
        <v>712</v>
      </c>
      <c r="B262" t="s">
        <v>713</v>
      </c>
      <c r="C262" s="1">
        <v>-0.78231627999999998</v>
      </c>
      <c r="D262" s="110">
        <v>-0.755691</v>
      </c>
      <c r="E262" s="1">
        <v>-0.81517899999999999</v>
      </c>
      <c r="F262" s="1">
        <v>-0.77642500000000003</v>
      </c>
      <c r="G262" s="1">
        <v>-0.66662191000000004</v>
      </c>
      <c r="H262" s="1">
        <v>-0.80091654000000001</v>
      </c>
      <c r="I262" s="1">
        <v>-0.61534535999999995</v>
      </c>
      <c r="J262" s="1">
        <v>-0.89818036000000001</v>
      </c>
      <c r="K262" s="1">
        <v>-0.96964393000000004</v>
      </c>
      <c r="L262" s="1">
        <v>-0.90411019999999997</v>
      </c>
      <c r="M262" s="1">
        <v>-0.78372475799999997</v>
      </c>
      <c r="N262" s="1">
        <v>-0.94370627500000004</v>
      </c>
      <c r="O262" s="1">
        <v>-0.71968191500000001</v>
      </c>
      <c r="P262" s="1">
        <v>-0.76726578000000001</v>
      </c>
      <c r="Q262" s="1">
        <v>-0.82623133999999998</v>
      </c>
      <c r="R262" s="1">
        <v>-0.78281310000000004</v>
      </c>
      <c r="S262" s="1">
        <v>-0.67613444</v>
      </c>
      <c r="T262" s="1">
        <v>-0.81113347000000002</v>
      </c>
      <c r="U262" s="1">
        <v>-0.62056538000000006</v>
      </c>
    </row>
    <row r="263" spans="1:21" x14ac:dyDescent="0.25">
      <c r="A263" t="s">
        <v>714</v>
      </c>
      <c r="B263" t="s">
        <v>715</v>
      </c>
      <c r="C263" s="1">
        <v>-0.80285368000000001</v>
      </c>
      <c r="D263" s="110">
        <v>-0.73745620000000001</v>
      </c>
      <c r="E263" s="1">
        <v>-0.72003799999999996</v>
      </c>
      <c r="F263" s="1">
        <v>-0.7759045</v>
      </c>
      <c r="G263" s="1">
        <v>-0.75323298000000005</v>
      </c>
      <c r="H263" s="1">
        <v>-0.77264653000000005</v>
      </c>
      <c r="I263" s="1">
        <v>-0.66232064000000002</v>
      </c>
      <c r="J263" s="1">
        <v>-0.84486483000000001</v>
      </c>
      <c r="K263" s="1">
        <v>-0.83721047999999998</v>
      </c>
      <c r="L263" s="1">
        <v>-0.87201490000000004</v>
      </c>
      <c r="M263" s="1">
        <v>-0.84150526800000003</v>
      </c>
      <c r="N263" s="1">
        <v>-0.880962574</v>
      </c>
      <c r="O263" s="1">
        <v>-0.74085613400000006</v>
      </c>
      <c r="P263" s="1">
        <v>-0.77848019000000002</v>
      </c>
      <c r="Q263" s="1">
        <v>-0.76277273999999995</v>
      </c>
      <c r="R263" s="1">
        <v>-0.80970719999999996</v>
      </c>
      <c r="S263" s="1">
        <v>-0.78694797400000005</v>
      </c>
      <c r="T263" s="1">
        <v>-0.81215117999999997</v>
      </c>
      <c r="U263" s="1">
        <v>-0.68994208400000001</v>
      </c>
    </row>
    <row r="264" spans="1:21" x14ac:dyDescent="0.25">
      <c r="A264" t="s">
        <v>716</v>
      </c>
      <c r="B264" t="s">
        <v>717</v>
      </c>
      <c r="C264" s="1">
        <v>-0.38805866</v>
      </c>
      <c r="D264" s="110">
        <v>-0.49478490000000003</v>
      </c>
      <c r="E264" s="1">
        <v>-0.55225840000000004</v>
      </c>
      <c r="F264" s="1">
        <v>-0.61140209999999995</v>
      </c>
      <c r="G264" s="1">
        <v>-0.36699348999999998</v>
      </c>
      <c r="H264" s="1">
        <v>-0.45004888999999998</v>
      </c>
      <c r="I264" s="1">
        <v>-0.63185327000000002</v>
      </c>
      <c r="J264" s="1">
        <v>-0.42297378000000002</v>
      </c>
      <c r="K264" s="1">
        <v>-0.46868091000000001</v>
      </c>
      <c r="L264" s="1">
        <v>-0.54813279999999998</v>
      </c>
      <c r="M264" s="1">
        <v>-0.30797648599999999</v>
      </c>
      <c r="N264" s="1">
        <v>-0.37278855700000002</v>
      </c>
      <c r="O264" s="1">
        <v>-0.58015346400000001</v>
      </c>
      <c r="P264" s="1">
        <v>-0.43716339999999998</v>
      </c>
      <c r="Q264" s="1">
        <v>-0.49264302999999998</v>
      </c>
      <c r="R264" s="1">
        <v>-0.56520510000000002</v>
      </c>
      <c r="S264" s="1">
        <v>-0.31963802699999999</v>
      </c>
      <c r="T264" s="1">
        <v>-0.39493951999999999</v>
      </c>
      <c r="U264" s="1">
        <v>-0.59410396499999996</v>
      </c>
    </row>
    <row r="265" spans="1:21" x14ac:dyDescent="0.25">
      <c r="A265" t="s">
        <v>719</v>
      </c>
      <c r="B265" t="s">
        <v>720</v>
      </c>
      <c r="C265" s="1">
        <v>-0.27289313999999998</v>
      </c>
      <c r="D265" s="110">
        <v>-0.32259640000000001</v>
      </c>
      <c r="E265" s="1">
        <v>-0.42154209999999998</v>
      </c>
      <c r="F265" s="1">
        <v>-0.42661739999999998</v>
      </c>
      <c r="G265" s="1">
        <v>-0.12313213000000001</v>
      </c>
      <c r="H265" s="1">
        <v>-0.30314391000000002</v>
      </c>
      <c r="I265" s="1">
        <v>-0.21316468999999999</v>
      </c>
      <c r="J265" s="1">
        <v>-0.41779391999999999</v>
      </c>
      <c r="K265" s="1">
        <v>-0.52014793999999998</v>
      </c>
      <c r="L265" s="1">
        <v>-0.51279059999999999</v>
      </c>
      <c r="M265" s="1">
        <v>-0.20136889399999999</v>
      </c>
      <c r="N265" s="1">
        <v>-0.39429662500000001</v>
      </c>
      <c r="O265" s="1">
        <v>-0.28358012300000002</v>
      </c>
      <c r="P265" s="1">
        <v>-0.39921570000000001</v>
      </c>
      <c r="Q265" s="1">
        <v>-0.50381463000000004</v>
      </c>
      <c r="R265" s="1">
        <v>-0.49745099999999998</v>
      </c>
      <c r="S265" s="1">
        <v>-0.18610065100000001</v>
      </c>
      <c r="T265" s="1">
        <v>-0.37919786</v>
      </c>
      <c r="U265" s="1">
        <v>-0.27104555299999999</v>
      </c>
    </row>
    <row r="266" spans="1:21" x14ac:dyDescent="0.25">
      <c r="A266" t="s">
        <v>721</v>
      </c>
      <c r="B266" t="s">
        <v>722</v>
      </c>
      <c r="C266" s="1">
        <v>-0.25713649</v>
      </c>
      <c r="D266" s="110">
        <v>-0.42752839999999998</v>
      </c>
      <c r="E266" s="1">
        <v>-0.3710637</v>
      </c>
      <c r="F266" s="1">
        <v>-0.51941280000000001</v>
      </c>
      <c r="G266" s="1">
        <v>-0.19890648</v>
      </c>
      <c r="H266" s="1">
        <v>-0.10945135</v>
      </c>
      <c r="I266" s="1">
        <v>-0.27706109000000001</v>
      </c>
      <c r="J266" s="1">
        <v>-0.34713248000000002</v>
      </c>
      <c r="K266" s="1">
        <v>-0.28089691999999999</v>
      </c>
      <c r="L266" s="1">
        <v>-0.44793820000000001</v>
      </c>
      <c r="M266" s="1">
        <v>-0.13283424199999999</v>
      </c>
      <c r="N266" s="1">
        <v>-2.6099838E-2</v>
      </c>
      <c r="O266" s="1">
        <v>-0.21865643100000001</v>
      </c>
      <c r="P266" s="1">
        <v>-0.32693475</v>
      </c>
      <c r="Q266" s="1">
        <v>-0.26484912999999999</v>
      </c>
      <c r="R266" s="1">
        <v>-0.43205850000000001</v>
      </c>
      <c r="S266" s="1">
        <v>-0.11623502300000001</v>
      </c>
      <c r="T266" s="1">
        <v>-1.1265010000000001E-2</v>
      </c>
      <c r="U266" s="1">
        <v>-0.20568048799999999</v>
      </c>
    </row>
    <row r="267" spans="1:21" x14ac:dyDescent="0.25">
      <c r="A267" t="s">
        <v>724</v>
      </c>
      <c r="B267" t="s">
        <v>725</v>
      </c>
      <c r="C267" s="1">
        <v>-0.41200755999999999</v>
      </c>
      <c r="D267" s="110">
        <v>-0.48012579999999999</v>
      </c>
      <c r="E267" s="1">
        <v>-0.50965380000000005</v>
      </c>
      <c r="F267" s="1">
        <v>-0.57020159999999998</v>
      </c>
      <c r="G267" s="1">
        <v>-0.35975489999999999</v>
      </c>
      <c r="H267" s="1">
        <v>-0.46039865000000002</v>
      </c>
      <c r="I267" s="1">
        <v>-0.35981109</v>
      </c>
      <c r="J267" s="1">
        <v>-0.47413734000000002</v>
      </c>
      <c r="K267" s="1">
        <v>-0.49595001999999999</v>
      </c>
      <c r="L267" s="1">
        <v>-0.56619569999999997</v>
      </c>
      <c r="M267" s="1">
        <v>-0.35483337700000001</v>
      </c>
      <c r="N267" s="1">
        <v>-0.44773062000000002</v>
      </c>
      <c r="O267" s="1">
        <v>-0.35653769200000002</v>
      </c>
      <c r="P267" s="1">
        <v>-0.44810475</v>
      </c>
      <c r="Q267" s="1">
        <v>-0.47719451000000002</v>
      </c>
      <c r="R267" s="1">
        <v>-0.54662759999999999</v>
      </c>
      <c r="S267" s="1">
        <v>-0.33343885699999998</v>
      </c>
      <c r="T267" s="1">
        <v>-0.43039274999999999</v>
      </c>
      <c r="U267" s="1">
        <v>-0.34054789400000002</v>
      </c>
    </row>
    <row r="268" spans="1:21" x14ac:dyDescent="0.25">
      <c r="A268" t="s">
        <v>727</v>
      </c>
      <c r="B268" t="s">
        <v>728</v>
      </c>
      <c r="C268" s="1">
        <v>-0.30249087000000002</v>
      </c>
      <c r="D268" s="110">
        <v>-0.41442879999999999</v>
      </c>
      <c r="E268" s="1">
        <v>-0.38373770000000001</v>
      </c>
      <c r="F268" s="1">
        <v>-0.49055209999999999</v>
      </c>
      <c r="G268" s="1">
        <v>-0.2410534</v>
      </c>
      <c r="H268" s="1">
        <v>-0.19634206000000001</v>
      </c>
      <c r="I268" s="1">
        <v>-0.24214124000000001</v>
      </c>
      <c r="J268" s="1">
        <v>-0.38208472999999998</v>
      </c>
      <c r="K268" s="1">
        <v>-0.34280045999999997</v>
      </c>
      <c r="L268" s="1">
        <v>-0.46267649999999999</v>
      </c>
      <c r="M268" s="1">
        <v>-0.214471892</v>
      </c>
      <c r="N268" s="1">
        <v>-0.158499054</v>
      </c>
      <c r="O268" s="1">
        <v>-0.21936307199999999</v>
      </c>
      <c r="P268" s="1">
        <v>-0.37254935</v>
      </c>
      <c r="Q268" s="1">
        <v>-0.34064211999999999</v>
      </c>
      <c r="R268" s="1">
        <v>-0.457706</v>
      </c>
      <c r="S268" s="1">
        <v>-0.20663537100000001</v>
      </c>
      <c r="T268" s="1">
        <v>-0.15650384000000001</v>
      </c>
      <c r="U268" s="1">
        <v>-0.21530144000000001</v>
      </c>
    </row>
    <row r="269" spans="1:21" x14ac:dyDescent="0.25">
      <c r="A269" t="s">
        <v>729</v>
      </c>
      <c r="B269" t="s">
        <v>730</v>
      </c>
      <c r="C269" s="1">
        <v>-9.8088149999999999E-2</v>
      </c>
      <c r="D269" s="110">
        <v>-0.29925560000000001</v>
      </c>
      <c r="E269" s="1">
        <v>-0.3809554</v>
      </c>
      <c r="F269" s="1">
        <v>-0.37795089999999998</v>
      </c>
      <c r="G269" s="1">
        <v>-1.145213E-2</v>
      </c>
      <c r="H269" s="1">
        <v>-0.14214553999999999</v>
      </c>
      <c r="I269" s="1">
        <v>-5.7077870000000003E-2</v>
      </c>
      <c r="J269" s="1">
        <v>-0.21297732</v>
      </c>
      <c r="K269" s="1">
        <v>-0.28382686000000001</v>
      </c>
      <c r="L269" s="1">
        <v>-0.30131550000000001</v>
      </c>
      <c r="M269" s="1">
        <v>5.9454430000000003E-2</v>
      </c>
      <c r="N269" s="1">
        <v>-5.2358459000000003E-2</v>
      </c>
      <c r="O269" s="1">
        <v>5.5439110000000003E-3</v>
      </c>
      <c r="P269" s="1">
        <v>-0.20618289000000001</v>
      </c>
      <c r="Q269" s="1">
        <v>-0.28299300999999999</v>
      </c>
      <c r="R269" s="1">
        <v>-0.29810199999999998</v>
      </c>
      <c r="S269" s="1">
        <v>6.5038334000000003E-2</v>
      </c>
      <c r="T269" s="1">
        <v>-5.1587639999999997E-2</v>
      </c>
      <c r="U269" s="1">
        <v>8.1697479999999992E-3</v>
      </c>
    </row>
    <row r="270" spans="1:21" x14ac:dyDescent="0.25">
      <c r="A270" t="s">
        <v>732</v>
      </c>
      <c r="B270" t="s">
        <v>733</v>
      </c>
      <c r="C270" s="1">
        <v>2.5286960000000001E-2</v>
      </c>
      <c r="D270" s="110">
        <v>-0.25445250000000003</v>
      </c>
      <c r="E270" s="1">
        <v>-0.33919929999999998</v>
      </c>
      <c r="F270" s="1">
        <v>-0.2452927</v>
      </c>
      <c r="G270" s="1">
        <v>0.16863538</v>
      </c>
      <c r="H270" s="1">
        <v>-1.2902169999999999E-2</v>
      </c>
      <c r="I270" s="1">
        <v>0.17515077000000001</v>
      </c>
      <c r="J270" s="1">
        <v>-0.16011834999999999</v>
      </c>
      <c r="K270" s="1">
        <v>-0.23856221999999999</v>
      </c>
      <c r="L270" s="1">
        <v>-0.16045290000000001</v>
      </c>
      <c r="M270" s="1">
        <v>0.24616259200000001</v>
      </c>
      <c r="N270" s="1">
        <v>8.0128336999999994E-2</v>
      </c>
      <c r="O270" s="1">
        <v>0.24447665900000001</v>
      </c>
      <c r="P270" s="1">
        <v>-0.12425</v>
      </c>
      <c r="Q270" s="1">
        <v>-0.20027273000000001</v>
      </c>
      <c r="R270" s="1">
        <v>-0.1276873</v>
      </c>
      <c r="S270" s="1">
        <v>0.27564049000000002</v>
      </c>
      <c r="T270" s="1">
        <v>0.11552373000000001</v>
      </c>
      <c r="U270" s="1">
        <v>0.27125068200000002</v>
      </c>
    </row>
    <row r="271" spans="1:21" x14ac:dyDescent="0.25">
      <c r="A271" t="s">
        <v>732</v>
      </c>
      <c r="B271" t="s">
        <v>735</v>
      </c>
      <c r="C271" s="1">
        <v>-0.24420407999999999</v>
      </c>
      <c r="D271" s="110">
        <v>-0.43616709999999997</v>
      </c>
      <c r="E271" s="1">
        <v>-0.53065969999999996</v>
      </c>
      <c r="F271" s="1">
        <v>-0.45204030000000001</v>
      </c>
      <c r="G271" s="1">
        <v>-0.15153436000000001</v>
      </c>
      <c r="H271" s="1">
        <v>-0.39245645000000001</v>
      </c>
      <c r="I271" s="1">
        <v>-0.21076374</v>
      </c>
      <c r="J271" s="1">
        <v>-0.36396118</v>
      </c>
      <c r="K271" s="1">
        <v>-0.45234370000000002</v>
      </c>
      <c r="L271" s="1">
        <v>-0.38734420000000003</v>
      </c>
      <c r="M271" s="1">
        <v>-9.2192972999999998E-2</v>
      </c>
      <c r="N271" s="1">
        <v>-0.32005993799999999</v>
      </c>
      <c r="O271" s="1">
        <v>-0.157898029</v>
      </c>
      <c r="P271" s="1">
        <v>-0.33956538000000003</v>
      </c>
      <c r="Q271" s="1">
        <v>-0.42791253000000001</v>
      </c>
      <c r="R271" s="1">
        <v>-0.36581010000000003</v>
      </c>
      <c r="S271" s="1">
        <v>-7.2143621000000005E-2</v>
      </c>
      <c r="T271" s="1">
        <v>-0.29747539000000001</v>
      </c>
      <c r="U271" s="1">
        <v>-0.14030168900000001</v>
      </c>
    </row>
    <row r="272" spans="1:21" x14ac:dyDescent="0.25">
      <c r="A272" t="s">
        <v>736</v>
      </c>
      <c r="B272" t="s">
        <v>737</v>
      </c>
      <c r="C272" s="1">
        <v>-0.73300964999999996</v>
      </c>
      <c r="D272" s="110">
        <v>-0.66589100000000001</v>
      </c>
      <c r="E272" s="1">
        <v>-0.68827830000000001</v>
      </c>
      <c r="F272" s="1">
        <v>-0.71063189999999998</v>
      </c>
      <c r="G272" s="1">
        <v>-0.74021559000000003</v>
      </c>
      <c r="H272" s="1">
        <v>-0.74219626999999999</v>
      </c>
      <c r="I272" s="1">
        <v>-0.88400014000000005</v>
      </c>
      <c r="J272" s="1">
        <v>-0.71218232000000004</v>
      </c>
      <c r="K272" s="1">
        <v>-0.73824988999999996</v>
      </c>
      <c r="L272" s="1">
        <v>-0.75215339999999997</v>
      </c>
      <c r="M272" s="1">
        <v>-0.77825942800000003</v>
      </c>
      <c r="N272" s="1">
        <v>-0.78839078799999995</v>
      </c>
      <c r="O272" s="1">
        <v>-0.91792892800000003</v>
      </c>
      <c r="P272" s="1">
        <v>-0.71884119000000002</v>
      </c>
      <c r="Q272" s="1">
        <v>-0.74459098000000001</v>
      </c>
      <c r="R272" s="1">
        <v>-0.75787850000000001</v>
      </c>
      <c r="S272" s="1">
        <v>-0.78373193100000005</v>
      </c>
      <c r="T272" s="1">
        <v>-0.79425259000000004</v>
      </c>
      <c r="U272" s="1">
        <v>-0.92260711699999998</v>
      </c>
    </row>
    <row r="273" spans="1:21" x14ac:dyDescent="0.25">
      <c r="A273" t="s">
        <v>739</v>
      </c>
      <c r="B273" t="s">
        <v>740</v>
      </c>
      <c r="C273" s="1">
        <v>-0.63540375000000004</v>
      </c>
      <c r="D273" s="110">
        <v>-0.65429130000000002</v>
      </c>
      <c r="E273" s="1">
        <v>-0.78362350000000003</v>
      </c>
      <c r="F273" s="1">
        <v>-0.66870399999999997</v>
      </c>
      <c r="G273" s="1">
        <v>-0.57624282999999998</v>
      </c>
      <c r="H273" s="1">
        <v>-0.85015898000000001</v>
      </c>
      <c r="I273" s="1">
        <v>-0.44786415000000002</v>
      </c>
      <c r="J273" s="1">
        <v>-0.69363143999999999</v>
      </c>
      <c r="K273" s="1">
        <v>-0.82380812000000003</v>
      </c>
      <c r="L273" s="1">
        <v>-0.70442130000000003</v>
      </c>
      <c r="M273" s="1">
        <v>-0.608574002</v>
      </c>
      <c r="N273" s="1">
        <v>-0.88730625299999999</v>
      </c>
      <c r="O273" s="1">
        <v>-0.477050103</v>
      </c>
      <c r="P273" s="1">
        <v>-0.64753282999999995</v>
      </c>
      <c r="Q273" s="1">
        <v>-0.77662109000000001</v>
      </c>
      <c r="R273" s="1">
        <v>-0.66325389999999995</v>
      </c>
      <c r="S273" s="1">
        <v>-0.57068850500000001</v>
      </c>
      <c r="T273" s="1">
        <v>-0.84368584000000002</v>
      </c>
      <c r="U273" s="1">
        <v>-0.44341058999999999</v>
      </c>
    </row>
    <row r="274" spans="1:21" x14ac:dyDescent="0.25">
      <c r="A274" t="s">
        <v>741</v>
      </c>
      <c r="B274" t="s">
        <v>742</v>
      </c>
      <c r="C274" s="1">
        <v>-0.67015013999999995</v>
      </c>
      <c r="D274" s="110">
        <v>-0.77420199999999995</v>
      </c>
      <c r="E274" s="1">
        <v>-0.74238349999999997</v>
      </c>
      <c r="F274" s="1">
        <v>-0.75778389999999995</v>
      </c>
      <c r="G274" s="1">
        <v>-0.60779567000000001</v>
      </c>
      <c r="H274" s="1">
        <v>-0.51652237000000001</v>
      </c>
      <c r="I274" s="1">
        <v>-0.49151204999999998</v>
      </c>
      <c r="J274" s="1">
        <v>-0.76018929000000002</v>
      </c>
      <c r="K274" s="1">
        <v>-0.72895553999999996</v>
      </c>
      <c r="L274" s="1">
        <v>-0.74489459999999996</v>
      </c>
      <c r="M274" s="1">
        <v>-0.59627955899999996</v>
      </c>
      <c r="N274" s="1">
        <v>-0.50410935099999998</v>
      </c>
      <c r="O274" s="1">
        <v>-0.48097976100000001</v>
      </c>
      <c r="P274" s="1">
        <v>-0.67480733000000004</v>
      </c>
      <c r="Q274" s="1">
        <v>-0.63565490999999996</v>
      </c>
      <c r="R274" s="1">
        <v>-0.66589350000000003</v>
      </c>
      <c r="S274" s="1">
        <v>-0.52610959000000002</v>
      </c>
      <c r="T274" s="1">
        <v>-0.41786081000000003</v>
      </c>
      <c r="U274" s="1">
        <v>-0.41642493600000002</v>
      </c>
    </row>
    <row r="275" spans="1:21" x14ac:dyDescent="0.25">
      <c r="A275" t="s">
        <v>743</v>
      </c>
      <c r="B275" t="s">
        <v>744</v>
      </c>
      <c r="C275" s="1">
        <v>-0.55869314999999997</v>
      </c>
      <c r="D275" s="110">
        <v>-0.58519650000000001</v>
      </c>
      <c r="E275" s="1">
        <v>-0.47747400000000001</v>
      </c>
      <c r="F275" s="1">
        <v>-0.59564870000000003</v>
      </c>
      <c r="G275" s="1">
        <v>-0.61085655999999999</v>
      </c>
      <c r="H275" s="1">
        <v>-0.38900782</v>
      </c>
      <c r="I275" s="1">
        <v>-0.49546161</v>
      </c>
      <c r="J275" s="1">
        <v>-0.50740790999999996</v>
      </c>
      <c r="K275" s="1">
        <v>-0.40170491000000003</v>
      </c>
      <c r="L275" s="1">
        <v>-0.52432789999999996</v>
      </c>
      <c r="M275" s="1">
        <v>-0.54692709500000003</v>
      </c>
      <c r="N275" s="1">
        <v>-0.318965681</v>
      </c>
      <c r="O275" s="1">
        <v>-0.43718267100000002</v>
      </c>
      <c r="P275" s="1">
        <v>-0.60465846000000001</v>
      </c>
      <c r="Q275" s="1">
        <v>-0.49694397000000001</v>
      </c>
      <c r="R275" s="1">
        <v>-0.60916700000000001</v>
      </c>
      <c r="S275" s="1">
        <v>-0.62685109900000002</v>
      </c>
      <c r="T275" s="1">
        <v>-0.40700613000000002</v>
      </c>
      <c r="U275" s="1">
        <v>-0.50650793900000002</v>
      </c>
    </row>
    <row r="276" spans="1:21" x14ac:dyDescent="0.25">
      <c r="A276" t="s">
        <v>745</v>
      </c>
      <c r="B276" t="s">
        <v>746</v>
      </c>
      <c r="C276" s="1">
        <v>-0.38420657000000003</v>
      </c>
      <c r="D276" s="110">
        <v>-0.53191880000000002</v>
      </c>
      <c r="E276" s="1">
        <v>-0.64678970000000002</v>
      </c>
      <c r="F276" s="1">
        <v>-0.48017599999999999</v>
      </c>
      <c r="G276" s="1">
        <v>-0.33366351</v>
      </c>
      <c r="H276" s="1">
        <v>-0.57126239000000001</v>
      </c>
      <c r="I276" s="1">
        <v>-0.29846932999999998</v>
      </c>
      <c r="J276" s="1">
        <v>-0.45435354</v>
      </c>
      <c r="K276" s="1">
        <v>-0.56694465000000005</v>
      </c>
      <c r="L276" s="1">
        <v>-0.40986990000000001</v>
      </c>
      <c r="M276" s="1">
        <v>-0.26991759900000001</v>
      </c>
      <c r="N276" s="1">
        <v>-0.49745236700000001</v>
      </c>
      <c r="O276" s="1">
        <v>-0.24101947800000001</v>
      </c>
      <c r="P276" s="1">
        <v>-0.44894281000000003</v>
      </c>
      <c r="Q276" s="1">
        <v>-0.55763163000000004</v>
      </c>
      <c r="R276" s="1">
        <v>-0.40327790000000002</v>
      </c>
      <c r="S276" s="1">
        <v>-0.26547086800000003</v>
      </c>
      <c r="T276" s="1">
        <v>-0.48884327</v>
      </c>
      <c r="U276" s="1">
        <v>-0.235632915</v>
      </c>
    </row>
    <row r="277" spans="1:21" x14ac:dyDescent="0.25">
      <c r="A277" t="s">
        <v>747</v>
      </c>
      <c r="B277" t="s">
        <v>748</v>
      </c>
      <c r="C277" s="1">
        <v>-0.27999766999999998</v>
      </c>
      <c r="D277" s="110">
        <v>-0.30126579999999997</v>
      </c>
      <c r="E277" s="1">
        <v>-0.38963989999999998</v>
      </c>
      <c r="F277" s="1">
        <v>-0.43472729999999998</v>
      </c>
      <c r="G277" s="1">
        <v>-0.21468586000000001</v>
      </c>
      <c r="H277" s="1">
        <v>-0.35374081000000002</v>
      </c>
      <c r="I277" s="1">
        <v>-0.24977075000000001</v>
      </c>
      <c r="J277" s="1">
        <v>-0.35290569999999999</v>
      </c>
      <c r="K277" s="1">
        <v>-0.45295859999999999</v>
      </c>
      <c r="L277" s="1">
        <v>-0.47961779999999998</v>
      </c>
      <c r="M277" s="1">
        <v>-0.25712539400000001</v>
      </c>
      <c r="N277" s="1">
        <v>-0.41227354999999999</v>
      </c>
      <c r="O277" s="1">
        <v>-0.28645252599999999</v>
      </c>
      <c r="P277" s="1">
        <v>-0.25513738000000002</v>
      </c>
      <c r="Q277" s="1">
        <v>-0.33795918000000003</v>
      </c>
      <c r="R277" s="1">
        <v>-0.38534940000000001</v>
      </c>
      <c r="S277" s="1">
        <v>-0.176775872</v>
      </c>
      <c r="T277" s="1">
        <v>-0.30596631000000002</v>
      </c>
      <c r="U277" s="1">
        <v>-0.20942217299999999</v>
      </c>
    </row>
    <row r="278" spans="1:21" x14ac:dyDescent="0.25">
      <c r="A278" t="s">
        <v>750</v>
      </c>
      <c r="B278" t="s">
        <v>63</v>
      </c>
      <c r="C278" s="1">
        <v>-0.95739757000000003</v>
      </c>
      <c r="D278" s="110">
        <v>-0.91505559999999997</v>
      </c>
      <c r="E278" s="1">
        <v>-0.9153329</v>
      </c>
      <c r="F278" s="1">
        <v>-0.81622139999999999</v>
      </c>
      <c r="G278" s="1">
        <v>-0.99223888000000005</v>
      </c>
      <c r="H278" s="1">
        <v>-1.08044505</v>
      </c>
      <c r="I278" s="1">
        <v>-0.81485775000000005</v>
      </c>
      <c r="J278" s="1">
        <v>-0.92988645000000003</v>
      </c>
      <c r="K278" s="1">
        <v>-0.93718436000000005</v>
      </c>
      <c r="L278" s="1">
        <v>-0.8284222</v>
      </c>
      <c r="M278" s="1">
        <v>-1.00442739</v>
      </c>
      <c r="N278" s="1">
        <v>-1.1006449199999999</v>
      </c>
      <c r="O278" s="1">
        <v>-0.82482752000000004</v>
      </c>
      <c r="P278" s="1">
        <v>-0.83147366</v>
      </c>
      <c r="Q278" s="1">
        <v>-0.82427905999999995</v>
      </c>
      <c r="R278" s="1">
        <v>-0.73486240000000003</v>
      </c>
      <c r="S278" s="1">
        <v>-0.92354820800000004</v>
      </c>
      <c r="T278" s="1">
        <v>-0.99627352000000002</v>
      </c>
      <c r="U278" s="1">
        <v>-0.74837614399999997</v>
      </c>
    </row>
    <row r="279" spans="1:21" x14ac:dyDescent="0.25">
      <c r="A279" t="s">
        <v>752</v>
      </c>
      <c r="B279" t="s">
        <v>753</v>
      </c>
      <c r="C279" s="1">
        <v>-0.45098348999999999</v>
      </c>
      <c r="D279" s="110">
        <v>-0.53407769999999999</v>
      </c>
      <c r="E279" s="1">
        <v>-0.63453950000000003</v>
      </c>
      <c r="F279" s="1">
        <v>-0.6451479</v>
      </c>
      <c r="G279" s="1">
        <v>-0.52814711000000003</v>
      </c>
      <c r="H279" s="1">
        <v>-0.74630805</v>
      </c>
      <c r="I279" s="1">
        <v>-0.74424049999999997</v>
      </c>
      <c r="J279" s="1">
        <v>-0.38689137000000001</v>
      </c>
      <c r="K279" s="1">
        <v>-0.48830264000000001</v>
      </c>
      <c r="L279" s="1">
        <v>-0.51074129999999995</v>
      </c>
      <c r="M279" s="1">
        <v>-0.407184096</v>
      </c>
      <c r="N279" s="1">
        <v>-0.61112444600000004</v>
      </c>
      <c r="O279" s="1">
        <v>-0.63441164999999999</v>
      </c>
      <c r="P279" s="1">
        <v>-0.41370282000000003</v>
      </c>
      <c r="Q279" s="1">
        <v>-0.50376164000000001</v>
      </c>
      <c r="R279" s="1">
        <v>-0.52909600000000001</v>
      </c>
      <c r="S279" s="1">
        <v>-0.42921871</v>
      </c>
      <c r="T279" s="1">
        <v>-0.62541497999999995</v>
      </c>
      <c r="U279" s="1">
        <v>-0.64940998299999997</v>
      </c>
    </row>
    <row r="280" spans="1:21" x14ac:dyDescent="0.25">
      <c r="A280" t="s">
        <v>754</v>
      </c>
      <c r="B280" t="s">
        <v>755</v>
      </c>
      <c r="C280" s="1">
        <v>-0.43008239999999998</v>
      </c>
      <c r="D280" s="110">
        <v>-0.4370194</v>
      </c>
      <c r="E280" s="1">
        <v>-0.53471089999999999</v>
      </c>
      <c r="F280" s="1">
        <v>-0.55699259999999995</v>
      </c>
      <c r="G280" s="1">
        <v>-0.47539078000000001</v>
      </c>
      <c r="H280" s="1">
        <v>-0.63033503000000002</v>
      </c>
      <c r="I280" s="1">
        <v>-0.77643801000000001</v>
      </c>
      <c r="J280" s="1">
        <v>-0.38639916000000002</v>
      </c>
      <c r="K280" s="1">
        <v>-0.49241519</v>
      </c>
      <c r="L280" s="1">
        <v>-0.50925900000000002</v>
      </c>
      <c r="M280" s="1">
        <v>-0.43378927099999998</v>
      </c>
      <c r="N280" s="1">
        <v>-0.59123618499999997</v>
      </c>
      <c r="O280" s="1">
        <v>-0.73743304399999998</v>
      </c>
      <c r="P280" s="1">
        <v>-0.37793036000000002</v>
      </c>
      <c r="Q280" s="1">
        <v>-0.46882833000000002</v>
      </c>
      <c r="R280" s="1">
        <v>-0.49473990000000001</v>
      </c>
      <c r="S280" s="1">
        <v>-0.42682930699999999</v>
      </c>
      <c r="T280" s="1">
        <v>-0.56943213000000004</v>
      </c>
      <c r="U280" s="1">
        <v>-0.72556894000000005</v>
      </c>
    </row>
    <row r="281" spans="1:21" x14ac:dyDescent="0.25">
      <c r="A281" t="s">
        <v>757</v>
      </c>
      <c r="B281" t="s">
        <v>758</v>
      </c>
      <c r="C281" s="1">
        <v>-0.38915055999999998</v>
      </c>
      <c r="D281" s="110">
        <v>-0.4560014</v>
      </c>
      <c r="E281" s="1">
        <v>-0.5372112</v>
      </c>
      <c r="F281" s="1">
        <v>-0.64248019999999995</v>
      </c>
      <c r="G281" s="1">
        <v>-0.41878221999999998</v>
      </c>
      <c r="H281" s="1">
        <v>-0.53035979</v>
      </c>
      <c r="I281" s="1">
        <v>-0.67833496999999998</v>
      </c>
      <c r="J281" s="1">
        <v>-0.37592647000000001</v>
      </c>
      <c r="K281" s="1">
        <v>-0.46056203000000001</v>
      </c>
      <c r="L281" s="1">
        <v>-0.56880920000000001</v>
      </c>
      <c r="M281" s="1">
        <v>-0.35297377000000002</v>
      </c>
      <c r="N281" s="1">
        <v>-0.45950412099999999</v>
      </c>
      <c r="O281" s="1">
        <v>-0.61813552699999996</v>
      </c>
      <c r="P281" s="1">
        <v>-0.33549125000000002</v>
      </c>
      <c r="Q281" s="1">
        <v>-0.40643370000000001</v>
      </c>
      <c r="R281" s="1">
        <v>-0.52675950000000005</v>
      </c>
      <c r="S281" s="1">
        <v>-0.31974264899999999</v>
      </c>
      <c r="T281" s="1">
        <v>-0.40946705999999999</v>
      </c>
      <c r="U281" s="1">
        <v>-0.58377510499999996</v>
      </c>
    </row>
    <row r="282" spans="1:21" x14ac:dyDescent="0.25">
      <c r="A282" t="s">
        <v>760</v>
      </c>
      <c r="B282" t="s">
        <v>761</v>
      </c>
      <c r="C282" s="1">
        <v>-0.62185047000000004</v>
      </c>
      <c r="D282" s="110">
        <v>-0.67860920000000002</v>
      </c>
      <c r="E282" s="1">
        <v>-0.65072030000000003</v>
      </c>
      <c r="F282" s="1">
        <v>-0.64935799999999999</v>
      </c>
      <c r="G282" s="1">
        <v>-0.59990485999999998</v>
      </c>
      <c r="H282" s="1">
        <v>-0.61937978000000005</v>
      </c>
      <c r="I282" s="1">
        <v>-0.42590653000000001</v>
      </c>
      <c r="J282" s="1">
        <v>-0.65077923999999998</v>
      </c>
      <c r="K282" s="1">
        <v>-0.62817869000000004</v>
      </c>
      <c r="L282" s="1">
        <v>-0.62298070000000005</v>
      </c>
      <c r="M282" s="1">
        <v>-0.57703316100000002</v>
      </c>
      <c r="N282" s="1">
        <v>-0.598541973</v>
      </c>
      <c r="O282" s="1">
        <v>-0.40435265799999998</v>
      </c>
      <c r="P282" s="1">
        <v>-0.66808062999999995</v>
      </c>
      <c r="Q282" s="1">
        <v>-0.63783557000000002</v>
      </c>
      <c r="R282" s="1">
        <v>-0.63467629999999997</v>
      </c>
      <c r="S282" s="1">
        <v>-0.59125206200000002</v>
      </c>
      <c r="T282" s="1">
        <v>-0.60746895000000001</v>
      </c>
      <c r="U282" s="1">
        <v>-0.41390959500000002</v>
      </c>
    </row>
    <row r="283" spans="1:21" x14ac:dyDescent="0.25">
      <c r="A283" t="s">
        <v>763</v>
      </c>
      <c r="B283" t="s">
        <v>764</v>
      </c>
      <c r="C283" s="1">
        <v>-0.60745936</v>
      </c>
      <c r="D283" s="110">
        <v>-0.68404949999999998</v>
      </c>
      <c r="E283" s="1">
        <v>-0.67564849999999999</v>
      </c>
      <c r="F283" s="1">
        <v>-0.67808109999999999</v>
      </c>
      <c r="G283" s="1">
        <v>-0.60321650999999998</v>
      </c>
      <c r="H283" s="1">
        <v>-0.59554748999999996</v>
      </c>
      <c r="I283" s="1">
        <v>-0.43961341999999998</v>
      </c>
      <c r="J283" s="1">
        <v>-0.62374485000000002</v>
      </c>
      <c r="K283" s="1">
        <v>-0.61794188000000005</v>
      </c>
      <c r="L283" s="1">
        <v>-0.62259580000000003</v>
      </c>
      <c r="M283" s="1">
        <v>-0.55365597200000005</v>
      </c>
      <c r="N283" s="1">
        <v>-0.54220262600000002</v>
      </c>
      <c r="O283" s="1">
        <v>-0.39427424799999999</v>
      </c>
      <c r="P283" s="1">
        <v>-0.64063440999999999</v>
      </c>
      <c r="Q283" s="1">
        <v>-0.62784638000000004</v>
      </c>
      <c r="R283" s="1">
        <v>-0.63423569999999996</v>
      </c>
      <c r="S283" s="1">
        <v>-0.56753641399999999</v>
      </c>
      <c r="T283" s="1">
        <v>-0.55135849999999997</v>
      </c>
      <c r="U283" s="1">
        <v>-0.40378562800000001</v>
      </c>
    </row>
    <row r="284" spans="1:21" x14ac:dyDescent="0.25">
      <c r="A284" t="s">
        <v>765</v>
      </c>
      <c r="B284" t="s">
        <v>766</v>
      </c>
      <c r="C284" s="1">
        <v>-0.79389186</v>
      </c>
      <c r="D284" s="110">
        <v>-0.82933380000000001</v>
      </c>
      <c r="E284" s="1">
        <v>-0.89069259999999995</v>
      </c>
      <c r="F284" s="1">
        <v>-0.74904729999999997</v>
      </c>
      <c r="G284" s="1">
        <v>-0.80639780999999999</v>
      </c>
      <c r="H284" s="1">
        <v>-1.0551850300000001</v>
      </c>
      <c r="I284" s="1">
        <v>-0.74511362999999997</v>
      </c>
      <c r="J284" s="1">
        <v>-0.77732663000000002</v>
      </c>
      <c r="K284" s="1">
        <v>-0.83909984999999998</v>
      </c>
      <c r="L284" s="1">
        <v>-0.70154079999999996</v>
      </c>
      <c r="M284" s="1">
        <v>-0.763656432</v>
      </c>
      <c r="N284" s="1">
        <v>-1.0074918580000001</v>
      </c>
      <c r="O284" s="1">
        <v>-0.70629426399999995</v>
      </c>
      <c r="P284" s="1">
        <v>-0.83696119000000002</v>
      </c>
      <c r="Q284" s="1">
        <v>-0.89817416999999999</v>
      </c>
      <c r="R284" s="1">
        <v>-0.75387850000000001</v>
      </c>
      <c r="S284" s="1">
        <v>-0.81266626099999995</v>
      </c>
      <c r="T284" s="1">
        <v>-1.06210107</v>
      </c>
      <c r="U284" s="1">
        <v>-0.74906140399999999</v>
      </c>
    </row>
    <row r="285" spans="1:21" x14ac:dyDescent="0.25">
      <c r="A285" t="s">
        <v>768</v>
      </c>
      <c r="B285" t="s">
        <v>769</v>
      </c>
      <c r="C285" s="1">
        <v>-0.45094212</v>
      </c>
      <c r="D285" s="110">
        <v>-0.51022579999999995</v>
      </c>
      <c r="E285" s="1">
        <v>-0.59805220000000003</v>
      </c>
      <c r="F285" s="1">
        <v>-0.60974450000000002</v>
      </c>
      <c r="G285" s="1">
        <v>-0.43062022999999999</v>
      </c>
      <c r="H285" s="1">
        <v>-0.58142338000000005</v>
      </c>
      <c r="I285" s="1">
        <v>-0.59443124000000003</v>
      </c>
      <c r="J285" s="1">
        <v>-0.46701799999999999</v>
      </c>
      <c r="K285" s="1">
        <v>-0.55740900999999998</v>
      </c>
      <c r="L285" s="1">
        <v>-0.56985719999999995</v>
      </c>
      <c r="M285" s="1">
        <v>-0.39511053000000002</v>
      </c>
      <c r="N285" s="1">
        <v>-0.54385221100000003</v>
      </c>
      <c r="O285" s="1">
        <v>-0.561837739</v>
      </c>
      <c r="P285" s="1">
        <v>-0.53983015000000001</v>
      </c>
      <c r="Q285" s="1">
        <v>-0.62863650999999998</v>
      </c>
      <c r="R285" s="1">
        <v>-0.63334009999999996</v>
      </c>
      <c r="S285" s="1">
        <v>-0.45495018500000001</v>
      </c>
      <c r="T285" s="1">
        <v>-0.60969600999999995</v>
      </c>
      <c r="U285" s="1">
        <v>-0.61371208399999999</v>
      </c>
    </row>
    <row r="286" spans="1:21" x14ac:dyDescent="0.25">
      <c r="A286" t="s">
        <v>771</v>
      </c>
      <c r="B286" t="s">
        <v>772</v>
      </c>
      <c r="C286" s="1">
        <v>-0.51188524000000002</v>
      </c>
      <c r="D286" s="110">
        <v>-0.54782620000000004</v>
      </c>
      <c r="E286" s="1">
        <v>-0.61546199999999995</v>
      </c>
      <c r="F286" s="1">
        <v>-0.60630660000000003</v>
      </c>
      <c r="G286" s="1">
        <v>-0.51257260999999998</v>
      </c>
      <c r="H286" s="1">
        <v>-0.66593743999999999</v>
      </c>
      <c r="I286" s="1">
        <v>-0.69254092</v>
      </c>
      <c r="J286" s="1">
        <v>-0.50620111000000001</v>
      </c>
      <c r="K286" s="1">
        <v>-0.57821725999999996</v>
      </c>
      <c r="L286" s="1">
        <v>-0.56752009999999997</v>
      </c>
      <c r="M286" s="1">
        <v>-0.47836356899999999</v>
      </c>
      <c r="N286" s="1">
        <v>-0.631507822</v>
      </c>
      <c r="O286" s="1">
        <v>-0.66084692700000003</v>
      </c>
      <c r="P286" s="1">
        <v>-0.56855029000000001</v>
      </c>
      <c r="Q286" s="1">
        <v>-0.63610949000000006</v>
      </c>
      <c r="R286" s="1">
        <v>-0.62043510000000002</v>
      </c>
      <c r="S286" s="1">
        <v>-0.52960437100000002</v>
      </c>
      <c r="T286" s="1">
        <v>-0.68502428999999998</v>
      </c>
      <c r="U286" s="1">
        <v>-0.70408583999999996</v>
      </c>
    </row>
    <row r="287" spans="1:21" x14ac:dyDescent="0.25">
      <c r="A287" t="s">
        <v>774</v>
      </c>
      <c r="B287" t="s">
        <v>775</v>
      </c>
      <c r="C287" s="1">
        <v>-0.51594859000000004</v>
      </c>
      <c r="D287" s="110">
        <v>-0.6396771</v>
      </c>
      <c r="E287" s="1">
        <v>-0.75000029999999995</v>
      </c>
      <c r="F287" s="1">
        <v>-0.67371899999999996</v>
      </c>
      <c r="G287" s="1">
        <v>-0.52326713999999996</v>
      </c>
      <c r="H287" s="1">
        <v>-0.76490053999999996</v>
      </c>
      <c r="I287" s="1">
        <v>-0.59499206999999998</v>
      </c>
      <c r="J287" s="1">
        <v>-0.51269502</v>
      </c>
      <c r="K287" s="1">
        <v>-0.62258729999999995</v>
      </c>
      <c r="L287" s="1">
        <v>-0.55799810000000005</v>
      </c>
      <c r="M287" s="1">
        <v>-0.41890869200000003</v>
      </c>
      <c r="N287" s="1">
        <v>-0.64711796200000005</v>
      </c>
      <c r="O287" s="1">
        <v>-0.50043207000000001</v>
      </c>
      <c r="P287" s="1">
        <v>-0.62184861999999996</v>
      </c>
      <c r="Q287" s="1">
        <v>-0.72959076</v>
      </c>
      <c r="R287" s="1">
        <v>-0.65327120000000005</v>
      </c>
      <c r="S287" s="1">
        <v>-0.50861505200000001</v>
      </c>
      <c r="T287" s="1">
        <v>-0.74603361000000001</v>
      </c>
      <c r="U287" s="1">
        <v>-0.57828343500000001</v>
      </c>
    </row>
    <row r="288" spans="1:21" x14ac:dyDescent="0.25">
      <c r="A288" t="s">
        <v>776</v>
      </c>
      <c r="B288" t="s">
        <v>777</v>
      </c>
      <c r="C288" s="1">
        <v>-0.39341166</v>
      </c>
      <c r="D288" s="110">
        <v>-0.47715629999999998</v>
      </c>
      <c r="E288" s="1">
        <v>-0.6073016</v>
      </c>
      <c r="F288" s="1">
        <v>-0.57322910000000005</v>
      </c>
      <c r="G288" s="1">
        <v>-0.36891144999999997</v>
      </c>
      <c r="H288" s="1">
        <v>-0.61364368999999996</v>
      </c>
      <c r="I288" s="1">
        <v>-0.53804266000000001</v>
      </c>
      <c r="J288" s="1">
        <v>-0.40084808</v>
      </c>
      <c r="K288" s="1">
        <v>-0.53482881000000004</v>
      </c>
      <c r="L288" s="1">
        <v>-0.50291589999999997</v>
      </c>
      <c r="M288" s="1">
        <v>-0.306198584</v>
      </c>
      <c r="N288" s="1">
        <v>-0.54664872499999995</v>
      </c>
      <c r="O288" s="1">
        <v>-0.48058697900000003</v>
      </c>
      <c r="P288" s="1">
        <v>-0.58729476999999997</v>
      </c>
      <c r="Q288" s="1">
        <v>-0.72343488</v>
      </c>
      <c r="R288" s="1">
        <v>-0.66837259999999998</v>
      </c>
      <c r="S288" s="1">
        <v>-0.45942718700000001</v>
      </c>
      <c r="T288" s="1">
        <v>-0.72099908000000001</v>
      </c>
      <c r="U288" s="1">
        <v>-0.61578807000000002</v>
      </c>
    </row>
    <row r="289" spans="1:21" x14ac:dyDescent="0.25">
      <c r="A289" t="s">
        <v>779</v>
      </c>
      <c r="B289" t="s">
        <v>780</v>
      </c>
      <c r="C289" s="1">
        <v>-0.37809490000000001</v>
      </c>
      <c r="D289" s="110">
        <v>-0.50187380000000004</v>
      </c>
      <c r="E289" s="1">
        <v>-0.62052320000000005</v>
      </c>
      <c r="F289" s="1">
        <v>-0.56058759999999996</v>
      </c>
      <c r="G289" s="1">
        <v>-0.42442566999999998</v>
      </c>
      <c r="H289" s="1">
        <v>-0.63497636000000002</v>
      </c>
      <c r="I289" s="1">
        <v>-0.48673573999999997</v>
      </c>
      <c r="J289" s="1">
        <v>-0.33536655999999998</v>
      </c>
      <c r="K289" s="1">
        <v>-0.45212483999999997</v>
      </c>
      <c r="L289" s="1">
        <v>-0.40909689999999999</v>
      </c>
      <c r="M289" s="1">
        <v>-0.28758405799999998</v>
      </c>
      <c r="N289" s="1">
        <v>-0.47930627799999997</v>
      </c>
      <c r="O289" s="1">
        <v>-0.36294688400000003</v>
      </c>
      <c r="P289" s="1">
        <v>-0.47235723000000002</v>
      </c>
      <c r="Q289" s="1">
        <v>-0.58751350000000002</v>
      </c>
      <c r="R289" s="1">
        <v>-0.5291785</v>
      </c>
      <c r="S289" s="1">
        <v>-0.40016792600000001</v>
      </c>
      <c r="T289" s="1">
        <v>-0.60446162999999997</v>
      </c>
      <c r="U289" s="1">
        <v>-0.46107019799999999</v>
      </c>
    </row>
    <row r="290" spans="1:21" x14ac:dyDescent="0.25">
      <c r="A290" t="s">
        <v>782</v>
      </c>
      <c r="B290" t="s">
        <v>783</v>
      </c>
      <c r="C290" s="1">
        <v>-0.35962274999999999</v>
      </c>
      <c r="D290" s="110">
        <v>-0.47283849999999999</v>
      </c>
      <c r="E290" s="1">
        <v>-0.5226518</v>
      </c>
      <c r="F290" s="1">
        <v>-0.50054200000000004</v>
      </c>
      <c r="G290" s="1">
        <v>-0.38152482999999998</v>
      </c>
      <c r="H290" s="1">
        <v>-0.42535662000000002</v>
      </c>
      <c r="I290" s="1">
        <v>-0.38124403000000001</v>
      </c>
      <c r="J290" s="1">
        <v>-0.32692474999999999</v>
      </c>
      <c r="K290" s="1">
        <v>-0.37583026000000003</v>
      </c>
      <c r="L290" s="1">
        <v>-0.36764619999999998</v>
      </c>
      <c r="M290" s="1">
        <v>-0.26160767400000001</v>
      </c>
      <c r="N290" s="1">
        <v>-0.28963255500000001</v>
      </c>
      <c r="O290" s="1">
        <v>-0.27264975200000002</v>
      </c>
      <c r="P290" s="1">
        <v>-0.56858757000000004</v>
      </c>
      <c r="Q290" s="1">
        <v>-0.62376100000000001</v>
      </c>
      <c r="R290" s="1">
        <v>-0.58372049999999998</v>
      </c>
      <c r="S290" s="1">
        <v>-0.46021488199999999</v>
      </c>
      <c r="T290" s="1">
        <v>-0.51882355000000002</v>
      </c>
      <c r="U290" s="1">
        <v>-0.44921239899999998</v>
      </c>
    </row>
    <row r="291" spans="1:21" x14ac:dyDescent="0.25">
      <c r="A291" t="s">
        <v>785</v>
      </c>
      <c r="B291" t="s">
        <v>786</v>
      </c>
      <c r="C291" s="1">
        <v>-0.29079756000000001</v>
      </c>
      <c r="D291" s="110">
        <v>-0.2393912</v>
      </c>
      <c r="E291" s="1">
        <v>-0.19963539999999999</v>
      </c>
      <c r="F291" s="1">
        <v>-0.29464040000000002</v>
      </c>
      <c r="G291" s="1">
        <v>-0.53798144999999997</v>
      </c>
      <c r="H291" s="1">
        <v>-0.49200740999999998</v>
      </c>
      <c r="I291" s="1">
        <v>-0.24635560000000001</v>
      </c>
      <c r="J291" s="1">
        <v>-5.8514839999999999E-2</v>
      </c>
      <c r="K291" s="1">
        <v>-1.766442E-2</v>
      </c>
      <c r="L291" s="1">
        <v>-0.12989539999999999</v>
      </c>
      <c r="M291" s="1">
        <v>-0.38933073499999998</v>
      </c>
      <c r="N291" s="1">
        <v>-0.32379062199999997</v>
      </c>
      <c r="O291" s="1">
        <v>-0.111736138</v>
      </c>
      <c r="P291" s="1">
        <v>-3.0970459999999998E-2</v>
      </c>
      <c r="Q291" s="1">
        <v>2.5294609999999999E-2</v>
      </c>
      <c r="R291" s="1">
        <v>-9.8413E-2</v>
      </c>
      <c r="S291" s="1">
        <v>-0.36669376599999998</v>
      </c>
      <c r="T291" s="1">
        <v>-0.28407863999999999</v>
      </c>
      <c r="U291" s="1">
        <v>-8.6010619999999996E-2</v>
      </c>
    </row>
    <row r="292" spans="1:21" x14ac:dyDescent="0.25">
      <c r="A292" t="s">
        <v>788</v>
      </c>
      <c r="B292" t="s">
        <v>789</v>
      </c>
      <c r="C292" s="1">
        <v>-0.47696417000000002</v>
      </c>
      <c r="D292" s="110">
        <v>-0.56449289999999996</v>
      </c>
      <c r="E292" s="1">
        <v>-0.66831479999999999</v>
      </c>
      <c r="F292" s="1">
        <v>-0.66403469999999998</v>
      </c>
      <c r="G292" s="1">
        <v>-0.47250702999999999</v>
      </c>
      <c r="H292" s="1">
        <v>-0.71149450999999997</v>
      </c>
      <c r="I292" s="1">
        <v>-0.54492518999999995</v>
      </c>
      <c r="J292" s="1">
        <v>-0.48754429999999999</v>
      </c>
      <c r="K292" s="1">
        <v>-0.59783567999999998</v>
      </c>
      <c r="L292" s="1">
        <v>-0.59264059999999996</v>
      </c>
      <c r="M292" s="1">
        <v>-0.40926789800000002</v>
      </c>
      <c r="N292" s="1">
        <v>-0.64634254400000002</v>
      </c>
      <c r="O292" s="1">
        <v>-0.48658634099999998</v>
      </c>
      <c r="P292" s="1">
        <v>-0.52126753000000003</v>
      </c>
      <c r="Q292" s="1">
        <v>-0.61957830000000003</v>
      </c>
      <c r="R292" s="1">
        <v>-0.61679879999999998</v>
      </c>
      <c r="S292" s="1">
        <v>-0.436982867</v>
      </c>
      <c r="T292" s="1">
        <v>-0.66644175999999999</v>
      </c>
      <c r="U292" s="1">
        <v>-0.50632688199999998</v>
      </c>
    </row>
    <row r="293" spans="1:21" x14ac:dyDescent="0.25">
      <c r="A293" t="s">
        <v>791</v>
      </c>
      <c r="B293" t="s">
        <v>792</v>
      </c>
      <c r="C293" s="1">
        <v>-0.76270459000000002</v>
      </c>
      <c r="D293" s="110">
        <v>-0.70647550000000003</v>
      </c>
      <c r="E293" s="1">
        <v>-0.6290732</v>
      </c>
      <c r="F293" s="1">
        <v>-0.7311993</v>
      </c>
      <c r="G293" s="1">
        <v>-0.82416608000000002</v>
      </c>
      <c r="H293" s="1">
        <v>-0.74478429000000002</v>
      </c>
      <c r="I293" s="1">
        <v>-0.82327145999999995</v>
      </c>
      <c r="J293" s="1">
        <v>-0.69947548000000004</v>
      </c>
      <c r="K293" s="1">
        <v>-0.62933645999999999</v>
      </c>
      <c r="L293" s="1">
        <v>-0.72344560000000002</v>
      </c>
      <c r="M293" s="1">
        <v>-0.81841324599999998</v>
      </c>
      <c r="N293" s="1">
        <v>-0.74502764099999996</v>
      </c>
      <c r="O293" s="1">
        <v>-0.81693564200000002</v>
      </c>
      <c r="P293" s="1">
        <v>-0.68738509000000003</v>
      </c>
      <c r="Q293" s="1">
        <v>-0.60676978000000004</v>
      </c>
      <c r="R293" s="1">
        <v>-0.70789659999999999</v>
      </c>
      <c r="S293" s="1">
        <v>-0.80847692800000004</v>
      </c>
      <c r="T293" s="1">
        <v>-0.72416665000000002</v>
      </c>
      <c r="U293" s="1">
        <v>-0.80422996700000005</v>
      </c>
    </row>
    <row r="294" spans="1:21" x14ac:dyDescent="0.25">
      <c r="A294" t="s">
        <v>794</v>
      </c>
      <c r="B294" t="s">
        <v>795</v>
      </c>
      <c r="C294" s="1">
        <v>-0.43280774999999999</v>
      </c>
      <c r="D294" s="110">
        <v>-0.52170229999999995</v>
      </c>
      <c r="E294" s="1">
        <v>-0.54137029999999997</v>
      </c>
      <c r="F294" s="1">
        <v>-0.61824869999999998</v>
      </c>
      <c r="G294" s="1">
        <v>-0.41260562000000001</v>
      </c>
      <c r="H294" s="1">
        <v>-0.41629192999999998</v>
      </c>
      <c r="I294" s="1">
        <v>-0.53102972000000004</v>
      </c>
      <c r="J294" s="1">
        <v>-0.46576616999999998</v>
      </c>
      <c r="K294" s="1">
        <v>-0.48627689000000002</v>
      </c>
      <c r="L294" s="1">
        <v>-0.56707830000000004</v>
      </c>
      <c r="M294" s="1">
        <v>-0.36663525699999999</v>
      </c>
      <c r="N294" s="1">
        <v>-0.36536270500000001</v>
      </c>
      <c r="O294" s="1">
        <v>-0.48921646699999999</v>
      </c>
      <c r="P294" s="1">
        <v>-0.47609037999999998</v>
      </c>
      <c r="Q294" s="1">
        <v>-0.49169605</v>
      </c>
      <c r="R294" s="1">
        <v>-0.57389730000000005</v>
      </c>
      <c r="S294" s="1">
        <v>-0.37512006799999997</v>
      </c>
      <c r="T294" s="1">
        <v>-0.37037226000000001</v>
      </c>
      <c r="U294" s="1">
        <v>-0.49478852200000001</v>
      </c>
    </row>
    <row r="295" spans="1:21" x14ac:dyDescent="0.25">
      <c r="A295" t="s">
        <v>797</v>
      </c>
      <c r="B295" t="s">
        <v>63</v>
      </c>
      <c r="C295" s="1">
        <v>-0.54374361000000004</v>
      </c>
      <c r="D295" s="110">
        <v>-0.58709279999999997</v>
      </c>
      <c r="E295" s="1">
        <v>-0.56707640000000004</v>
      </c>
      <c r="F295" s="1">
        <v>-0.62999079999999996</v>
      </c>
      <c r="G295" s="1">
        <v>-0.56006261999999996</v>
      </c>
      <c r="H295" s="1">
        <v>-0.57910938000000001</v>
      </c>
      <c r="I295" s="1">
        <v>-0.63511463000000001</v>
      </c>
      <c r="J295" s="1">
        <v>-0.53492121999999998</v>
      </c>
      <c r="K295" s="1">
        <v>-0.51645640999999998</v>
      </c>
      <c r="L295" s="1">
        <v>-0.58211999999999997</v>
      </c>
      <c r="M295" s="1">
        <v>-0.517186162</v>
      </c>
      <c r="N295" s="1">
        <v>-0.53231546299999999</v>
      </c>
      <c r="O295" s="1">
        <v>-0.595997518</v>
      </c>
      <c r="P295" s="1">
        <v>-0.54889635999999997</v>
      </c>
      <c r="Q295" s="1">
        <v>-0.52521061000000002</v>
      </c>
      <c r="R295" s="1">
        <v>-0.59201190000000004</v>
      </c>
      <c r="S295" s="1">
        <v>-0.52867143999999999</v>
      </c>
      <c r="T295" s="1">
        <v>-0.54040798000000001</v>
      </c>
      <c r="U295" s="1">
        <v>-0.60408055900000002</v>
      </c>
    </row>
    <row r="296" spans="1:21" x14ac:dyDescent="0.25">
      <c r="A296" t="s">
        <v>799</v>
      </c>
      <c r="B296" t="s">
        <v>800</v>
      </c>
      <c r="C296" s="1">
        <v>-0.40388543999999998</v>
      </c>
      <c r="D296" s="110">
        <v>-0.51384770000000002</v>
      </c>
      <c r="E296" s="1">
        <v>-0.60144240000000004</v>
      </c>
      <c r="F296" s="1">
        <v>-0.67958549999999995</v>
      </c>
      <c r="G296" s="1">
        <v>-0.28667654999999997</v>
      </c>
      <c r="H296" s="1">
        <v>-0.47895700000000002</v>
      </c>
      <c r="I296" s="1">
        <v>-0.57808117999999997</v>
      </c>
      <c r="J296" s="1">
        <v>-0.52630237000000002</v>
      </c>
      <c r="K296" s="1">
        <v>-0.61547876000000001</v>
      </c>
      <c r="L296" s="1">
        <v>-0.69064530000000002</v>
      </c>
      <c r="M296" s="1">
        <v>-0.29691225500000001</v>
      </c>
      <c r="N296" s="1">
        <v>-0.49193246299999999</v>
      </c>
      <c r="O296" s="1">
        <v>-0.58711855800000001</v>
      </c>
      <c r="P296" s="1">
        <v>-0.53488225</v>
      </c>
      <c r="Q296" s="1">
        <v>-0.62371670000000001</v>
      </c>
      <c r="R296" s="1">
        <v>-0.69805349999999999</v>
      </c>
      <c r="S296" s="1">
        <v>-0.30396351500000002</v>
      </c>
      <c r="T296" s="1">
        <v>-0.49954774000000002</v>
      </c>
      <c r="U296" s="1">
        <v>-0.59317207599999999</v>
      </c>
    </row>
    <row r="297" spans="1:21" x14ac:dyDescent="0.25">
      <c r="A297" t="s">
        <v>802</v>
      </c>
      <c r="B297" t="s">
        <v>803</v>
      </c>
      <c r="C297" s="1">
        <v>-0.45049956000000002</v>
      </c>
      <c r="D297" s="110">
        <v>-0.56298890000000001</v>
      </c>
      <c r="E297" s="1">
        <v>-0.66000460000000005</v>
      </c>
      <c r="F297" s="1">
        <v>-0.73093609999999998</v>
      </c>
      <c r="G297" s="1">
        <v>-0.46745191000000003</v>
      </c>
      <c r="H297" s="1">
        <v>-0.66785715999999995</v>
      </c>
      <c r="I297" s="1">
        <v>-0.74703036</v>
      </c>
      <c r="J297" s="1">
        <v>-0.44246478</v>
      </c>
      <c r="K297" s="1">
        <v>-0.54002488000000004</v>
      </c>
      <c r="L297" s="1">
        <v>-0.62092060000000004</v>
      </c>
      <c r="M297" s="1">
        <v>-0.36840082600000001</v>
      </c>
      <c r="N297" s="1">
        <v>-0.55694605399999997</v>
      </c>
      <c r="O297" s="1">
        <v>-0.65713244800000004</v>
      </c>
      <c r="P297" s="1">
        <v>-0.50551497000000001</v>
      </c>
      <c r="Q297" s="1">
        <v>-0.59697723000000003</v>
      </c>
      <c r="R297" s="1">
        <v>-0.67368879999999998</v>
      </c>
      <c r="S297" s="1">
        <v>-0.42021774499999998</v>
      </c>
      <c r="T297" s="1">
        <v>-0.60959368000000003</v>
      </c>
      <c r="U297" s="1">
        <v>-0.70025138200000003</v>
      </c>
    </row>
    <row r="298" spans="1:21" x14ac:dyDescent="0.25">
      <c r="A298" t="s">
        <v>805</v>
      </c>
      <c r="B298" t="s">
        <v>806</v>
      </c>
      <c r="C298" s="1">
        <v>-0.37386153</v>
      </c>
      <c r="D298" s="110">
        <v>-0.49115049999999999</v>
      </c>
      <c r="E298" s="1">
        <v>-0.53181710000000004</v>
      </c>
      <c r="F298" s="1">
        <v>-0.55999849999999995</v>
      </c>
      <c r="G298" s="1">
        <v>-0.38337395000000002</v>
      </c>
      <c r="H298" s="1">
        <v>-0.54393599999999998</v>
      </c>
      <c r="I298" s="1">
        <v>-0.49430154999999998</v>
      </c>
      <c r="J298" s="1">
        <v>-0.38084066</v>
      </c>
      <c r="K298" s="1">
        <v>-0.42608456</v>
      </c>
      <c r="L298" s="1">
        <v>-0.45853739999999998</v>
      </c>
      <c r="M298" s="1">
        <v>-0.292717375</v>
      </c>
      <c r="N298" s="1">
        <v>-0.446195234</v>
      </c>
      <c r="O298" s="1">
        <v>-0.41139372899999999</v>
      </c>
      <c r="P298" s="1">
        <v>-0.40456940000000002</v>
      </c>
      <c r="Q298" s="1">
        <v>-0.43674727000000002</v>
      </c>
      <c r="R298" s="1">
        <v>-0.47337400000000002</v>
      </c>
      <c r="S298" s="1">
        <v>-0.31221851299999998</v>
      </c>
      <c r="T298" s="1">
        <v>-0.45605201000000001</v>
      </c>
      <c r="U298" s="1">
        <v>-0.42351733899999999</v>
      </c>
    </row>
    <row r="299" spans="1:21" x14ac:dyDescent="0.25">
      <c r="A299" t="s">
        <v>808</v>
      </c>
      <c r="B299" t="s">
        <v>809</v>
      </c>
      <c r="C299" s="1">
        <v>-0.57455179999999995</v>
      </c>
      <c r="D299" s="110">
        <v>-0.63784770000000002</v>
      </c>
      <c r="E299" s="1">
        <v>-0.70050089999999998</v>
      </c>
      <c r="F299" s="1">
        <v>-0.78157169999999998</v>
      </c>
      <c r="G299" s="1">
        <v>-0.61396132000000003</v>
      </c>
      <c r="H299" s="1">
        <v>-0.72403262000000002</v>
      </c>
      <c r="I299" s="1">
        <v>-0.78619501000000003</v>
      </c>
      <c r="J299" s="1">
        <v>-0.54911699000000003</v>
      </c>
      <c r="K299" s="1">
        <v>-0.61561745000000001</v>
      </c>
      <c r="L299" s="1">
        <v>-0.69992739999999998</v>
      </c>
      <c r="M299" s="1">
        <v>-0.54103923499999995</v>
      </c>
      <c r="N299" s="1">
        <v>-0.64556509299999998</v>
      </c>
      <c r="O299" s="1">
        <v>-0.71948035300000002</v>
      </c>
      <c r="P299" s="1">
        <v>-0.53226428000000003</v>
      </c>
      <c r="Q299" s="1">
        <v>-0.58550561000000001</v>
      </c>
      <c r="R299" s="1">
        <v>-0.67888040000000005</v>
      </c>
      <c r="S299" s="1">
        <v>-0.52718907199999998</v>
      </c>
      <c r="T299" s="1">
        <v>-0.61772925000000001</v>
      </c>
      <c r="U299" s="1">
        <v>-0.702281987</v>
      </c>
    </row>
    <row r="300" spans="1:21" x14ac:dyDescent="0.25">
      <c r="A300" t="s">
        <v>1164</v>
      </c>
      <c r="B300" t="s">
        <v>1165</v>
      </c>
      <c r="C300" s="1">
        <v>-1.2816251000000001</v>
      </c>
      <c r="D300" s="110">
        <v>-1.3444004000000001</v>
      </c>
      <c r="E300" s="1">
        <v>-1.4400546000000001</v>
      </c>
      <c r="F300" s="1">
        <v>-1.232486</v>
      </c>
      <c r="G300" s="1">
        <v>-1.2864101400000001</v>
      </c>
      <c r="H300" s="1">
        <v>-1.8420586400000001</v>
      </c>
      <c r="I300" s="1">
        <v>-0.82308621999999998</v>
      </c>
      <c r="J300" s="1">
        <v>-1.27325307</v>
      </c>
      <c r="K300" s="1">
        <v>-1.35340109</v>
      </c>
      <c r="L300" s="1">
        <v>-1.1705274999999999</v>
      </c>
      <c r="M300" s="1">
        <v>-1.227938703</v>
      </c>
      <c r="N300" s="1">
        <v>-1.7619548030000001</v>
      </c>
      <c r="O300" s="1">
        <v>-0.77245752700000003</v>
      </c>
      <c r="P300" s="1">
        <v>-1.33271563</v>
      </c>
      <c r="Q300" s="1">
        <v>-1.4305523200000001</v>
      </c>
      <c r="R300" s="1">
        <v>-1.2312228000000001</v>
      </c>
      <c r="S300" s="1">
        <v>-1.2768071750000001</v>
      </c>
      <c r="T300" s="1">
        <v>-1.8332745800000001</v>
      </c>
      <c r="U300" s="1">
        <v>-0.82205399099999998</v>
      </c>
    </row>
    <row r="301" spans="1:21" x14ac:dyDescent="0.25">
      <c r="A301" t="s">
        <v>1279</v>
      </c>
      <c r="B301" t="s">
        <v>1280</v>
      </c>
      <c r="C301" s="1">
        <v>-1.34432262</v>
      </c>
      <c r="D301" s="110">
        <v>-1.3385406</v>
      </c>
      <c r="E301" s="1">
        <v>-1.4493465000000001</v>
      </c>
      <c r="F301" s="1">
        <v>-1.0809522</v>
      </c>
      <c r="G301" s="1">
        <v>-1.49561403</v>
      </c>
      <c r="H301" s="1">
        <v>-1.77211637</v>
      </c>
      <c r="I301" s="1">
        <v>-0.94044720999999998</v>
      </c>
      <c r="J301" s="1">
        <v>-1.19441474</v>
      </c>
      <c r="K301" s="1">
        <v>-1.28423311</v>
      </c>
      <c r="L301" s="1">
        <v>-0.95347440000000006</v>
      </c>
      <c r="M301" s="1">
        <v>-1.377166235</v>
      </c>
      <c r="N301" s="1">
        <v>-1.6194830309999999</v>
      </c>
      <c r="O301" s="1">
        <v>-0.83628014299999998</v>
      </c>
      <c r="P301" s="1">
        <v>-1.2375719199999999</v>
      </c>
      <c r="Q301" s="1">
        <v>-1.34476957</v>
      </c>
      <c r="R301" s="1">
        <v>-0.99964370000000002</v>
      </c>
      <c r="S301" s="1">
        <v>-1.412634366</v>
      </c>
      <c r="T301" s="1">
        <v>-1.6754438700000001</v>
      </c>
      <c r="U301" s="1">
        <v>-0.87400689899999995</v>
      </c>
    </row>
    <row r="302" spans="1:21" x14ac:dyDescent="0.25">
      <c r="A302" t="s">
        <v>1282</v>
      </c>
      <c r="B302" t="s">
        <v>1281</v>
      </c>
      <c r="C302" s="1">
        <v>-1.1223999899999999</v>
      </c>
      <c r="D302" s="110">
        <v>-0.91872069999999995</v>
      </c>
      <c r="E302" s="1">
        <v>-1.1035473</v>
      </c>
      <c r="F302" s="1">
        <v>-0.87735220000000003</v>
      </c>
      <c r="G302" s="1">
        <v>-1.17960737</v>
      </c>
      <c r="H302" s="1">
        <v>-1.20557665</v>
      </c>
      <c r="I302" s="1">
        <v>-0.99805856000000004</v>
      </c>
      <c r="J302" s="1">
        <v>-1.0148846199999999</v>
      </c>
      <c r="K302" s="1">
        <v>-1.1975715899999999</v>
      </c>
      <c r="L302" s="1">
        <v>-0.96545309999999995</v>
      </c>
      <c r="M302" s="1">
        <v>-1.2586383219999999</v>
      </c>
      <c r="N302" s="1">
        <v>-1.2924941350000001</v>
      </c>
      <c r="O302" s="1">
        <v>-1.0700491999999999</v>
      </c>
      <c r="P302" s="1">
        <v>-1.1130731</v>
      </c>
      <c r="Q302" s="1">
        <v>-1.31325683</v>
      </c>
      <c r="R302" s="1">
        <v>-1.0602159</v>
      </c>
      <c r="S302" s="1">
        <v>-1.3393331559999999</v>
      </c>
      <c r="T302" s="1">
        <v>-1.3994353500000001</v>
      </c>
      <c r="U302" s="1">
        <v>-1.147483601</v>
      </c>
    </row>
    <row r="303" spans="1:21" x14ac:dyDescent="0.25">
      <c r="A303" t="s">
        <v>1169</v>
      </c>
      <c r="B303" t="s">
        <v>1170</v>
      </c>
      <c r="C303" s="1">
        <v>-1.34464373</v>
      </c>
      <c r="D303" s="110">
        <v>-1.4719522</v>
      </c>
      <c r="E303" s="1">
        <v>-1.6330439000000001</v>
      </c>
      <c r="F303" s="1">
        <v>-1.4227468999999999</v>
      </c>
      <c r="G303" s="1">
        <v>-1.58173202</v>
      </c>
      <c r="H303" s="1">
        <v>-1.8943218799999999</v>
      </c>
      <c r="I303" s="1">
        <v>-1.25102874</v>
      </c>
      <c r="J303" s="1">
        <v>-1.1562112200000001</v>
      </c>
      <c r="K303" s="1">
        <v>-1.3018197600000001</v>
      </c>
      <c r="L303" s="1">
        <v>-1.1377252</v>
      </c>
      <c r="M303" s="1">
        <v>-1.3222446729999999</v>
      </c>
      <c r="N303" s="1">
        <v>-1.588133169</v>
      </c>
      <c r="O303" s="1">
        <v>-1.0181264750000001</v>
      </c>
      <c r="P303" s="1">
        <v>-1.0646635200000001</v>
      </c>
      <c r="Q303" s="1">
        <v>-1.1971937800000001</v>
      </c>
      <c r="R303" s="1">
        <v>-1.0508799</v>
      </c>
      <c r="S303" s="1">
        <v>-1.2470074769999999</v>
      </c>
      <c r="T303" s="1">
        <v>-1.4914153000000001</v>
      </c>
      <c r="U303" s="1">
        <v>-0.947161857</v>
      </c>
    </row>
    <row r="304" spans="1:21" x14ac:dyDescent="0.25">
      <c r="A304" t="s">
        <v>1346</v>
      </c>
      <c r="B304" t="s">
        <v>1347</v>
      </c>
      <c r="C304" s="1">
        <v>-1.20280125</v>
      </c>
      <c r="D304" s="110">
        <v>-1.2636121</v>
      </c>
      <c r="E304" s="1">
        <v>-1.3213636</v>
      </c>
      <c r="F304" s="1">
        <v>-1.1358519</v>
      </c>
      <c r="G304" s="1">
        <v>-1.1192032300000001</v>
      </c>
      <c r="H304" s="1">
        <v>-1.1639350900000001</v>
      </c>
      <c r="I304" s="1">
        <v>-0.73566816000000002</v>
      </c>
      <c r="J304" s="1">
        <v>-1.2919955400000001</v>
      </c>
      <c r="K304" s="1">
        <v>-1.34531176</v>
      </c>
      <c r="L304" s="1">
        <v>-1.1625729</v>
      </c>
      <c r="M304" s="1">
        <v>-1.1425297569999999</v>
      </c>
      <c r="N304" s="1">
        <v>-1.186073122</v>
      </c>
      <c r="O304" s="1">
        <v>-0.757502958</v>
      </c>
      <c r="P304" s="1">
        <v>-1.2782377899999999</v>
      </c>
      <c r="Q304" s="1">
        <v>-1.3384320199999999</v>
      </c>
      <c r="R304" s="1">
        <v>-1.1536454</v>
      </c>
      <c r="S304" s="1">
        <v>-1.131223146</v>
      </c>
      <c r="T304" s="1">
        <v>-1.1797133799999999</v>
      </c>
      <c r="U304" s="1">
        <v>-0.75020798399999999</v>
      </c>
    </row>
    <row r="305" spans="1:21" x14ac:dyDescent="0.25">
      <c r="A305" t="s">
        <v>1349</v>
      </c>
      <c r="B305" t="s">
        <v>1350</v>
      </c>
      <c r="C305" s="1">
        <v>-1.30342041</v>
      </c>
      <c r="D305" s="110">
        <v>-1.3434140999999999</v>
      </c>
      <c r="E305" s="1">
        <v>-1.3973614999999999</v>
      </c>
      <c r="F305" s="1">
        <v>-1.2230915</v>
      </c>
      <c r="G305" s="1">
        <v>-1.3626672399999999</v>
      </c>
      <c r="H305" s="1">
        <v>-1.3975284299999999</v>
      </c>
      <c r="I305" s="1">
        <v>-0.98588372000000002</v>
      </c>
      <c r="J305" s="1">
        <v>-1.2547454600000001</v>
      </c>
      <c r="K305" s="1">
        <v>-1.3003385000000001</v>
      </c>
      <c r="L305" s="1">
        <v>-1.1438052999999999</v>
      </c>
      <c r="M305" s="1">
        <v>-1.2897961360000001</v>
      </c>
      <c r="N305" s="1">
        <v>-1.307838906</v>
      </c>
      <c r="O305" s="1">
        <v>-0.92109590799999996</v>
      </c>
      <c r="P305" s="1">
        <v>-1.2618203100000001</v>
      </c>
      <c r="Q305" s="1">
        <v>-1.3110504300000001</v>
      </c>
      <c r="R305" s="1">
        <v>-1.1517413999999999</v>
      </c>
      <c r="S305" s="1">
        <v>-1.2956105</v>
      </c>
      <c r="T305" s="1">
        <v>-1.3177411800000001</v>
      </c>
      <c r="U305" s="1">
        <v>-0.92758080399999998</v>
      </c>
    </row>
    <row r="306" spans="1:21" x14ac:dyDescent="0.25">
      <c r="A306" t="s">
        <v>1351</v>
      </c>
      <c r="B306" t="s">
        <v>1352</v>
      </c>
      <c r="C306" s="1">
        <v>-0.93772370999999999</v>
      </c>
      <c r="D306" s="110">
        <v>-1.1961432999999999</v>
      </c>
      <c r="E306" s="1">
        <v>-1.2118574</v>
      </c>
      <c r="F306" s="1">
        <v>-1.1019871999999999</v>
      </c>
      <c r="G306" s="1">
        <v>-0.89466637000000004</v>
      </c>
      <c r="H306" s="1">
        <v>-0.74366052000000005</v>
      </c>
      <c r="I306" s="1">
        <v>-0.38337623999999998</v>
      </c>
      <c r="J306" s="1">
        <v>-1.0294745999999999</v>
      </c>
      <c r="K306" s="1">
        <v>-1.0360503400000001</v>
      </c>
      <c r="L306" s="1">
        <v>-0.95171620000000001</v>
      </c>
      <c r="M306" s="1">
        <v>-0.75769203100000004</v>
      </c>
      <c r="N306" s="1">
        <v>-0.581141727</v>
      </c>
      <c r="O306" s="1">
        <v>-0.26058403200000002</v>
      </c>
      <c r="P306" s="1">
        <v>-1.01784743</v>
      </c>
      <c r="Q306" s="1">
        <v>-1.0213187800000001</v>
      </c>
      <c r="R306" s="1">
        <v>-0.94001330000000005</v>
      </c>
      <c r="S306" s="1">
        <v>-0.74813640599999998</v>
      </c>
      <c r="T306" s="1">
        <v>-0.56752364</v>
      </c>
      <c r="U306" s="1">
        <v>-0.251021094</v>
      </c>
    </row>
    <row r="307" spans="1:21" x14ac:dyDescent="0.25">
      <c r="A307" t="s">
        <v>1353</v>
      </c>
      <c r="B307" t="s">
        <v>1171</v>
      </c>
      <c r="C307" s="1">
        <v>-1.0329611400000001</v>
      </c>
      <c r="D307" s="110">
        <v>-1.2863197</v>
      </c>
      <c r="E307" s="1">
        <v>-1.3627828</v>
      </c>
      <c r="F307" s="1">
        <v>-1.0398627</v>
      </c>
      <c r="G307" s="1">
        <v>-0.81930384999999994</v>
      </c>
      <c r="H307" s="1">
        <v>-1.0822323199999999</v>
      </c>
      <c r="I307" s="1">
        <v>-0.4074219</v>
      </c>
      <c r="J307" s="1">
        <v>-1.2734394200000001</v>
      </c>
      <c r="K307" s="1">
        <v>-1.3461563400000001</v>
      </c>
      <c r="L307" s="1">
        <v>-1.028823</v>
      </c>
      <c r="M307" s="1">
        <v>-0.80871837800000002</v>
      </c>
      <c r="N307" s="1">
        <v>-1.066862588</v>
      </c>
      <c r="O307" s="1">
        <v>-0.39840097099999999</v>
      </c>
      <c r="P307" s="1">
        <v>-1.2752769399999999</v>
      </c>
      <c r="Q307" s="1">
        <v>-1.35173403</v>
      </c>
      <c r="R307" s="1">
        <v>-1.0321878</v>
      </c>
      <c r="S307" s="1">
        <v>-0.81022852400000001</v>
      </c>
      <c r="T307" s="1">
        <v>-1.0720186899999999</v>
      </c>
      <c r="U307" s="1">
        <v>-0.401150432</v>
      </c>
    </row>
    <row r="308" spans="1:21" x14ac:dyDescent="0.25">
      <c r="A308" t="s">
        <v>1355</v>
      </c>
      <c r="B308" t="s">
        <v>1356</v>
      </c>
      <c r="C308" s="1">
        <v>-1.5932264700000001</v>
      </c>
      <c r="D308" s="110">
        <v>-1.638366</v>
      </c>
      <c r="E308" s="1">
        <v>-1.6441359</v>
      </c>
      <c r="F308" s="1">
        <v>-1.3704750999999999</v>
      </c>
      <c r="G308" s="1">
        <v>-1.7765788899999999</v>
      </c>
      <c r="H308" s="1">
        <v>-1.60469912</v>
      </c>
      <c r="I308" s="1">
        <v>-0.91203774000000004</v>
      </c>
      <c r="J308" s="1">
        <v>-1.4450991900000001</v>
      </c>
      <c r="K308" s="1">
        <v>-1.44262421</v>
      </c>
      <c r="L308" s="1">
        <v>-1.1957792</v>
      </c>
      <c r="M308" s="1">
        <v>-1.617745244</v>
      </c>
      <c r="N308" s="1">
        <v>-1.418418569</v>
      </c>
      <c r="O308" s="1">
        <v>-0.76928702500000001</v>
      </c>
      <c r="P308" s="1">
        <v>-1.38057633</v>
      </c>
      <c r="Q308" s="1">
        <v>-1.36796053</v>
      </c>
      <c r="R308" s="1">
        <v>-1.1341401</v>
      </c>
      <c r="S308" s="1">
        <v>-1.564718032</v>
      </c>
      <c r="T308" s="1">
        <v>-1.3493983199999999</v>
      </c>
      <c r="U308" s="1">
        <v>-0.71891935200000001</v>
      </c>
    </row>
    <row r="309" spans="1:21" x14ac:dyDescent="0.25">
      <c r="A309" t="s">
        <v>1357</v>
      </c>
      <c r="B309" t="s">
        <v>1358</v>
      </c>
      <c r="C309" s="1">
        <v>-0.92622722999999996</v>
      </c>
      <c r="D309" s="110">
        <v>-1.046691</v>
      </c>
      <c r="E309" s="1">
        <v>-1.1109593</v>
      </c>
      <c r="F309" s="1">
        <v>-1.0083708</v>
      </c>
      <c r="G309" s="1">
        <v>-0.83616884000000002</v>
      </c>
      <c r="H309" s="1">
        <v>-0.92800444999999998</v>
      </c>
      <c r="I309" s="1">
        <v>-0.56626244999999997</v>
      </c>
      <c r="J309" s="1">
        <v>-1.03008627</v>
      </c>
      <c r="K309" s="1">
        <v>-1.09245824</v>
      </c>
      <c r="L309" s="1">
        <v>-0.99358570000000002</v>
      </c>
      <c r="M309" s="1">
        <v>-0.82252249600000005</v>
      </c>
      <c r="N309" s="1">
        <v>-0.91090183000000002</v>
      </c>
      <c r="O309" s="1">
        <v>-0.55418098199999999</v>
      </c>
      <c r="P309" s="1">
        <v>-1.0259969</v>
      </c>
      <c r="Q309" s="1">
        <v>-1.08908019</v>
      </c>
      <c r="R309" s="1">
        <v>-0.99031040000000004</v>
      </c>
      <c r="S309" s="1">
        <v>-0.81916170899999996</v>
      </c>
      <c r="T309" s="1">
        <v>-0.90777909999999995</v>
      </c>
      <c r="U309" s="1">
        <v>-0.55150466600000003</v>
      </c>
    </row>
    <row r="310" spans="1:21" x14ac:dyDescent="0.25">
      <c r="A310" t="s">
        <v>1359</v>
      </c>
      <c r="B310" t="s">
        <v>1360</v>
      </c>
      <c r="C310" s="1">
        <v>-1.0502669099999999</v>
      </c>
      <c r="D310" s="110">
        <v>-1.0036038</v>
      </c>
      <c r="E310" s="1">
        <v>-1.0789909</v>
      </c>
      <c r="F310" s="1">
        <v>-1.0208766</v>
      </c>
      <c r="G310" s="1">
        <v>-0.94112980999999996</v>
      </c>
      <c r="H310" s="1">
        <v>-1.0593283200000001</v>
      </c>
      <c r="I310" s="1">
        <v>-0.78856731999999996</v>
      </c>
      <c r="J310" s="1">
        <v>-1.13677586</v>
      </c>
      <c r="K310" s="1">
        <v>-1.2157570200000001</v>
      </c>
      <c r="L310" s="1">
        <v>-1.1416459000000001</v>
      </c>
      <c r="M310" s="1">
        <v>-1.0505754279999999</v>
      </c>
      <c r="N310" s="1">
        <v>-1.1857570690000001</v>
      </c>
      <c r="O310" s="1">
        <v>-0.88725255800000002</v>
      </c>
      <c r="P310" s="1">
        <v>-1.15267885</v>
      </c>
      <c r="Q310" s="1">
        <v>-1.23922665</v>
      </c>
      <c r="R310" s="1">
        <v>-1.1592009000000001</v>
      </c>
      <c r="S310" s="1">
        <v>-1.063645078</v>
      </c>
      <c r="T310" s="1">
        <v>-1.2074527500000001</v>
      </c>
      <c r="U310" s="1">
        <v>-0.90159744900000005</v>
      </c>
    </row>
    <row r="311" spans="1:21" x14ac:dyDescent="0.25">
      <c r="A311" t="s">
        <v>1361</v>
      </c>
      <c r="B311" t="s">
        <v>1172</v>
      </c>
      <c r="C311" s="1">
        <v>-1.0022390999999999</v>
      </c>
      <c r="D311" s="110">
        <v>-1.2403766000000001</v>
      </c>
      <c r="E311" s="1">
        <v>-1.3102035000000001</v>
      </c>
      <c r="F311" s="1">
        <v>-1.115138</v>
      </c>
      <c r="G311" s="1">
        <v>-0.80478329999999998</v>
      </c>
      <c r="H311" s="1">
        <v>-1.15757519</v>
      </c>
      <c r="I311" s="1">
        <v>-0.64656035000000001</v>
      </c>
      <c r="J311" s="1">
        <v>-1.22387822</v>
      </c>
      <c r="K311" s="1">
        <v>-1.2898286400000001</v>
      </c>
      <c r="L311" s="1">
        <v>-1.1008233999999999</v>
      </c>
      <c r="M311" s="1">
        <v>-0.79122436799999996</v>
      </c>
      <c r="N311" s="1">
        <v>-1.138740329</v>
      </c>
      <c r="O311" s="1">
        <v>-0.63486335500000002</v>
      </c>
      <c r="P311" s="1">
        <v>-1.2218865800000001</v>
      </c>
      <c r="Q311" s="1">
        <v>-1.291172</v>
      </c>
      <c r="R311" s="1">
        <v>-1.1006218000000001</v>
      </c>
      <c r="S311" s="1">
        <v>-0.78958756299999999</v>
      </c>
      <c r="T311" s="1">
        <v>-1.13998215</v>
      </c>
      <c r="U311" s="1">
        <v>-0.63469863199999998</v>
      </c>
    </row>
    <row r="312" spans="1:21" x14ac:dyDescent="0.25">
      <c r="A312" t="s">
        <v>1364</v>
      </c>
      <c r="B312" t="s">
        <v>1365</v>
      </c>
      <c r="C312" s="1">
        <v>-1.4415874</v>
      </c>
      <c r="D312" s="110">
        <v>-1.4312919</v>
      </c>
      <c r="E312" s="1">
        <v>-1.4659907000000001</v>
      </c>
      <c r="F312" s="1">
        <v>-1.244664</v>
      </c>
      <c r="G312" s="1">
        <v>-1.5361844499999999</v>
      </c>
      <c r="H312" s="1">
        <v>-1.58707837</v>
      </c>
      <c r="I312" s="1">
        <v>-1.09808076</v>
      </c>
      <c r="J312" s="1">
        <v>-1.3563533999999999</v>
      </c>
      <c r="K312" s="1">
        <v>-1.38754518</v>
      </c>
      <c r="L312" s="1">
        <v>-1.1769848000000001</v>
      </c>
      <c r="M312" s="1">
        <v>-1.4745972679999999</v>
      </c>
      <c r="N312" s="1">
        <v>-1.514562089</v>
      </c>
      <c r="O312" s="1">
        <v>-1.042777477</v>
      </c>
      <c r="P312" s="1">
        <v>-1.32648952</v>
      </c>
      <c r="Q312" s="1">
        <v>-1.35379264</v>
      </c>
      <c r="R312" s="1">
        <v>-1.1488309000000001</v>
      </c>
      <c r="S312" s="1">
        <v>-1.4500540580000001</v>
      </c>
      <c r="T312" s="1">
        <v>-1.4833607200000001</v>
      </c>
      <c r="U312" s="1">
        <v>-1.0197719119999999</v>
      </c>
    </row>
    <row r="313" spans="1:21" x14ac:dyDescent="0.25">
      <c r="A313" t="s">
        <v>1366</v>
      </c>
      <c r="B313" t="s">
        <v>1173</v>
      </c>
      <c r="C313" s="1">
        <v>-1.2673528599999999</v>
      </c>
      <c r="D313" s="110">
        <v>-1.3628823000000001</v>
      </c>
      <c r="E313" s="1">
        <v>-1.4093452</v>
      </c>
      <c r="F313" s="1">
        <v>-1.2659</v>
      </c>
      <c r="G313" s="1">
        <v>-1.3155969000000001</v>
      </c>
      <c r="H313" s="1">
        <v>-1.2212046400000001</v>
      </c>
      <c r="I313" s="1">
        <v>-0.90975331000000004</v>
      </c>
      <c r="J313" s="1">
        <v>-1.2328361000000001</v>
      </c>
      <c r="K313" s="1">
        <v>-1.27195496</v>
      </c>
      <c r="L313" s="1">
        <v>-1.1486886999999999</v>
      </c>
      <c r="M313" s="1">
        <v>-1.2087202379999999</v>
      </c>
      <c r="N313" s="1">
        <v>-1.0941990049999999</v>
      </c>
      <c r="O313" s="1">
        <v>-0.81397543699999997</v>
      </c>
      <c r="P313" s="1">
        <v>-1.29969717</v>
      </c>
      <c r="Q313" s="1">
        <v>-1.34203282</v>
      </c>
      <c r="R313" s="1">
        <v>-1.2091616000000001</v>
      </c>
      <c r="S313" s="1">
        <v>-1.2636690719999999</v>
      </c>
      <c r="T313" s="1">
        <v>-1.15898006</v>
      </c>
      <c r="U313" s="1">
        <v>-0.86339010699999996</v>
      </c>
    </row>
    <row r="314" spans="1:21" x14ac:dyDescent="0.25">
      <c r="A314" t="s">
        <v>1362</v>
      </c>
      <c r="B314" t="s">
        <v>1363</v>
      </c>
      <c r="C314" s="1">
        <v>-1.3204264100000001</v>
      </c>
      <c r="D314" s="110">
        <v>-1.2890767000000001</v>
      </c>
      <c r="E314" s="1">
        <v>-1.3564453999999999</v>
      </c>
      <c r="F314" s="1">
        <v>-1.0943489</v>
      </c>
      <c r="G314" s="1">
        <v>-1.4880447299999999</v>
      </c>
      <c r="H314" s="1">
        <v>-1.58972125</v>
      </c>
      <c r="I314" s="1">
        <v>-0.90640456000000003</v>
      </c>
      <c r="J314" s="1">
        <v>-1.1644497700000001</v>
      </c>
      <c r="K314" s="1">
        <v>-1.22585908</v>
      </c>
      <c r="L314" s="1">
        <v>-0.98181859999999999</v>
      </c>
      <c r="M314" s="1">
        <v>-1.3856218229999999</v>
      </c>
      <c r="N314" s="1">
        <v>-1.4690052170000001</v>
      </c>
      <c r="O314" s="1">
        <v>-0.81445169699999997</v>
      </c>
      <c r="P314" s="1">
        <v>-1.12301322</v>
      </c>
      <c r="Q314" s="1">
        <v>-1.17869595</v>
      </c>
      <c r="R314" s="1">
        <v>-0.9426004</v>
      </c>
      <c r="S314" s="1">
        <v>-1.3515677740000001</v>
      </c>
      <c r="T314" s="1">
        <v>-1.4254068900000001</v>
      </c>
      <c r="U314" s="1">
        <v>-0.78240502700000003</v>
      </c>
    </row>
    <row r="315" spans="1:21" x14ac:dyDescent="0.25">
      <c r="A315" t="s">
        <v>1370</v>
      </c>
      <c r="B315" t="s">
        <v>1371</v>
      </c>
      <c r="C315" s="1">
        <v>-1.4100456800000001</v>
      </c>
      <c r="D315" s="110">
        <v>-1.4030704000000001</v>
      </c>
      <c r="E315" s="1">
        <v>-1.4129505</v>
      </c>
      <c r="F315" s="1">
        <v>-1.1744078</v>
      </c>
      <c r="G315" s="1">
        <v>-1.5162285200000001</v>
      </c>
      <c r="H315" s="1">
        <v>-1.34919824</v>
      </c>
      <c r="I315" s="1">
        <v>-0.72265957000000003</v>
      </c>
      <c r="J315" s="1">
        <v>-1.32067541</v>
      </c>
      <c r="K315" s="1">
        <v>-1.3264148</v>
      </c>
      <c r="L315" s="1">
        <v>-1.1000482</v>
      </c>
      <c r="M315" s="1">
        <v>-1.4485133800000001</v>
      </c>
      <c r="N315" s="1">
        <v>-1.2692033220000001</v>
      </c>
      <c r="O315" s="1">
        <v>-0.66189746400000005</v>
      </c>
      <c r="P315" s="1">
        <v>-1.27161155</v>
      </c>
      <c r="Q315" s="1">
        <v>-1.2722817</v>
      </c>
      <c r="R315" s="1">
        <v>-1.0544091</v>
      </c>
      <c r="S315" s="1">
        <v>-1.4081909269999999</v>
      </c>
      <c r="T315" s="1">
        <v>-1.2191618500000001</v>
      </c>
      <c r="U315" s="1">
        <v>-0.62460400299999996</v>
      </c>
    </row>
    <row r="316" spans="1:21" x14ac:dyDescent="0.25">
      <c r="A316" t="s">
        <v>1283</v>
      </c>
      <c r="B316" t="s">
        <v>1284</v>
      </c>
      <c r="C316" s="1">
        <v>-1.37274154</v>
      </c>
      <c r="D316" s="110">
        <v>-1.4570061999999999</v>
      </c>
      <c r="E316" s="1">
        <v>-1.6023358000000001</v>
      </c>
      <c r="F316" s="1">
        <v>-1.2658914000000001</v>
      </c>
      <c r="G316" s="1">
        <v>-1.3992819299999999</v>
      </c>
      <c r="H316" s="1">
        <v>-1.7665350200000001</v>
      </c>
      <c r="I316" s="1">
        <v>-1.0299822999999999</v>
      </c>
      <c r="J316" s="1">
        <v>-1.35827052</v>
      </c>
      <c r="K316" s="1">
        <v>-1.4908763</v>
      </c>
      <c r="L316" s="1">
        <v>-1.1782486999999999</v>
      </c>
      <c r="M316" s="1">
        <v>-1.3181373759999999</v>
      </c>
      <c r="N316" s="1">
        <v>-1.663500142</v>
      </c>
      <c r="O316" s="1">
        <v>-0.95836604000000003</v>
      </c>
      <c r="P316" s="1">
        <v>-1.3565051299999999</v>
      </c>
      <c r="Q316" s="1">
        <v>-1.4967396500000001</v>
      </c>
      <c r="R316" s="1">
        <v>-1.1802488</v>
      </c>
      <c r="S316" s="1">
        <v>-1.31668651</v>
      </c>
      <c r="T316" s="1">
        <v>-1.6689203100000001</v>
      </c>
      <c r="U316" s="1">
        <v>-0.96000040099999995</v>
      </c>
    </row>
    <row r="317" spans="1:21" x14ac:dyDescent="0.25">
      <c r="A317" t="s">
        <v>1285</v>
      </c>
      <c r="B317" t="s">
        <v>1286</v>
      </c>
      <c r="C317" s="1">
        <v>-1.5462301700000001</v>
      </c>
      <c r="D317" s="110">
        <v>-1.5616957</v>
      </c>
      <c r="E317" s="1">
        <v>-1.6908582999999999</v>
      </c>
      <c r="F317" s="1">
        <v>-1.2836719000000001</v>
      </c>
      <c r="G317" s="1">
        <v>-1.6209104400000001</v>
      </c>
      <c r="H317" s="1">
        <v>-1.7444359</v>
      </c>
      <c r="I317" s="1">
        <v>-0.79536971000000001</v>
      </c>
      <c r="J317" s="1">
        <v>-1.47655771</v>
      </c>
      <c r="K317" s="1">
        <v>-1.59367942</v>
      </c>
      <c r="L317" s="1">
        <v>-1.2083010000000001</v>
      </c>
      <c r="M317" s="1">
        <v>-1.550941012</v>
      </c>
      <c r="N317" s="1">
        <v>-1.6546022220000001</v>
      </c>
      <c r="O317" s="1">
        <v>-0.73378118999999997</v>
      </c>
      <c r="P317" s="1">
        <v>-1.48773197</v>
      </c>
      <c r="Q317" s="1">
        <v>-1.6136622899999999</v>
      </c>
      <c r="R317" s="1">
        <v>-1.2222643</v>
      </c>
      <c r="S317" s="1">
        <v>-1.560124418</v>
      </c>
      <c r="T317" s="1">
        <v>-1.6730746999999999</v>
      </c>
      <c r="U317" s="1">
        <v>-0.745191151</v>
      </c>
    </row>
    <row r="318" spans="1:21" x14ac:dyDescent="0.25">
      <c r="A318" t="s">
        <v>1287</v>
      </c>
      <c r="B318" t="s">
        <v>1288</v>
      </c>
      <c r="C318" s="1">
        <v>-1.5679068700000001</v>
      </c>
      <c r="D318" s="110">
        <v>-1.4921257000000001</v>
      </c>
      <c r="E318" s="1">
        <v>-1.1605657</v>
      </c>
      <c r="F318" s="1">
        <v>-1.0116111000000001</v>
      </c>
      <c r="G318" s="1">
        <v>-1.7351763499999999</v>
      </c>
      <c r="H318" s="1">
        <v>-0.95615797999999996</v>
      </c>
      <c r="I318" s="1">
        <v>-0.49197234000000001</v>
      </c>
      <c r="J318" s="1">
        <v>-1.40530756</v>
      </c>
      <c r="K318" s="1">
        <v>-1.05987593</v>
      </c>
      <c r="L318" s="1">
        <v>-0.93505320000000003</v>
      </c>
      <c r="M318" s="1">
        <v>-1.6638261130000001</v>
      </c>
      <c r="N318" s="1">
        <v>-0.86307877</v>
      </c>
      <c r="O318" s="1">
        <v>-0.42941394799999999</v>
      </c>
      <c r="P318" s="1">
        <v>-1.5023587700000001</v>
      </c>
      <c r="Q318" s="1">
        <v>-1.1739549499999999</v>
      </c>
      <c r="R318" s="1">
        <v>-1.0285943</v>
      </c>
      <c r="S318" s="1">
        <v>-1.7435863009999999</v>
      </c>
      <c r="T318" s="1">
        <v>-0.96853517</v>
      </c>
      <c r="U318" s="1">
        <v>-0.50585000099999999</v>
      </c>
    </row>
    <row r="319" spans="1:21" x14ac:dyDescent="0.25">
      <c r="A319" t="s">
        <v>1331</v>
      </c>
      <c r="B319" t="s">
        <v>1308</v>
      </c>
      <c r="C319" s="1">
        <v>-1.6648562</v>
      </c>
      <c r="D319" s="110">
        <v>-1.5318641</v>
      </c>
      <c r="E319" s="1">
        <v>-1.5175277</v>
      </c>
      <c r="F319" s="1">
        <v>-1.4525534</v>
      </c>
      <c r="G319" s="1">
        <v>-1.90923211</v>
      </c>
      <c r="H319" s="1">
        <v>-1.62144135</v>
      </c>
      <c r="I319" s="1">
        <v>-1.3084908200000001</v>
      </c>
      <c r="J319" s="1">
        <v>-1.4195605200000001</v>
      </c>
      <c r="K319" s="1">
        <v>-1.39859416</v>
      </c>
      <c r="L319" s="1">
        <v>-1.351388</v>
      </c>
      <c r="M319" s="1">
        <v>-1.8169369879999999</v>
      </c>
      <c r="N319" s="1">
        <v>-1.5114973780000001</v>
      </c>
      <c r="O319" s="1">
        <v>-1.2258246070000001</v>
      </c>
      <c r="P319" s="1">
        <v>-1.4181763599999999</v>
      </c>
      <c r="Q319" s="1">
        <v>-1.39616301</v>
      </c>
      <c r="R319" s="1">
        <v>-1.3496789</v>
      </c>
      <c r="S319" s="1">
        <v>-1.815799441</v>
      </c>
      <c r="T319" s="1">
        <v>-1.5092499800000001</v>
      </c>
      <c r="U319" s="1">
        <v>-1.2244280700000001</v>
      </c>
    </row>
    <row r="320" spans="1:21" x14ac:dyDescent="0.25">
      <c r="A320" t="s">
        <v>1290</v>
      </c>
      <c r="B320" t="s">
        <v>1291</v>
      </c>
      <c r="C320" s="1">
        <v>-1.783175</v>
      </c>
      <c r="D320" s="110">
        <v>-1.5383001000000001</v>
      </c>
      <c r="E320" s="1">
        <v>-1.5725745</v>
      </c>
      <c r="F320" s="1">
        <v>-1.3336759</v>
      </c>
      <c r="G320" s="1">
        <v>-2.0547180900000002</v>
      </c>
      <c r="H320" s="1">
        <v>-2.3204651100000002</v>
      </c>
      <c r="I320" s="1">
        <v>-1.3049296100000001</v>
      </c>
      <c r="J320" s="1">
        <v>-1.4829988700000001</v>
      </c>
      <c r="K320" s="1">
        <v>-1.51116557</v>
      </c>
      <c r="L320" s="1">
        <v>-1.2843956000000001</v>
      </c>
      <c r="M320" s="1">
        <v>-2.0092695489999999</v>
      </c>
      <c r="N320" s="1">
        <v>-2.263697718</v>
      </c>
      <c r="O320" s="1">
        <v>-1.264660782</v>
      </c>
      <c r="P320" s="1">
        <v>-1.4959330399999999</v>
      </c>
      <c r="Q320" s="1">
        <v>-1.52808875</v>
      </c>
      <c r="R320" s="1">
        <v>-1.2976638</v>
      </c>
      <c r="S320" s="1">
        <v>-2.0198993160000001</v>
      </c>
      <c r="T320" s="1">
        <v>-2.2793417699999998</v>
      </c>
      <c r="U320" s="1">
        <v>-1.275502782</v>
      </c>
    </row>
    <row r="321" spans="1:21" x14ac:dyDescent="0.25">
      <c r="A321" t="s">
        <v>1341</v>
      </c>
      <c r="B321" t="s">
        <v>1292</v>
      </c>
      <c r="C321" s="1">
        <v>-1.5292785200000001</v>
      </c>
      <c r="D321" s="110">
        <v>-1.4341249</v>
      </c>
      <c r="E321" s="1">
        <v>-1.4221455000000001</v>
      </c>
      <c r="F321" s="1">
        <v>-1.3397661999999999</v>
      </c>
      <c r="G321" s="1">
        <v>-1.745808</v>
      </c>
      <c r="H321" s="1">
        <v>-1.75598842</v>
      </c>
      <c r="I321" s="1">
        <v>-1.56929159</v>
      </c>
      <c r="J321" s="1">
        <v>-1.3219369999999999</v>
      </c>
      <c r="K321" s="1">
        <v>-1.3013551800000001</v>
      </c>
      <c r="L321" s="1">
        <v>-1.2390783000000001</v>
      </c>
      <c r="M321" s="1">
        <v>-1.653607957</v>
      </c>
      <c r="N321" s="1">
        <v>-1.6443279799999999</v>
      </c>
      <c r="O321" s="1">
        <v>-1.4870156130000001</v>
      </c>
      <c r="P321" s="1">
        <v>-1.25445158</v>
      </c>
      <c r="Q321" s="1">
        <v>-1.2306118699999999</v>
      </c>
      <c r="R321" s="1">
        <v>-1.1780356999999999</v>
      </c>
      <c r="S321" s="1">
        <v>-1.5981460059999999</v>
      </c>
      <c r="T321" s="1">
        <v>-1.57893178</v>
      </c>
      <c r="U321" s="1">
        <v>-1.437135295</v>
      </c>
    </row>
    <row r="322" spans="1:21" x14ac:dyDescent="0.25">
      <c r="A322" t="s">
        <v>1293</v>
      </c>
      <c r="B322" t="s">
        <v>1294</v>
      </c>
      <c r="C322" s="1">
        <v>-2.2461085700000001</v>
      </c>
      <c r="D322" s="110">
        <v>-1.7488513999999999</v>
      </c>
      <c r="E322" s="1">
        <v>-1.7515504</v>
      </c>
      <c r="F322" s="1">
        <v>-1.5265040000000001</v>
      </c>
      <c r="G322" s="1">
        <v>-2.7625891999999999</v>
      </c>
      <c r="H322" s="1">
        <v>-2.3216415000000001</v>
      </c>
      <c r="I322" s="1">
        <v>-1.8829431599999999</v>
      </c>
      <c r="J322" s="1">
        <v>-1.68052979</v>
      </c>
      <c r="K322" s="1">
        <v>-1.6761244399999999</v>
      </c>
      <c r="L322" s="1">
        <v>-1.4655376</v>
      </c>
      <c r="M322" s="1">
        <v>-2.706440008</v>
      </c>
      <c r="N322" s="1">
        <v>-2.2519165819999998</v>
      </c>
      <c r="O322" s="1">
        <v>-1.833125176</v>
      </c>
      <c r="P322" s="1">
        <v>-1.7087516599999999</v>
      </c>
      <c r="Q322" s="1">
        <v>-1.7095909</v>
      </c>
      <c r="R322" s="1">
        <v>-1.4928754</v>
      </c>
      <c r="S322" s="1">
        <v>-2.7296337570000002</v>
      </c>
      <c r="T322" s="1">
        <v>-2.2828534999999999</v>
      </c>
      <c r="U322" s="1">
        <v>-1.8554639369999999</v>
      </c>
    </row>
    <row r="323" spans="1:21" x14ac:dyDescent="0.25">
      <c r="A323" t="s">
        <v>1296</v>
      </c>
      <c r="B323" t="s">
        <v>1295</v>
      </c>
      <c r="C323" s="1">
        <v>-1.89820696</v>
      </c>
      <c r="D323" s="110">
        <v>-1.691354</v>
      </c>
      <c r="E323" s="1">
        <v>-1.9481594</v>
      </c>
      <c r="F323" s="1">
        <v>-1.6828319</v>
      </c>
      <c r="G323" s="1">
        <v>-2.15624912</v>
      </c>
      <c r="H323" s="1">
        <v>-2.4667017100000002</v>
      </c>
      <c r="I323" s="1">
        <v>-1.9531788800000001</v>
      </c>
      <c r="J323" s="1">
        <v>-1.60469789</v>
      </c>
      <c r="K323" s="1">
        <v>-1.85308823</v>
      </c>
      <c r="L323" s="1">
        <v>-1.6053925</v>
      </c>
      <c r="M323" s="1">
        <v>-2.0850319869999998</v>
      </c>
      <c r="N323" s="1">
        <v>-2.3788164690000002</v>
      </c>
      <c r="O323" s="1">
        <v>-1.8899001470000001</v>
      </c>
      <c r="P323" s="1">
        <v>-1.6709903100000001</v>
      </c>
      <c r="Q323" s="1">
        <v>-1.92744855</v>
      </c>
      <c r="R323" s="1">
        <v>-1.6676257000000001</v>
      </c>
      <c r="S323" s="1">
        <v>-2.1395134840000001</v>
      </c>
      <c r="T323" s="1">
        <v>-2.4475562900000001</v>
      </c>
      <c r="U323" s="1">
        <v>-1.9407533619999999</v>
      </c>
    </row>
    <row r="324" spans="1:21" x14ac:dyDescent="0.25">
      <c r="A324" t="s">
        <v>1354</v>
      </c>
      <c r="B324" t="s">
        <v>1168</v>
      </c>
      <c r="C324" s="1">
        <v>-1.6289751100000001</v>
      </c>
      <c r="D324" s="110">
        <v>-1.5759052</v>
      </c>
      <c r="E324" s="1">
        <v>-1.4066615</v>
      </c>
      <c r="F324" s="1">
        <v>-1.3230242000000001</v>
      </c>
      <c r="G324" s="1">
        <v>-1.8100411700000001</v>
      </c>
      <c r="H324" s="1">
        <v>-1.4224081500000001</v>
      </c>
      <c r="I324" s="1">
        <v>-1.1995617000000001</v>
      </c>
      <c r="J324" s="1">
        <v>-1.4563428899999999</v>
      </c>
      <c r="K324" s="1">
        <v>-1.2821832399999999</v>
      </c>
      <c r="L324" s="1">
        <v>-1.2149158</v>
      </c>
      <c r="M324" s="1">
        <v>-1.711780563</v>
      </c>
      <c r="N324" s="1">
        <v>-1.3073385019999999</v>
      </c>
      <c r="O324" s="1">
        <v>-1.1112221520000001</v>
      </c>
      <c r="P324" s="1">
        <v>-1.49708565</v>
      </c>
      <c r="Q324" s="1">
        <v>-1.3221299099999999</v>
      </c>
      <c r="R324" s="1">
        <v>-1.2504805999999999</v>
      </c>
      <c r="S324" s="1">
        <v>-1.7452644349999999</v>
      </c>
      <c r="T324" s="1">
        <v>-1.3442658199999999</v>
      </c>
      <c r="U324" s="1">
        <v>-1.1402834829999999</v>
      </c>
    </row>
    <row r="325" spans="1:21" x14ac:dyDescent="0.25">
      <c r="A325" t="s">
        <v>1367</v>
      </c>
      <c r="B325" t="s">
        <v>1167</v>
      </c>
      <c r="C325" s="1">
        <v>-1.2887420999999999</v>
      </c>
      <c r="D325" s="110">
        <v>-1.3320189</v>
      </c>
      <c r="E325" s="1">
        <v>-1.2865055000000001</v>
      </c>
      <c r="F325" s="1">
        <v>-1.2236910999999999</v>
      </c>
      <c r="G325" s="1">
        <v>-1.40576718</v>
      </c>
      <c r="H325" s="1">
        <v>-1.1919906199999999</v>
      </c>
      <c r="I325" s="1">
        <v>-1.0715823</v>
      </c>
      <c r="J325" s="1">
        <v>-1.1957276299999999</v>
      </c>
      <c r="K325" s="1">
        <v>-1.1450588500000001</v>
      </c>
      <c r="L325" s="1">
        <v>-1.1003717</v>
      </c>
      <c r="M325" s="1">
        <v>-1.293758065</v>
      </c>
      <c r="N325" s="1">
        <v>-1.061235157</v>
      </c>
      <c r="O325" s="1">
        <v>-0.97081326300000004</v>
      </c>
      <c r="P325" s="1">
        <v>-1.1775171200000001</v>
      </c>
      <c r="Q325" s="1">
        <v>-1.1208073700000001</v>
      </c>
      <c r="R325" s="1">
        <v>-1.0814927999999999</v>
      </c>
      <c r="S325" s="1">
        <v>-1.2787920129999999</v>
      </c>
      <c r="T325" s="1">
        <v>-1.0388167100000001</v>
      </c>
      <c r="U325" s="1">
        <v>-0.95538658300000001</v>
      </c>
    </row>
    <row r="326" spans="1:21" x14ac:dyDescent="0.25">
      <c r="A326" t="s">
        <v>1368</v>
      </c>
      <c r="B326" t="s">
        <v>1369</v>
      </c>
      <c r="C326" s="1">
        <v>-1.5022503700000001</v>
      </c>
      <c r="D326" s="110">
        <v>-1.5195897</v>
      </c>
      <c r="E326" s="1">
        <v>-1.4806132000000001</v>
      </c>
      <c r="F326" s="1">
        <v>-1.4628053999999999</v>
      </c>
      <c r="G326" s="1">
        <v>-1.71568203</v>
      </c>
      <c r="H326" s="1">
        <v>-1.61710694</v>
      </c>
      <c r="I326" s="1">
        <v>-1.60325948</v>
      </c>
      <c r="J326" s="1">
        <v>-1.2973782700000001</v>
      </c>
      <c r="K326" s="1">
        <v>-1.2506390999999999</v>
      </c>
      <c r="L326" s="1">
        <v>-1.2616223</v>
      </c>
      <c r="M326" s="1">
        <v>-1.5330606680000001</v>
      </c>
      <c r="N326" s="1">
        <v>-1.4045153800000001</v>
      </c>
      <c r="O326" s="1">
        <v>-1.438865061</v>
      </c>
      <c r="P326" s="1">
        <v>-1.4034953100000001</v>
      </c>
      <c r="Q326" s="1">
        <v>-1.35571595</v>
      </c>
      <c r="R326" s="1">
        <v>-1.3547347000000001</v>
      </c>
      <c r="S326" s="1">
        <v>-1.6202714789999999</v>
      </c>
      <c r="T326" s="1">
        <v>-1.5016500399999999</v>
      </c>
      <c r="U326" s="1">
        <v>-1.514950797</v>
      </c>
    </row>
    <row r="327" spans="1:21" x14ac:dyDescent="0.25">
      <c r="A327" t="s">
        <v>1298</v>
      </c>
      <c r="B327" t="s">
        <v>1299</v>
      </c>
      <c r="C327" s="1">
        <v>-1.03166723</v>
      </c>
      <c r="D327" s="110">
        <v>-1.1264038000000001</v>
      </c>
      <c r="E327" s="1">
        <v>-0.97513970000000005</v>
      </c>
      <c r="F327" s="1">
        <v>-1.1802509000000001</v>
      </c>
      <c r="G327" s="1">
        <v>-1.05310518</v>
      </c>
      <c r="H327" s="1">
        <v>-0.52415118999999999</v>
      </c>
      <c r="I327" s="1">
        <v>-1.20715298</v>
      </c>
      <c r="J327" s="1">
        <v>-1.04350958</v>
      </c>
      <c r="K327" s="1">
        <v>-0.89030854999999998</v>
      </c>
      <c r="L327" s="1">
        <v>-1.1050203000000001</v>
      </c>
      <c r="M327" s="1">
        <v>-0.98497970000000001</v>
      </c>
      <c r="N327" s="1">
        <v>-0.445731934</v>
      </c>
      <c r="O327" s="1">
        <v>-1.145679127</v>
      </c>
      <c r="P327" s="1">
        <v>-1.0078611099999999</v>
      </c>
      <c r="Q327" s="1">
        <v>-0.84775418000000002</v>
      </c>
      <c r="R327" s="1">
        <v>-1.0703575000000001</v>
      </c>
      <c r="S327" s="1">
        <v>-0.95568250099999996</v>
      </c>
      <c r="T327" s="1">
        <v>-0.40639402000000002</v>
      </c>
      <c r="U327" s="1">
        <v>-1.1173547690000001</v>
      </c>
    </row>
    <row r="328" spans="1:21" x14ac:dyDescent="0.25">
      <c r="A328" t="s">
        <v>1342</v>
      </c>
      <c r="B328" t="s">
        <v>1300</v>
      </c>
      <c r="C328" s="1">
        <v>-1.1961790299999999</v>
      </c>
      <c r="D328" s="110">
        <v>-1.2930185000000001</v>
      </c>
      <c r="E328" s="1">
        <v>-1.0777763</v>
      </c>
      <c r="F328" s="1">
        <v>-1.1839446</v>
      </c>
      <c r="G328" s="1">
        <v>-1.2419157999999999</v>
      </c>
      <c r="H328" s="1">
        <v>-0.66503749000000001</v>
      </c>
      <c r="I328" s="1">
        <v>-1.1813600399999999</v>
      </c>
      <c r="J328" s="1">
        <v>-1.1863922200000001</v>
      </c>
      <c r="K328" s="1">
        <v>-0.96988079000000005</v>
      </c>
      <c r="L328" s="1">
        <v>-1.0869454000000001</v>
      </c>
      <c r="M328" s="1">
        <v>-1.154286465</v>
      </c>
      <c r="N328" s="1">
        <v>-0.56529726300000005</v>
      </c>
      <c r="O328" s="1">
        <v>-1.1020982539999999</v>
      </c>
      <c r="P328" s="1">
        <v>-1.1681323800000001</v>
      </c>
      <c r="Q328" s="1">
        <v>-0.94316802</v>
      </c>
      <c r="R328" s="1">
        <v>-1.0668983000000001</v>
      </c>
      <c r="S328" s="1">
        <v>-1.13927987</v>
      </c>
      <c r="T328" s="1">
        <v>-0.54060357000000003</v>
      </c>
      <c r="U328" s="1">
        <v>-1.0857170039999999</v>
      </c>
    </row>
    <row r="329" spans="1:21" x14ac:dyDescent="0.25">
      <c r="A329" t="s">
        <v>1301</v>
      </c>
      <c r="B329" t="s">
        <v>1302</v>
      </c>
      <c r="C329" s="1">
        <v>-0.86327894000000005</v>
      </c>
      <c r="D329" s="110">
        <v>-1.0454806000000001</v>
      </c>
      <c r="E329" s="1">
        <v>-1.0514634</v>
      </c>
      <c r="F329" s="1">
        <v>-0.91511450000000005</v>
      </c>
      <c r="G329" s="1">
        <v>-0.97947207999999997</v>
      </c>
      <c r="H329" s="1">
        <v>-0.91716600999999998</v>
      </c>
      <c r="I329" s="1">
        <v>-0.78165596000000004</v>
      </c>
      <c r="J329" s="1">
        <v>-0.79994849000000001</v>
      </c>
      <c r="K329" s="1">
        <v>-0.79381659999999998</v>
      </c>
      <c r="L329" s="1">
        <v>-0.69348489999999996</v>
      </c>
      <c r="M329" s="1">
        <v>-0.77768495100000001</v>
      </c>
      <c r="N329" s="1">
        <v>-0.67899334499999997</v>
      </c>
      <c r="O329" s="1">
        <v>-0.60055386300000002</v>
      </c>
      <c r="P329" s="1">
        <v>-0.74054383000000001</v>
      </c>
      <c r="Q329" s="1">
        <v>-0.72516846999999995</v>
      </c>
      <c r="R329" s="1">
        <v>-0.63677859999999997</v>
      </c>
      <c r="S329" s="1">
        <v>-0.72886406400000003</v>
      </c>
      <c r="T329" s="1">
        <v>-0.61553395</v>
      </c>
      <c r="U329" s="1">
        <v>-0.55421695999999998</v>
      </c>
    </row>
    <row r="330" spans="1:21" x14ac:dyDescent="0.25">
      <c r="A330" t="s">
        <v>1343</v>
      </c>
      <c r="B330" t="s">
        <v>1303</v>
      </c>
      <c r="C330" s="1">
        <v>-0.85584607999999995</v>
      </c>
      <c r="D330" s="110">
        <v>-1.0527385</v>
      </c>
      <c r="E330" s="1">
        <v>-1.0445218999999999</v>
      </c>
      <c r="F330" s="1">
        <v>-1.1231243</v>
      </c>
      <c r="G330" s="1">
        <v>-0.77037575999999997</v>
      </c>
      <c r="H330" s="1">
        <v>-0.59935970999999999</v>
      </c>
      <c r="I330" s="1">
        <v>-1.0687679800000001</v>
      </c>
      <c r="J330" s="1">
        <v>-0.98172523</v>
      </c>
      <c r="K330" s="1">
        <v>-0.97285606000000002</v>
      </c>
      <c r="L330" s="1">
        <v>-1.0584863</v>
      </c>
      <c r="M330" s="1">
        <v>-0.71201446700000004</v>
      </c>
      <c r="N330" s="1">
        <v>-0.53311070900000002</v>
      </c>
      <c r="O330" s="1">
        <v>-1.0159497909999999</v>
      </c>
      <c r="P330" s="1">
        <v>-0.91827234000000002</v>
      </c>
      <c r="Q330" s="1">
        <v>-0.89990408</v>
      </c>
      <c r="R330" s="1">
        <v>-0.99809020000000004</v>
      </c>
      <c r="S330" s="1">
        <v>-0.65986659199999997</v>
      </c>
      <c r="T330" s="1">
        <v>-0.46567277000000001</v>
      </c>
      <c r="U330" s="1">
        <v>-0.96659779300000004</v>
      </c>
    </row>
    <row r="331" spans="1:21" x14ac:dyDescent="0.25">
      <c r="A331" t="s">
        <v>1304</v>
      </c>
      <c r="B331" t="s">
        <v>1305</v>
      </c>
      <c r="C331" s="1">
        <v>-1.22309204</v>
      </c>
      <c r="D331" s="110">
        <v>-1.2748881000000001</v>
      </c>
      <c r="E331" s="1">
        <v>-1.1733779</v>
      </c>
      <c r="F331" s="1">
        <v>-1.1118768000000001</v>
      </c>
      <c r="G331" s="1">
        <v>-1.4274389599999999</v>
      </c>
      <c r="H331" s="1">
        <v>-1.0250021199999999</v>
      </c>
      <c r="I331" s="1">
        <v>-1.14916649</v>
      </c>
      <c r="J331" s="1">
        <v>-1.05448717</v>
      </c>
      <c r="K331" s="1">
        <v>-0.94060224999999997</v>
      </c>
      <c r="L331" s="1">
        <v>-0.91321470000000005</v>
      </c>
      <c r="M331" s="1">
        <v>-1.246305496</v>
      </c>
      <c r="N331" s="1">
        <v>-0.80982068399999996</v>
      </c>
      <c r="O331" s="1">
        <v>-0.98683206700000003</v>
      </c>
      <c r="P331" s="1">
        <v>-1.0406534700000001</v>
      </c>
      <c r="Q331" s="1">
        <v>-0.92313387999999996</v>
      </c>
      <c r="R331" s="1">
        <v>-0.89931830000000001</v>
      </c>
      <c r="S331" s="1">
        <v>-1.2349364700000001</v>
      </c>
      <c r="T331" s="1">
        <v>-0.79367266000000003</v>
      </c>
      <c r="U331" s="1">
        <v>-0.97547676400000005</v>
      </c>
    </row>
    <row r="332" spans="1:21" x14ac:dyDescent="0.25">
      <c r="A332" t="s">
        <v>1306</v>
      </c>
      <c r="B332" t="s">
        <v>1307</v>
      </c>
      <c r="C332" s="1">
        <v>-0.58493532000000004</v>
      </c>
      <c r="D332" s="110">
        <v>-1.0060404000000001</v>
      </c>
      <c r="E332" s="1">
        <v>-0.99790889999999999</v>
      </c>
      <c r="F332" s="1">
        <v>-0.92157279999999997</v>
      </c>
      <c r="G332" s="1">
        <v>-0.57525799</v>
      </c>
      <c r="H332" s="1">
        <v>-0.48229392999999998</v>
      </c>
      <c r="I332" s="1">
        <v>-0.52406153</v>
      </c>
      <c r="J332" s="1">
        <v>-0.67930365000000004</v>
      </c>
      <c r="K332" s="1">
        <v>-0.65707694999999999</v>
      </c>
      <c r="L332" s="1">
        <v>-0.62626170000000003</v>
      </c>
      <c r="M332" s="1">
        <v>-0.30673396800000002</v>
      </c>
      <c r="N332" s="1">
        <v>-0.16722362800000001</v>
      </c>
      <c r="O332" s="1">
        <v>-0.28275139199999999</v>
      </c>
      <c r="P332" s="1">
        <v>-0.64483637999999999</v>
      </c>
      <c r="Q332" s="1">
        <v>-0.61094011000000004</v>
      </c>
      <c r="R332" s="1">
        <v>-0.59041940000000004</v>
      </c>
      <c r="S332" s="1">
        <v>-0.27840752299999999</v>
      </c>
      <c r="T332" s="1">
        <v>-0.12457401999999999</v>
      </c>
      <c r="U332" s="1">
        <v>-0.25346328800000001</v>
      </c>
    </row>
    <row r="333" spans="1:21" x14ac:dyDescent="0.25">
      <c r="A333" t="s">
        <v>1309</v>
      </c>
      <c r="B333" t="s">
        <v>1310</v>
      </c>
      <c r="C333" s="1">
        <v>-1.56086473</v>
      </c>
      <c r="D333" s="110">
        <v>-1.5446206</v>
      </c>
      <c r="E333" s="1">
        <v>-1.3959003999999999</v>
      </c>
      <c r="F333" s="1">
        <v>-1.3147783</v>
      </c>
      <c r="G333" s="1">
        <v>-1.7485797999999999</v>
      </c>
      <c r="H333" s="1">
        <v>-1.0902999099999999</v>
      </c>
      <c r="I333" s="1">
        <v>-1.55026435</v>
      </c>
      <c r="J333" s="1">
        <v>-1.4089579699999999</v>
      </c>
      <c r="K333" s="1">
        <v>-1.25482373</v>
      </c>
      <c r="L333" s="1">
        <v>-1.1920811</v>
      </c>
      <c r="M333" s="1">
        <v>-1.6370873930000001</v>
      </c>
      <c r="N333" s="1">
        <v>-0.959886448</v>
      </c>
      <c r="O333" s="1">
        <v>-1.4500037160000001</v>
      </c>
      <c r="P333" s="1">
        <v>-1.3208901200000001</v>
      </c>
      <c r="Q333" s="1">
        <v>-1.1561457100000001</v>
      </c>
      <c r="R333" s="1">
        <v>-1.109456</v>
      </c>
      <c r="S333" s="1">
        <v>-1.564710067</v>
      </c>
      <c r="T333" s="1">
        <v>-0.86866695999999999</v>
      </c>
      <c r="U333" s="1">
        <v>-1.3824875539999999</v>
      </c>
    </row>
    <row r="334" spans="1:21" x14ac:dyDescent="0.25">
      <c r="A334" t="s">
        <v>1309</v>
      </c>
      <c r="B334" t="s">
        <v>1311</v>
      </c>
      <c r="C334" s="1">
        <v>-1.4428573099999999</v>
      </c>
      <c r="D334" s="110">
        <v>-1.3450275</v>
      </c>
      <c r="E334" s="1">
        <v>-1.2217043000000001</v>
      </c>
      <c r="F334" s="1">
        <v>-1.3871718</v>
      </c>
      <c r="G334" s="1">
        <v>-1.6191007399999999</v>
      </c>
      <c r="H334" s="1">
        <v>-0.89160154000000003</v>
      </c>
      <c r="I334" s="1">
        <v>-1.1433429100000001</v>
      </c>
      <c r="J334" s="1">
        <v>-1.2806749799999999</v>
      </c>
      <c r="K334" s="1">
        <v>-1.1555514499999999</v>
      </c>
      <c r="L334" s="1">
        <v>-1.3288245999999999</v>
      </c>
      <c r="M334" s="1">
        <v>-1.5662135479999999</v>
      </c>
      <c r="N334" s="1">
        <v>-0.83044881699999995</v>
      </c>
      <c r="O334" s="1">
        <v>-1.0956652410000001</v>
      </c>
      <c r="P334" s="1">
        <v>-1.22582755</v>
      </c>
      <c r="Q334" s="1">
        <v>-1.0937896600000001</v>
      </c>
      <c r="R334" s="1">
        <v>-1.2772239999999999</v>
      </c>
      <c r="S334" s="1">
        <v>-1.5211379549999999</v>
      </c>
      <c r="T334" s="1">
        <v>-0.77335525999999999</v>
      </c>
      <c r="U334" s="1">
        <v>-1.0535003329999999</v>
      </c>
    </row>
    <row r="335" spans="1:21" x14ac:dyDescent="0.25">
      <c r="A335" t="s">
        <v>1309</v>
      </c>
      <c r="B335" t="s">
        <v>1312</v>
      </c>
      <c r="C335" s="1">
        <v>-0.62778268999999998</v>
      </c>
      <c r="D335" s="110">
        <v>-0.94033889999999998</v>
      </c>
      <c r="E335" s="1">
        <v>-1.1047940999999999</v>
      </c>
      <c r="F335" s="1">
        <v>-1.1408985</v>
      </c>
      <c r="G335" s="1">
        <v>-0.48025827999999998</v>
      </c>
      <c r="H335" s="1">
        <v>-0.47395663999999998</v>
      </c>
      <c r="I335" s="1">
        <v>-0.57307644000000002</v>
      </c>
      <c r="J335" s="1">
        <v>-0.82546165999999999</v>
      </c>
      <c r="K335" s="1">
        <v>-0.98706643000000005</v>
      </c>
      <c r="L335" s="1">
        <v>-1.0366731</v>
      </c>
      <c r="M335" s="1">
        <v>-0.38584806199999999</v>
      </c>
      <c r="N335" s="1">
        <v>-0.36512734299999999</v>
      </c>
      <c r="O335" s="1">
        <v>-0.48790986200000003</v>
      </c>
      <c r="P335" s="1">
        <v>-0.76978601999999996</v>
      </c>
      <c r="Q335" s="1">
        <v>-0.92158361</v>
      </c>
      <c r="R335" s="1">
        <v>-0.98299300000000001</v>
      </c>
      <c r="S335" s="1">
        <v>-0.34009181900000002</v>
      </c>
      <c r="T335" s="1">
        <v>-0.30459401000000003</v>
      </c>
      <c r="U335" s="1">
        <v>-0.44404579900000002</v>
      </c>
    </row>
    <row r="336" spans="1:21" x14ac:dyDescent="0.25">
      <c r="A336" t="s">
        <v>1313</v>
      </c>
      <c r="B336" t="s">
        <v>1314</v>
      </c>
      <c r="C336" s="1">
        <v>-1.2228069500000001</v>
      </c>
      <c r="D336" s="110">
        <v>-1.3052412</v>
      </c>
      <c r="E336" s="1">
        <v>-1.2156662</v>
      </c>
      <c r="F336" s="1">
        <v>-1.1878687999999999</v>
      </c>
      <c r="G336" s="1">
        <v>-1.5124319399999999</v>
      </c>
      <c r="H336" s="1">
        <v>-1.04173038</v>
      </c>
      <c r="I336" s="1">
        <v>-0.92852688999999999</v>
      </c>
      <c r="J336" s="1">
        <v>-0.99571504</v>
      </c>
      <c r="K336" s="1">
        <v>-0.89278705999999997</v>
      </c>
      <c r="L336" s="1">
        <v>-0.9081129</v>
      </c>
      <c r="M336" s="1">
        <v>-1.258052164</v>
      </c>
      <c r="N336" s="1">
        <v>-0.743255899</v>
      </c>
      <c r="O336" s="1">
        <v>-0.69992756700000003</v>
      </c>
      <c r="P336" s="1">
        <v>-0.87808129999999995</v>
      </c>
      <c r="Q336" s="1">
        <v>-0.75808544</v>
      </c>
      <c r="R336" s="1">
        <v>-0.79639890000000002</v>
      </c>
      <c r="S336" s="1">
        <v>-1.161376516</v>
      </c>
      <c r="T336" s="1">
        <v>-0.61873564999999997</v>
      </c>
      <c r="U336" s="1">
        <v>-0.60864173700000002</v>
      </c>
    </row>
    <row r="337" spans="1:21" x14ac:dyDescent="0.25">
      <c r="A337" t="s">
        <v>1344</v>
      </c>
      <c r="B337" t="s">
        <v>1165</v>
      </c>
      <c r="C337" s="1">
        <v>-1.28683868</v>
      </c>
      <c r="D337" s="110">
        <v>-1.2617944999999999</v>
      </c>
      <c r="E337" s="1">
        <v>-1.0773811</v>
      </c>
      <c r="F337" s="1">
        <v>-1.3203889</v>
      </c>
      <c r="G337" s="1">
        <v>-1.4309320699999999</v>
      </c>
      <c r="H337" s="1">
        <v>-0.61578317000000005</v>
      </c>
      <c r="I337" s="1">
        <v>-1.2159502099999999</v>
      </c>
      <c r="J337" s="1">
        <v>-1.1654128500000001</v>
      </c>
      <c r="K337" s="1">
        <v>-0.97922801999999998</v>
      </c>
      <c r="L337" s="1">
        <v>-1.2328269999999999</v>
      </c>
      <c r="M337" s="1">
        <v>-1.3517221269999999</v>
      </c>
      <c r="N337" s="1">
        <v>-0.52504893399999997</v>
      </c>
      <c r="O337" s="1">
        <v>-1.144400069</v>
      </c>
      <c r="P337" s="1">
        <v>-1.1452006800000001</v>
      </c>
      <c r="Q337" s="1">
        <v>-0.95189027999999998</v>
      </c>
      <c r="R337" s="1">
        <v>-1.2116769000000001</v>
      </c>
      <c r="S337" s="1">
        <v>-1.3351110450000001</v>
      </c>
      <c r="T337" s="1">
        <v>-0.49977750999999998</v>
      </c>
      <c r="U337" s="1">
        <v>-1.1271174690000001</v>
      </c>
    </row>
    <row r="338" spans="1:21" x14ac:dyDescent="0.25">
      <c r="A338" t="s">
        <v>1315</v>
      </c>
      <c r="B338" t="s">
        <v>1316</v>
      </c>
      <c r="C338" s="1">
        <v>-1.0249268199999999</v>
      </c>
      <c r="D338" s="110">
        <v>-1.2748265000000001</v>
      </c>
      <c r="E338" s="1">
        <v>-1.1933554</v>
      </c>
      <c r="F338" s="1">
        <v>-1.3959805000000001</v>
      </c>
      <c r="G338" s="1">
        <v>-0.93794836999999998</v>
      </c>
      <c r="H338" s="1">
        <v>-0.51816450999999997</v>
      </c>
      <c r="I338" s="1">
        <v>-0.85716676999999997</v>
      </c>
      <c r="J338" s="1">
        <v>-1.1614464499999999</v>
      </c>
      <c r="K338" s="1">
        <v>-1.0734389799999999</v>
      </c>
      <c r="L338" s="1">
        <v>-1.2938156999999999</v>
      </c>
      <c r="M338" s="1">
        <v>-0.84476857800000005</v>
      </c>
      <c r="N338" s="1">
        <v>-0.40731190499999997</v>
      </c>
      <c r="O338" s="1">
        <v>-0.77368398100000002</v>
      </c>
      <c r="P338" s="1">
        <v>-1.1347653600000001</v>
      </c>
      <c r="Q338" s="1">
        <v>-1.04371616</v>
      </c>
      <c r="R338" s="1">
        <v>-1.2688641000000001</v>
      </c>
      <c r="S338" s="1">
        <v>-0.82284109699999997</v>
      </c>
      <c r="T338" s="1">
        <v>-0.37983567000000001</v>
      </c>
      <c r="U338" s="1">
        <v>-0.75329505799999996</v>
      </c>
    </row>
    <row r="339" spans="1:21" x14ac:dyDescent="0.25">
      <c r="A339" t="s">
        <v>1317</v>
      </c>
      <c r="B339" t="s">
        <v>1318</v>
      </c>
      <c r="C339" s="1">
        <v>-0.85072203000000002</v>
      </c>
      <c r="D339" s="110">
        <v>-0.95875549999999998</v>
      </c>
      <c r="E339" s="1">
        <v>-1.0087429999999999</v>
      </c>
      <c r="F339" s="1">
        <v>-0.86354949999999997</v>
      </c>
      <c r="G339" s="1">
        <v>-0.81269606000000005</v>
      </c>
      <c r="H339" s="1">
        <v>-0.83583306000000002</v>
      </c>
      <c r="I339" s="1">
        <v>-0.57993693000000002</v>
      </c>
      <c r="J339" s="1">
        <v>-0.90210868</v>
      </c>
      <c r="K339" s="1">
        <v>-0.94960772999999998</v>
      </c>
      <c r="L339" s="1">
        <v>-0.81235939999999995</v>
      </c>
      <c r="M339" s="1">
        <v>-0.76614162399999997</v>
      </c>
      <c r="N339" s="1">
        <v>-0.78116748199999997</v>
      </c>
      <c r="O339" s="1">
        <v>-0.53810749300000005</v>
      </c>
      <c r="P339" s="1">
        <v>-0.92572809</v>
      </c>
      <c r="Q339" s="1">
        <v>-0.97335379</v>
      </c>
      <c r="R339" s="1">
        <v>-0.83325130000000003</v>
      </c>
      <c r="S339" s="1">
        <v>-0.78555291100000002</v>
      </c>
      <c r="T339" s="1">
        <v>-0.80311871000000001</v>
      </c>
      <c r="U339" s="1">
        <v>-0.55517904500000004</v>
      </c>
    </row>
    <row r="340" spans="1:21" x14ac:dyDescent="0.25">
      <c r="A340" t="s">
        <v>1319</v>
      </c>
      <c r="B340" t="s">
        <v>1320</v>
      </c>
      <c r="C340" s="1">
        <v>-1.03819558</v>
      </c>
      <c r="D340" s="110">
        <v>-1.1158701</v>
      </c>
      <c r="E340" s="1">
        <v>-1.1203752</v>
      </c>
      <c r="F340" s="1">
        <v>-1.0977568</v>
      </c>
      <c r="G340" s="1">
        <v>-1.04870379</v>
      </c>
      <c r="H340" s="1">
        <v>-0.73400124</v>
      </c>
      <c r="I340" s="1">
        <v>-0.85588816000000001</v>
      </c>
      <c r="J340" s="1">
        <v>-1.03927649</v>
      </c>
      <c r="K340" s="1">
        <v>-1.0428739600000001</v>
      </c>
      <c r="L340" s="1">
        <v>-1.0280779</v>
      </c>
      <c r="M340" s="1">
        <v>-0.98575638499999996</v>
      </c>
      <c r="N340" s="1">
        <v>-0.66235789899999997</v>
      </c>
      <c r="O340" s="1">
        <v>-0.79895084599999999</v>
      </c>
      <c r="P340" s="1">
        <v>-1.09681728</v>
      </c>
      <c r="Q340" s="1">
        <v>-1.09933729</v>
      </c>
      <c r="R340" s="1">
        <v>-1.0783277</v>
      </c>
      <c r="S340" s="1">
        <v>-1.0330454769999999</v>
      </c>
      <c r="T340" s="1">
        <v>-0.71455347000000002</v>
      </c>
      <c r="U340" s="1">
        <v>-0.84001186299999997</v>
      </c>
    </row>
    <row r="341" spans="1:21" x14ac:dyDescent="0.25">
      <c r="A341" t="s">
        <v>1321</v>
      </c>
      <c r="B341" t="s">
        <v>1322</v>
      </c>
      <c r="C341" s="1">
        <v>-1.0576046699999999</v>
      </c>
      <c r="D341" s="110">
        <v>-1.3119864000000001</v>
      </c>
      <c r="E341" s="1">
        <v>-1.3894548</v>
      </c>
      <c r="F341" s="1">
        <v>-1.4171942</v>
      </c>
      <c r="G341" s="1">
        <v>-1.1594777000000001</v>
      </c>
      <c r="H341" s="1">
        <v>-1.20203601</v>
      </c>
      <c r="I341" s="1">
        <v>-1.3122564400000001</v>
      </c>
      <c r="J341" s="1">
        <v>-0.99574156999999996</v>
      </c>
      <c r="K341" s="1">
        <v>-1.06048813</v>
      </c>
      <c r="L341" s="1">
        <v>-1.1311921</v>
      </c>
      <c r="M341" s="1">
        <v>-0.89957628499999998</v>
      </c>
      <c r="N341" s="1">
        <v>-0.897934173</v>
      </c>
      <c r="O341" s="1">
        <v>-1.0785531209999999</v>
      </c>
      <c r="P341" s="1">
        <v>-1.0970000499999999</v>
      </c>
      <c r="Q341" s="1">
        <v>-1.15883037</v>
      </c>
      <c r="R341" s="1">
        <v>-1.2191444</v>
      </c>
      <c r="S341" s="1">
        <v>-0.98279415199999998</v>
      </c>
      <c r="T341" s="1">
        <v>-0.98884326</v>
      </c>
      <c r="U341" s="1">
        <v>-1.1504223090000001</v>
      </c>
    </row>
    <row r="342" spans="1:21" x14ac:dyDescent="0.25">
      <c r="A342" t="s">
        <v>1345</v>
      </c>
      <c r="B342" t="s">
        <v>1333</v>
      </c>
      <c r="C342" s="1">
        <v>-1.1803783299999999</v>
      </c>
      <c r="D342" s="110">
        <v>-1.2540150999999999</v>
      </c>
      <c r="E342" s="1">
        <v>-0.98603339999999995</v>
      </c>
      <c r="F342" s="1">
        <v>-0.89800460000000004</v>
      </c>
      <c r="G342" s="1">
        <v>-1.2940133700000001</v>
      </c>
      <c r="H342" s="1">
        <v>-0.67470830000000004</v>
      </c>
      <c r="I342" s="1">
        <v>-0.52377879999999999</v>
      </c>
      <c r="J342" s="1">
        <v>-1.0807065</v>
      </c>
      <c r="K342" s="1">
        <v>-0.80603753</v>
      </c>
      <c r="L342" s="1">
        <v>-0.74121599999999999</v>
      </c>
      <c r="M342" s="1">
        <v>-1.1515820939999999</v>
      </c>
      <c r="N342" s="1">
        <v>-0.50831737899999996</v>
      </c>
      <c r="O342" s="1">
        <v>-0.39566074699999998</v>
      </c>
      <c r="P342" s="1">
        <v>-1.2571944100000001</v>
      </c>
      <c r="Q342" s="1">
        <v>-0.98913437000000004</v>
      </c>
      <c r="R342" s="1">
        <v>-0.89996370000000003</v>
      </c>
      <c r="S342" s="1">
        <v>-1.296626209</v>
      </c>
      <c r="T342" s="1">
        <v>-0.67757491999999997</v>
      </c>
      <c r="U342" s="1">
        <v>-0.52537960500000003</v>
      </c>
    </row>
    <row r="345" spans="1:21" x14ac:dyDescent="0.25">
      <c r="A345" s="5" t="s">
        <v>1853</v>
      </c>
      <c r="B345" s="6" t="s">
        <v>1854</v>
      </c>
    </row>
    <row r="346" spans="1:21" x14ac:dyDescent="0.25">
      <c r="A346" t="s">
        <v>1855</v>
      </c>
      <c r="B346" t="s">
        <v>1856</v>
      </c>
    </row>
    <row r="347" spans="1:21" x14ac:dyDescent="0.25">
      <c r="A347" t="s">
        <v>1857</v>
      </c>
      <c r="B347" t="s">
        <v>1858</v>
      </c>
    </row>
    <row r="348" spans="1:21" x14ac:dyDescent="0.25">
      <c r="A348" t="s">
        <v>1859</v>
      </c>
      <c r="B348" t="s">
        <v>1860</v>
      </c>
    </row>
    <row r="349" spans="1:21" x14ac:dyDescent="0.25">
      <c r="A349" t="s">
        <v>1861</v>
      </c>
      <c r="B349" t="s">
        <v>1862</v>
      </c>
    </row>
    <row r="350" spans="1:21" x14ac:dyDescent="0.25">
      <c r="A350" t="s">
        <v>1863</v>
      </c>
      <c r="B350" t="s">
        <v>1864</v>
      </c>
    </row>
    <row r="351" spans="1:21" x14ac:dyDescent="0.25">
      <c r="A351" s="7" t="s">
        <v>843</v>
      </c>
      <c r="B351" s="6" t="s">
        <v>857</v>
      </c>
    </row>
    <row r="352" spans="1:21" x14ac:dyDescent="0.25">
      <c r="A352" s="7" t="s">
        <v>858</v>
      </c>
      <c r="B352" s="6" t="s">
        <v>859</v>
      </c>
    </row>
    <row r="353" spans="1:2" x14ac:dyDescent="0.25">
      <c r="A353" s="7" t="s">
        <v>860</v>
      </c>
      <c r="B353" s="6" t="s">
        <v>861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70" zoomScaleNormal="70" workbookViewId="0">
      <selection activeCell="R32" sqref="R32"/>
    </sheetView>
  </sheetViews>
  <sheetFormatPr defaultColWidth="11.42578125" defaultRowHeight="15" x14ac:dyDescent="0.25"/>
  <cols>
    <col min="1" max="1" width="14" style="24" bestFit="1" customWidth="1"/>
    <col min="2" max="5" width="14.5703125" style="24" bestFit="1" customWidth="1"/>
    <col min="6" max="7" width="13.85546875" style="24" bestFit="1" customWidth="1"/>
    <col min="8" max="9" width="14" style="24" bestFit="1" customWidth="1"/>
    <col min="10" max="10" width="13.85546875" style="24" bestFit="1" customWidth="1"/>
    <col min="11" max="12" width="14" style="24" bestFit="1" customWidth="1"/>
    <col min="13" max="13" width="13.140625" style="24" bestFit="1" customWidth="1"/>
    <col min="14" max="16384" width="11.42578125" style="24"/>
  </cols>
  <sheetData>
    <row r="1" spans="1:13" x14ac:dyDescent="0.25">
      <c r="A1" s="24" t="s">
        <v>1727</v>
      </c>
    </row>
    <row r="2" spans="1:13" ht="15.75" thickBot="1" x14ac:dyDescent="0.3"/>
    <row r="3" spans="1:13" ht="15.75" thickBot="1" x14ac:dyDescent="0.3">
      <c r="A3" s="97" t="s">
        <v>2</v>
      </c>
      <c r="B3" s="98" t="s">
        <v>810</v>
      </c>
      <c r="C3" s="98" t="s">
        <v>812</v>
      </c>
      <c r="D3" s="98" t="s">
        <v>817</v>
      </c>
      <c r="E3" s="98" t="s">
        <v>819</v>
      </c>
      <c r="F3" s="98" t="s">
        <v>824</v>
      </c>
      <c r="G3" s="98" t="s">
        <v>826</v>
      </c>
      <c r="H3" s="98" t="s">
        <v>831</v>
      </c>
      <c r="I3" s="98" t="s">
        <v>833</v>
      </c>
      <c r="J3" s="98" t="s">
        <v>835</v>
      </c>
      <c r="K3" s="98" t="s">
        <v>837</v>
      </c>
      <c r="L3" s="98" t="s">
        <v>839</v>
      </c>
      <c r="M3" s="98" t="s">
        <v>841</v>
      </c>
    </row>
    <row r="4" spans="1:13" ht="30.75" thickBot="1" x14ac:dyDescent="0.3">
      <c r="A4" s="99" t="s">
        <v>46</v>
      </c>
      <c r="B4" s="100" t="s">
        <v>1637</v>
      </c>
      <c r="C4" s="100" t="s">
        <v>1638</v>
      </c>
      <c r="D4" s="100" t="s">
        <v>1639</v>
      </c>
      <c r="E4" s="100" t="s">
        <v>1639</v>
      </c>
      <c r="F4" s="101"/>
      <c r="G4" s="101"/>
      <c r="H4" s="100" t="s">
        <v>1640</v>
      </c>
      <c r="I4" s="100" t="s">
        <v>1639</v>
      </c>
      <c r="J4" s="101"/>
      <c r="K4" s="100" t="s">
        <v>1641</v>
      </c>
      <c r="L4" s="100" t="s">
        <v>1642</v>
      </c>
      <c r="M4" s="100" t="s">
        <v>1643</v>
      </c>
    </row>
    <row r="5" spans="1:13" ht="15.75" thickBot="1" x14ac:dyDescent="0.3">
      <c r="A5" s="99" t="s">
        <v>49</v>
      </c>
      <c r="B5" s="100" t="s">
        <v>1644</v>
      </c>
      <c r="C5" s="100" t="s">
        <v>1645</v>
      </c>
      <c r="D5" s="100" t="s">
        <v>1646</v>
      </c>
      <c r="E5" s="100" t="s">
        <v>1647</v>
      </c>
      <c r="F5" s="100" t="s">
        <v>1648</v>
      </c>
      <c r="G5" s="100" t="s">
        <v>1647</v>
      </c>
      <c r="H5" s="100" t="s">
        <v>1649</v>
      </c>
      <c r="I5" s="100" t="s">
        <v>1647</v>
      </c>
      <c r="J5" s="100" t="s">
        <v>1650</v>
      </c>
      <c r="K5" s="101"/>
      <c r="L5" s="101"/>
      <c r="M5" s="100" t="s">
        <v>1651</v>
      </c>
    </row>
    <row r="6" spans="1:13" ht="15.75" thickBot="1" x14ac:dyDescent="0.3">
      <c r="A6" s="99" t="s">
        <v>475</v>
      </c>
      <c r="B6" s="101"/>
      <c r="C6" s="101"/>
      <c r="D6" s="100" t="s">
        <v>1652</v>
      </c>
      <c r="E6" s="100" t="s">
        <v>1653</v>
      </c>
      <c r="F6" s="100" t="s">
        <v>1654</v>
      </c>
      <c r="G6" s="100" t="s">
        <v>1655</v>
      </c>
      <c r="H6" s="101"/>
      <c r="I6" s="100" t="s">
        <v>1656</v>
      </c>
      <c r="J6" s="100" t="s">
        <v>1657</v>
      </c>
      <c r="K6" s="101"/>
      <c r="L6" s="100" t="s">
        <v>1658</v>
      </c>
      <c r="M6" s="100" t="s">
        <v>1659</v>
      </c>
    </row>
    <row r="7" spans="1:13" ht="15.75" thickBot="1" x14ac:dyDescent="0.3">
      <c r="A7" s="99" t="s">
        <v>526</v>
      </c>
      <c r="B7" s="100" t="s">
        <v>1660</v>
      </c>
      <c r="C7" s="100" t="s">
        <v>1661</v>
      </c>
      <c r="D7" s="101"/>
      <c r="E7" s="101"/>
      <c r="F7" s="101"/>
      <c r="G7" s="101"/>
      <c r="H7" s="101"/>
      <c r="I7" s="101"/>
      <c r="J7" s="101"/>
      <c r="K7" s="100" t="s">
        <v>1662</v>
      </c>
      <c r="L7" s="101"/>
      <c r="M7" s="101"/>
    </row>
    <row r="8" spans="1:13" ht="15.75" thickBot="1" x14ac:dyDescent="0.3">
      <c r="A8" s="99" t="s">
        <v>540</v>
      </c>
      <c r="B8" s="101"/>
      <c r="C8" s="101"/>
      <c r="D8" s="100" t="s">
        <v>1652</v>
      </c>
      <c r="E8" s="100" t="s">
        <v>1653</v>
      </c>
      <c r="F8" s="100" t="s">
        <v>1654</v>
      </c>
      <c r="G8" s="100" t="s">
        <v>1655</v>
      </c>
      <c r="H8" s="101"/>
      <c r="I8" s="100" t="s">
        <v>1656</v>
      </c>
      <c r="J8" s="100" t="s">
        <v>1657</v>
      </c>
      <c r="K8" s="101"/>
      <c r="L8" s="100" t="s">
        <v>1658</v>
      </c>
      <c r="M8" s="100" t="s">
        <v>1659</v>
      </c>
    </row>
    <row r="9" spans="1:13" ht="30.75" thickBot="1" x14ac:dyDescent="0.3">
      <c r="A9" s="99" t="s">
        <v>542</v>
      </c>
      <c r="B9" s="100" t="s">
        <v>1663</v>
      </c>
      <c r="C9" s="100" t="s">
        <v>1664</v>
      </c>
      <c r="D9" s="101"/>
      <c r="E9" s="101"/>
      <c r="F9" s="100" t="s">
        <v>1637</v>
      </c>
      <c r="G9" s="100" t="s">
        <v>1656</v>
      </c>
      <c r="H9" s="100" t="s">
        <v>1665</v>
      </c>
      <c r="I9" s="100" t="s">
        <v>1656</v>
      </c>
      <c r="J9" s="100" t="s">
        <v>1638</v>
      </c>
      <c r="K9" s="100" t="s">
        <v>1666</v>
      </c>
      <c r="L9" s="101"/>
      <c r="M9" s="100" t="s">
        <v>1667</v>
      </c>
    </row>
    <row r="10" spans="1:13" ht="15.75" thickBot="1" x14ac:dyDescent="0.3">
      <c r="A10" s="99" t="s">
        <v>554</v>
      </c>
      <c r="B10" s="101"/>
      <c r="C10" s="101"/>
      <c r="D10" s="100" t="s">
        <v>1652</v>
      </c>
      <c r="E10" s="100" t="s">
        <v>1653</v>
      </c>
      <c r="F10" s="100" t="s">
        <v>1654</v>
      </c>
      <c r="G10" s="100" t="s">
        <v>1655</v>
      </c>
      <c r="H10" s="101"/>
      <c r="I10" s="100" t="s">
        <v>1656</v>
      </c>
      <c r="J10" s="100" t="s">
        <v>1657</v>
      </c>
      <c r="K10" s="101"/>
      <c r="L10" s="100" t="s">
        <v>1658</v>
      </c>
      <c r="M10" s="100" t="s">
        <v>1659</v>
      </c>
    </row>
    <row r="11" spans="1:13" x14ac:dyDescent="0.25">
      <c r="A11" s="106"/>
      <c r="B11" s="107"/>
      <c r="C11" s="107"/>
      <c r="D11" s="107"/>
      <c r="E11" s="107"/>
      <c r="F11" s="107"/>
      <c r="G11" s="107"/>
      <c r="H11" s="107"/>
      <c r="I11" s="107"/>
      <c r="J11" s="107"/>
      <c r="K11" s="107"/>
      <c r="L11" s="107"/>
      <c r="M11" s="107"/>
    </row>
    <row r="12" spans="1:13" x14ac:dyDescent="0.25">
      <c r="A12" s="24" t="s">
        <v>1728</v>
      </c>
      <c r="B12" s="107"/>
      <c r="C12" s="107"/>
      <c r="D12" s="107"/>
      <c r="E12" s="107"/>
      <c r="F12" s="107"/>
      <c r="G12" s="107"/>
      <c r="H12" s="107"/>
      <c r="I12" s="107"/>
      <c r="J12" s="107"/>
      <c r="K12" s="107"/>
      <c r="L12" s="107"/>
      <c r="M12" s="107"/>
    </row>
    <row r="13" spans="1:13" ht="15.75" thickBot="1" x14ac:dyDescent="0.3">
      <c r="A13" s="22"/>
      <c r="B13" s="22"/>
      <c r="C13" s="22"/>
      <c r="D13" s="22"/>
      <c r="E13" s="22"/>
      <c r="F13" s="22"/>
      <c r="G13" s="22"/>
      <c r="H13" s="22"/>
      <c r="I13" s="22"/>
      <c r="J13" s="22"/>
      <c r="K13" s="22"/>
      <c r="L13" s="22"/>
      <c r="M13" s="22"/>
    </row>
    <row r="14" spans="1:13" ht="15.75" thickBot="1" x14ac:dyDescent="0.3">
      <c r="A14" s="102" t="s">
        <v>2</v>
      </c>
      <c r="B14" s="103" t="s">
        <v>3</v>
      </c>
      <c r="C14" s="103" t="s">
        <v>1723</v>
      </c>
      <c r="D14" s="103" t="s">
        <v>1724</v>
      </c>
      <c r="E14" s="103" t="s">
        <v>1725</v>
      </c>
      <c r="F14" s="103" t="s">
        <v>1726</v>
      </c>
      <c r="G14" s="103" t="s">
        <v>12</v>
      </c>
      <c r="H14" s="103" t="s">
        <v>15</v>
      </c>
      <c r="I14" s="103" t="s">
        <v>16</v>
      </c>
      <c r="J14" s="103" t="s">
        <v>17</v>
      </c>
      <c r="K14" s="103" t="s">
        <v>18</v>
      </c>
      <c r="L14" s="103" t="s">
        <v>19</v>
      </c>
      <c r="M14" s="103" t="s">
        <v>20</v>
      </c>
    </row>
    <row r="15" spans="1:13" x14ac:dyDescent="0.25">
      <c r="A15" s="111" t="s">
        <v>46</v>
      </c>
      <c r="B15" s="104">
        <v>3.69</v>
      </c>
      <c r="C15" s="104">
        <v>2.92</v>
      </c>
      <c r="D15" s="104">
        <v>3.26</v>
      </c>
      <c r="E15" s="104">
        <v>2.98</v>
      </c>
      <c r="F15" s="113"/>
      <c r="G15" s="113"/>
      <c r="H15" s="104">
        <v>11.48</v>
      </c>
      <c r="I15" s="104">
        <v>13.04</v>
      </c>
      <c r="J15" s="113"/>
      <c r="K15" s="104">
        <v>0.72</v>
      </c>
      <c r="L15" s="104">
        <v>0.76</v>
      </c>
      <c r="M15" s="104">
        <v>0.87</v>
      </c>
    </row>
    <row r="16" spans="1:13" ht="15.75" thickBot="1" x14ac:dyDescent="0.3">
      <c r="A16" s="112"/>
      <c r="B16" s="105" t="s">
        <v>1668</v>
      </c>
      <c r="C16" s="105" t="s">
        <v>1669</v>
      </c>
      <c r="D16" s="105" t="s">
        <v>1670</v>
      </c>
      <c r="E16" s="105" t="s">
        <v>1671</v>
      </c>
      <c r="F16" s="114"/>
      <c r="G16" s="114"/>
      <c r="H16" s="105" t="s">
        <v>1672</v>
      </c>
      <c r="I16" s="105" t="s">
        <v>1673</v>
      </c>
      <c r="J16" s="114"/>
      <c r="K16" s="105" t="s">
        <v>1674</v>
      </c>
      <c r="L16" s="105" t="s">
        <v>1675</v>
      </c>
      <c r="M16" s="105" t="s">
        <v>1676</v>
      </c>
    </row>
    <row r="17" spans="1:13" x14ac:dyDescent="0.25">
      <c r="A17" s="111" t="s">
        <v>49</v>
      </c>
      <c r="B17" s="104">
        <v>2.76</v>
      </c>
      <c r="C17" s="104">
        <v>1.58</v>
      </c>
      <c r="D17" s="104">
        <v>2</v>
      </c>
      <c r="E17" s="104">
        <v>1.61</v>
      </c>
      <c r="F17" s="104">
        <v>2.2999999999999998</v>
      </c>
      <c r="G17" s="104">
        <v>1.76</v>
      </c>
      <c r="H17" s="104">
        <v>7.75</v>
      </c>
      <c r="I17" s="104">
        <v>6.44</v>
      </c>
      <c r="J17" s="104">
        <v>10.27</v>
      </c>
      <c r="K17" s="113"/>
      <c r="L17" s="113"/>
      <c r="M17" s="104">
        <v>0.62</v>
      </c>
    </row>
    <row r="18" spans="1:13" ht="15.75" thickBot="1" x14ac:dyDescent="0.3">
      <c r="A18" s="112"/>
      <c r="B18" s="105" t="s">
        <v>1677</v>
      </c>
      <c r="C18" s="105" t="s">
        <v>1678</v>
      </c>
      <c r="D18" s="105" t="s">
        <v>1679</v>
      </c>
      <c r="E18" s="105" t="s">
        <v>1680</v>
      </c>
      <c r="F18" s="105" t="s">
        <v>1681</v>
      </c>
      <c r="G18" s="105" t="s">
        <v>1682</v>
      </c>
      <c r="H18" s="105" t="s">
        <v>1683</v>
      </c>
      <c r="I18" s="105" t="s">
        <v>1684</v>
      </c>
      <c r="J18" s="105" t="s">
        <v>1685</v>
      </c>
      <c r="K18" s="114"/>
      <c r="L18" s="114"/>
      <c r="M18" s="105" t="s">
        <v>1686</v>
      </c>
    </row>
    <row r="19" spans="1:13" x14ac:dyDescent="0.25">
      <c r="A19" s="111" t="s">
        <v>475</v>
      </c>
      <c r="B19" s="113"/>
      <c r="C19" s="113"/>
      <c r="D19" s="104">
        <v>3.01</v>
      </c>
      <c r="E19" s="104">
        <v>2.11</v>
      </c>
      <c r="F19" s="104">
        <v>3.56</v>
      </c>
      <c r="G19" s="104">
        <v>2.64</v>
      </c>
      <c r="H19" s="113"/>
      <c r="I19" s="104">
        <v>11.31</v>
      </c>
      <c r="J19" s="104">
        <v>15.37</v>
      </c>
      <c r="K19" s="113"/>
      <c r="L19" s="104">
        <v>0.71</v>
      </c>
      <c r="M19" s="104">
        <v>0.85</v>
      </c>
    </row>
    <row r="20" spans="1:13" ht="15.75" thickBot="1" x14ac:dyDescent="0.3">
      <c r="A20" s="112"/>
      <c r="B20" s="114"/>
      <c r="C20" s="114"/>
      <c r="D20" s="105" t="s">
        <v>1687</v>
      </c>
      <c r="E20" s="105" t="s">
        <v>1688</v>
      </c>
      <c r="F20" s="105" t="s">
        <v>1689</v>
      </c>
      <c r="G20" s="105" t="s">
        <v>1690</v>
      </c>
      <c r="H20" s="114"/>
      <c r="I20" s="105" t="s">
        <v>1691</v>
      </c>
      <c r="J20" s="105" t="s">
        <v>1692</v>
      </c>
      <c r="K20" s="114"/>
      <c r="L20" s="105" t="s">
        <v>1693</v>
      </c>
      <c r="M20" s="105" t="s">
        <v>1694</v>
      </c>
    </row>
    <row r="21" spans="1:13" x14ac:dyDescent="0.25">
      <c r="A21" s="111" t="s">
        <v>526</v>
      </c>
      <c r="B21" s="104">
        <v>9.11</v>
      </c>
      <c r="C21" s="104">
        <v>5.07</v>
      </c>
      <c r="D21" s="113"/>
      <c r="E21" s="113"/>
      <c r="F21" s="113"/>
      <c r="G21" s="113"/>
      <c r="H21" s="113"/>
      <c r="I21" s="113"/>
      <c r="J21" s="113"/>
      <c r="K21" s="104">
        <v>1.39</v>
      </c>
      <c r="L21" s="113"/>
      <c r="M21" s="113"/>
    </row>
    <row r="22" spans="1:13" ht="15.75" thickBot="1" x14ac:dyDescent="0.3">
      <c r="A22" s="112"/>
      <c r="B22" s="105" t="s">
        <v>1695</v>
      </c>
      <c r="C22" s="105" t="s">
        <v>1696</v>
      </c>
      <c r="D22" s="114"/>
      <c r="E22" s="114"/>
      <c r="F22" s="114"/>
      <c r="G22" s="114"/>
      <c r="H22" s="114"/>
      <c r="I22" s="114"/>
      <c r="J22" s="114"/>
      <c r="K22" s="105" t="s">
        <v>1697</v>
      </c>
      <c r="L22" s="114"/>
      <c r="M22" s="114"/>
    </row>
    <row r="23" spans="1:13" x14ac:dyDescent="0.25">
      <c r="A23" s="111" t="s">
        <v>540</v>
      </c>
      <c r="B23" s="113"/>
      <c r="C23" s="113"/>
      <c r="D23" s="104">
        <v>5.82</v>
      </c>
      <c r="E23" s="104">
        <v>2.72</v>
      </c>
      <c r="F23" s="104">
        <v>4.71</v>
      </c>
      <c r="G23" s="104">
        <v>3.29</v>
      </c>
      <c r="H23" s="113"/>
      <c r="I23" s="104">
        <v>14.98</v>
      </c>
      <c r="J23" s="104">
        <v>17.579999999999998</v>
      </c>
      <c r="K23" s="113"/>
      <c r="L23" s="104">
        <v>1.06</v>
      </c>
      <c r="M23" s="104">
        <v>1.1399999999999999</v>
      </c>
    </row>
    <row r="24" spans="1:13" ht="15.75" thickBot="1" x14ac:dyDescent="0.3">
      <c r="A24" s="112"/>
      <c r="B24" s="114"/>
      <c r="C24" s="114"/>
      <c r="D24" s="105" t="s">
        <v>1698</v>
      </c>
      <c r="E24" s="105" t="s">
        <v>1699</v>
      </c>
      <c r="F24" s="105" t="s">
        <v>1700</v>
      </c>
      <c r="G24" s="105" t="s">
        <v>1701</v>
      </c>
      <c r="H24" s="114"/>
      <c r="I24" s="105" t="s">
        <v>1702</v>
      </c>
      <c r="J24" s="105" t="s">
        <v>1703</v>
      </c>
      <c r="K24" s="114"/>
      <c r="L24" s="105" t="s">
        <v>1704</v>
      </c>
      <c r="M24" s="105" t="s">
        <v>1705</v>
      </c>
    </row>
    <row r="25" spans="1:13" x14ac:dyDescent="0.25">
      <c r="A25" s="111" t="s">
        <v>542</v>
      </c>
      <c r="B25" s="104">
        <v>3.79</v>
      </c>
      <c r="C25" s="104">
        <v>2.58</v>
      </c>
      <c r="D25" s="113"/>
      <c r="E25" s="113"/>
      <c r="F25" s="104">
        <v>2.57</v>
      </c>
      <c r="G25" s="104">
        <v>1.92</v>
      </c>
      <c r="H25" s="104">
        <v>10.93</v>
      </c>
      <c r="I25" s="104">
        <v>8.2200000000000006</v>
      </c>
      <c r="J25" s="104">
        <v>9.5</v>
      </c>
      <c r="K25" s="104">
        <v>0.64</v>
      </c>
      <c r="L25" s="113"/>
      <c r="M25" s="104">
        <v>0.64</v>
      </c>
    </row>
    <row r="26" spans="1:13" ht="15.75" thickBot="1" x14ac:dyDescent="0.3">
      <c r="A26" s="112"/>
      <c r="B26" s="105" t="s">
        <v>1706</v>
      </c>
      <c r="C26" s="105" t="s">
        <v>1707</v>
      </c>
      <c r="D26" s="114"/>
      <c r="E26" s="114"/>
      <c r="F26" s="105" t="s">
        <v>1708</v>
      </c>
      <c r="G26" s="105" t="s">
        <v>1709</v>
      </c>
      <c r="H26" s="105" t="s">
        <v>1710</v>
      </c>
      <c r="I26" s="105" t="s">
        <v>1711</v>
      </c>
      <c r="J26" s="105" t="s">
        <v>1712</v>
      </c>
      <c r="K26" s="105" t="s">
        <v>1713</v>
      </c>
      <c r="L26" s="114"/>
      <c r="M26" s="105" t="s">
        <v>1714</v>
      </c>
    </row>
    <row r="27" spans="1:13" x14ac:dyDescent="0.25">
      <c r="A27" s="111" t="s">
        <v>554</v>
      </c>
      <c r="B27" s="113"/>
      <c r="C27" s="113"/>
      <c r="D27" s="104">
        <v>3.1</v>
      </c>
      <c r="E27" s="104">
        <v>2.06</v>
      </c>
      <c r="F27" s="104">
        <v>3.09</v>
      </c>
      <c r="G27" s="104">
        <v>2.5299999999999998</v>
      </c>
      <c r="H27" s="113"/>
      <c r="I27" s="104">
        <v>10.029999999999999</v>
      </c>
      <c r="J27" s="104">
        <v>12.5</v>
      </c>
      <c r="K27" s="113"/>
      <c r="L27" s="104">
        <v>0.78</v>
      </c>
      <c r="M27" s="104">
        <v>0.83</v>
      </c>
    </row>
    <row r="28" spans="1:13" ht="15.75" thickBot="1" x14ac:dyDescent="0.3">
      <c r="A28" s="112"/>
      <c r="B28" s="114"/>
      <c r="C28" s="114"/>
      <c r="D28" s="105" t="s">
        <v>1715</v>
      </c>
      <c r="E28" s="105" t="s">
        <v>1716</v>
      </c>
      <c r="F28" s="105" t="s">
        <v>1717</v>
      </c>
      <c r="G28" s="105" t="s">
        <v>1718</v>
      </c>
      <c r="H28" s="114"/>
      <c r="I28" s="105" t="s">
        <v>1719</v>
      </c>
      <c r="J28" s="105" t="s">
        <v>1720</v>
      </c>
      <c r="K28" s="114"/>
      <c r="L28" s="105" t="s">
        <v>1721</v>
      </c>
      <c r="M28" s="105" t="s">
        <v>1722</v>
      </c>
    </row>
  </sheetData>
  <mergeCells count="36">
    <mergeCell ref="A15:A16"/>
    <mergeCell ref="F15:F16"/>
    <mergeCell ref="G15:G16"/>
    <mergeCell ref="J15:J16"/>
    <mergeCell ref="A17:A18"/>
    <mergeCell ref="L17:L18"/>
    <mergeCell ref="A19:A20"/>
    <mergeCell ref="B19:B20"/>
    <mergeCell ref="C19:C20"/>
    <mergeCell ref="H19:H20"/>
    <mergeCell ref="K19:K20"/>
    <mergeCell ref="K17:K18"/>
    <mergeCell ref="I21:I22"/>
    <mergeCell ref="J21:J22"/>
    <mergeCell ref="L21:L22"/>
    <mergeCell ref="M21:M22"/>
    <mergeCell ref="A23:A24"/>
    <mergeCell ref="B23:B24"/>
    <mergeCell ref="C23:C24"/>
    <mergeCell ref="H23:H24"/>
    <mergeCell ref="K23:K24"/>
    <mergeCell ref="A21:A22"/>
    <mergeCell ref="D21:D22"/>
    <mergeCell ref="E21:E22"/>
    <mergeCell ref="F21:F22"/>
    <mergeCell ref="G21:G22"/>
    <mergeCell ref="H21:H22"/>
    <mergeCell ref="A25:A26"/>
    <mergeCell ref="D25:D26"/>
    <mergeCell ref="E25:E26"/>
    <mergeCell ref="L25:L26"/>
    <mergeCell ref="A27:A28"/>
    <mergeCell ref="B27:B28"/>
    <mergeCell ref="C27:C28"/>
    <mergeCell ref="H27:H28"/>
    <mergeCell ref="K27:K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zoomScale="70" zoomScaleNormal="70" workbookViewId="0">
      <selection activeCell="S27" sqref="S27"/>
    </sheetView>
  </sheetViews>
  <sheetFormatPr defaultColWidth="11.42578125" defaultRowHeight="15" x14ac:dyDescent="0.25"/>
  <sheetData>
    <row r="1" spans="1:24" x14ac:dyDescent="0.25">
      <c r="A1" t="s">
        <v>1729</v>
      </c>
      <c r="D1" s="4"/>
      <c r="F1" t="s">
        <v>1730</v>
      </c>
      <c r="I1" s="4"/>
      <c r="K1" t="s">
        <v>1731</v>
      </c>
      <c r="N1" s="4"/>
      <c r="P1" t="s">
        <v>1732</v>
      </c>
      <c r="S1" s="4"/>
      <c r="U1" t="s">
        <v>1733</v>
      </c>
      <c r="X1" s="4"/>
    </row>
    <row r="2" spans="1:24" x14ac:dyDescent="0.25">
      <c r="A2" t="s">
        <v>826</v>
      </c>
      <c r="B2" t="s">
        <v>1734</v>
      </c>
      <c r="D2" s="4" t="s">
        <v>1735</v>
      </c>
      <c r="F2" t="s">
        <v>819</v>
      </c>
      <c r="G2" t="s">
        <v>1734</v>
      </c>
      <c r="I2" s="4" t="s">
        <v>1735</v>
      </c>
      <c r="K2" t="s">
        <v>819</v>
      </c>
      <c r="L2" t="s">
        <v>1734</v>
      </c>
      <c r="N2" s="4" t="s">
        <v>1735</v>
      </c>
      <c r="P2" t="s">
        <v>826</v>
      </c>
      <c r="Q2" t="s">
        <v>1734</v>
      </c>
      <c r="S2" s="4" t="s">
        <v>1735</v>
      </c>
      <c r="U2" t="s">
        <v>833</v>
      </c>
      <c r="V2" t="s">
        <v>1734</v>
      </c>
      <c r="X2" s="4" t="s">
        <v>1735</v>
      </c>
    </row>
    <row r="3" spans="1:24" x14ac:dyDescent="0.25">
      <c r="A3" t="s">
        <v>1736</v>
      </c>
      <c r="B3">
        <v>0.44240000000000002</v>
      </c>
      <c r="C3">
        <f>B3/$B$13</f>
        <v>4.8894783377542002</v>
      </c>
      <c r="D3" s="4"/>
      <c r="F3" t="s">
        <v>1736</v>
      </c>
      <c r="G3">
        <v>0.48780000000000001</v>
      </c>
      <c r="H3">
        <f t="shared" ref="H3:H9" si="0">G3/$G$10</f>
        <v>10.88110640196297</v>
      </c>
      <c r="I3" s="4"/>
      <c r="K3" t="s">
        <v>1736</v>
      </c>
      <c r="L3">
        <v>0.48780000000000001</v>
      </c>
      <c r="M3">
        <f t="shared" ref="M3:M13" si="1">L3/$L$14</f>
        <v>10.045304777594728</v>
      </c>
      <c r="N3" s="4"/>
      <c r="P3" t="s">
        <v>1736</v>
      </c>
      <c r="Q3">
        <v>0.44240000000000002</v>
      </c>
      <c r="R3">
        <f>Q3/$Q$7</f>
        <v>5.2305509576732092</v>
      </c>
      <c r="S3" s="4"/>
      <c r="U3" t="s">
        <v>1736</v>
      </c>
      <c r="V3">
        <v>0.54090000000000005</v>
      </c>
      <c r="W3">
        <f>V3/$V$15</f>
        <v>5.637311099531007</v>
      </c>
      <c r="X3" s="4"/>
    </row>
    <row r="4" spans="1:24" x14ac:dyDescent="0.25">
      <c r="A4">
        <v>1</v>
      </c>
      <c r="B4">
        <v>0.1179</v>
      </c>
      <c r="C4">
        <f t="shared" ref="C4:C12" si="2">B4/$B$13</f>
        <v>1.3030503978779842</v>
      </c>
      <c r="D4" s="4"/>
      <c r="F4">
        <v>1</v>
      </c>
      <c r="G4">
        <v>4.8860000000000001E-2</v>
      </c>
      <c r="H4">
        <f t="shared" si="0"/>
        <v>1.0898951594914119</v>
      </c>
      <c r="I4" s="4"/>
      <c r="K4" s="108">
        <v>1</v>
      </c>
      <c r="L4" s="108">
        <v>4.8559999999999999E-2</v>
      </c>
      <c r="M4" s="108">
        <f t="shared" si="1"/>
        <v>1</v>
      </c>
      <c r="N4" s="109">
        <v>0.99</v>
      </c>
      <c r="P4">
        <v>1</v>
      </c>
      <c r="Q4">
        <v>9.7879999999999995E-2</v>
      </c>
      <c r="R4">
        <f>Q4/$Q$7</f>
        <v>1.1572475762591627</v>
      </c>
      <c r="S4" s="4"/>
      <c r="U4" s="108">
        <v>1</v>
      </c>
      <c r="V4" s="108">
        <v>9.8390000000000005E-2</v>
      </c>
      <c r="W4" s="108">
        <f t="shared" ref="W4:W14" si="3">V4/$V$15</f>
        <v>1.0254299114121941</v>
      </c>
      <c r="X4" s="109">
        <v>0.97</v>
      </c>
    </row>
    <row r="5" spans="1:24" x14ac:dyDescent="0.25">
      <c r="A5">
        <v>2</v>
      </c>
      <c r="B5">
        <v>9.5649999999999999E-2</v>
      </c>
      <c r="C5">
        <f t="shared" si="2"/>
        <v>1.0571396993810787</v>
      </c>
      <c r="D5" s="4"/>
      <c r="F5" s="108">
        <v>2</v>
      </c>
      <c r="G5" s="108">
        <v>4.6469999999999997E-2</v>
      </c>
      <c r="H5" s="108">
        <f t="shared" si="0"/>
        <v>1.036582645549855</v>
      </c>
      <c r="I5" s="109">
        <v>0.99</v>
      </c>
      <c r="K5">
        <v>2</v>
      </c>
      <c r="L5">
        <v>5.0689999999999999E-2</v>
      </c>
      <c r="M5">
        <f t="shared" si="1"/>
        <v>1.0438632619439869</v>
      </c>
      <c r="N5" s="4"/>
      <c r="P5" s="108">
        <v>2</v>
      </c>
      <c r="Q5" s="108">
        <v>8.4580000000000002E-2</v>
      </c>
      <c r="R5" s="108">
        <f>Q5/$Q$7</f>
        <v>1</v>
      </c>
      <c r="S5" s="109">
        <v>0.97</v>
      </c>
      <c r="U5">
        <v>2</v>
      </c>
      <c r="V5">
        <v>9.5949999999999994E-2</v>
      </c>
      <c r="W5">
        <f t="shared" si="3"/>
        <v>1</v>
      </c>
      <c r="X5" s="4"/>
    </row>
    <row r="6" spans="1:24" x14ac:dyDescent="0.25">
      <c r="A6" s="108">
        <v>3</v>
      </c>
      <c r="B6" s="108">
        <v>9.0480000000000005E-2</v>
      </c>
      <c r="C6" s="108">
        <f t="shared" si="2"/>
        <v>1</v>
      </c>
      <c r="D6" s="109">
        <v>0.94</v>
      </c>
      <c r="F6">
        <v>3</v>
      </c>
      <c r="G6">
        <v>4.4830000000000002E-2</v>
      </c>
      <c r="H6">
        <f t="shared" si="0"/>
        <v>1</v>
      </c>
      <c r="I6" s="4"/>
      <c r="K6">
        <v>3</v>
      </c>
      <c r="L6">
        <v>5.2420000000000001E-2</v>
      </c>
      <c r="M6">
        <f t="shared" si="1"/>
        <v>1.0794892915980232</v>
      </c>
      <c r="N6" s="4"/>
      <c r="P6">
        <v>3</v>
      </c>
      <c r="Q6">
        <v>8.5389999999999994E-2</v>
      </c>
      <c r="R6">
        <f>Q6/$Q$7</f>
        <v>1.0095767320879641</v>
      </c>
      <c r="U6">
        <v>3</v>
      </c>
      <c r="V6">
        <v>0.1032</v>
      </c>
      <c r="W6">
        <f t="shared" si="3"/>
        <v>1.0755601875977072</v>
      </c>
      <c r="X6" s="4"/>
    </row>
    <row r="7" spans="1:24" x14ac:dyDescent="0.25">
      <c r="A7">
        <v>4</v>
      </c>
      <c r="B7">
        <v>9.1389999999999999E-2</v>
      </c>
      <c r="C7">
        <f t="shared" si="2"/>
        <v>1.0100574712643677</v>
      </c>
      <c r="D7" s="4"/>
      <c r="F7">
        <v>4</v>
      </c>
      <c r="G7">
        <v>5.3850000000000002E-2</v>
      </c>
      <c r="H7">
        <f t="shared" si="0"/>
        <v>1.2012045505242026</v>
      </c>
      <c r="I7" s="4"/>
      <c r="K7">
        <v>4</v>
      </c>
      <c r="L7">
        <v>6.1740000000000003E-2</v>
      </c>
      <c r="M7">
        <f t="shared" si="1"/>
        <v>1.2714168039538716</v>
      </c>
      <c r="N7" s="4"/>
      <c r="Q7">
        <f>MIN(Q3:Q6)</f>
        <v>8.4580000000000002E-2</v>
      </c>
      <c r="S7" s="4"/>
      <c r="U7">
        <v>4</v>
      </c>
      <c r="V7">
        <v>0.1041</v>
      </c>
      <c r="W7">
        <f t="shared" si="3"/>
        <v>1.0849400729546639</v>
      </c>
      <c r="X7" s="4"/>
    </row>
    <row r="8" spans="1:24" x14ac:dyDescent="0.25">
      <c r="A8">
        <v>5</v>
      </c>
      <c r="B8">
        <v>9.6119999999999997E-2</v>
      </c>
      <c r="C8">
        <f t="shared" si="2"/>
        <v>1.0623342175066313</v>
      </c>
      <c r="D8" s="4"/>
      <c r="F8">
        <v>5</v>
      </c>
      <c r="G8">
        <v>5.738E-2</v>
      </c>
      <c r="H8">
        <f t="shared" si="0"/>
        <v>1.2799464644211465</v>
      </c>
      <c r="I8" s="4"/>
      <c r="K8">
        <v>5</v>
      </c>
      <c r="L8">
        <v>5.9490000000000001E-2</v>
      </c>
      <c r="M8">
        <f t="shared" si="1"/>
        <v>1.2250823723228996</v>
      </c>
      <c r="N8" s="4"/>
      <c r="S8" s="4"/>
      <c r="U8">
        <v>5</v>
      </c>
      <c r="V8">
        <v>0.1051</v>
      </c>
      <c r="W8">
        <f t="shared" si="3"/>
        <v>1.095362167795727</v>
      </c>
      <c r="X8" s="4"/>
    </row>
    <row r="9" spans="1:24" x14ac:dyDescent="0.25">
      <c r="A9">
        <v>6</v>
      </c>
      <c r="B9">
        <v>0.1007</v>
      </c>
      <c r="C9">
        <f t="shared" si="2"/>
        <v>1.1129531388152076</v>
      </c>
      <c r="D9" s="4"/>
      <c r="F9">
        <v>6</v>
      </c>
      <c r="G9">
        <v>6.0749999999999998E-2</v>
      </c>
      <c r="H9">
        <f t="shared" si="0"/>
        <v>1.3551193397278607</v>
      </c>
      <c r="I9" s="4"/>
      <c r="K9">
        <v>6</v>
      </c>
      <c r="L9">
        <v>5.8180000000000003E-2</v>
      </c>
      <c r="M9">
        <f t="shared" si="1"/>
        <v>1.1981054365733115</v>
      </c>
      <c r="N9" s="4"/>
      <c r="P9" t="s">
        <v>1251</v>
      </c>
      <c r="Q9" t="s">
        <v>1734</v>
      </c>
      <c r="S9" s="4" t="s">
        <v>1735</v>
      </c>
      <c r="U9">
        <v>6</v>
      </c>
      <c r="V9">
        <v>0.1084</v>
      </c>
      <c r="W9">
        <f t="shared" si="3"/>
        <v>1.1297550807712351</v>
      </c>
      <c r="X9" s="4"/>
    </row>
    <row r="10" spans="1:24" x14ac:dyDescent="0.25">
      <c r="A10">
        <v>7</v>
      </c>
      <c r="B10">
        <v>0.1066</v>
      </c>
      <c r="C10">
        <f t="shared" si="2"/>
        <v>1.1781609195402298</v>
      </c>
      <c r="D10" s="4"/>
      <c r="G10">
        <f>MIN(G3:G9)</f>
        <v>4.4830000000000002E-2</v>
      </c>
      <c r="I10" s="4"/>
      <c r="K10">
        <v>7</v>
      </c>
      <c r="L10">
        <v>0.06</v>
      </c>
      <c r="M10">
        <f t="shared" si="1"/>
        <v>1.2355848434925865</v>
      </c>
      <c r="N10" s="4"/>
      <c r="P10" t="s">
        <v>1736</v>
      </c>
      <c r="Q10">
        <v>0.94399999999999995</v>
      </c>
      <c r="R10">
        <f>Q10/$Q$14</f>
        <v>10.44941332742971</v>
      </c>
      <c r="S10" s="4"/>
      <c r="U10">
        <v>7</v>
      </c>
      <c r="V10">
        <v>0.1401</v>
      </c>
      <c r="W10">
        <f t="shared" si="3"/>
        <v>1.460135487232934</v>
      </c>
      <c r="X10" s="4"/>
    </row>
    <row r="11" spans="1:24" x14ac:dyDescent="0.25">
      <c r="A11">
        <v>8</v>
      </c>
      <c r="B11">
        <v>0.1135</v>
      </c>
      <c r="C11">
        <f t="shared" si="2"/>
        <v>1.254420866489832</v>
      </c>
      <c r="D11" s="4"/>
      <c r="I11" s="4"/>
      <c r="K11">
        <v>8</v>
      </c>
      <c r="L11">
        <v>6.2309999999999997E-2</v>
      </c>
      <c r="M11">
        <f t="shared" si="1"/>
        <v>1.283154859967051</v>
      </c>
      <c r="N11" s="4"/>
      <c r="P11">
        <v>1</v>
      </c>
      <c r="Q11">
        <v>0.13880000000000001</v>
      </c>
      <c r="R11">
        <f>Q11/$Q$14</f>
        <v>1.5364179765330972</v>
      </c>
      <c r="S11" s="4"/>
      <c r="U11">
        <v>8</v>
      </c>
      <c r="V11">
        <v>0.1636</v>
      </c>
      <c r="W11">
        <f t="shared" si="3"/>
        <v>1.7050547159979157</v>
      </c>
      <c r="X11" s="4"/>
    </row>
    <row r="12" spans="1:24" x14ac:dyDescent="0.25">
      <c r="A12">
        <v>9</v>
      </c>
      <c r="B12">
        <v>0.1328</v>
      </c>
      <c r="C12">
        <f t="shared" si="2"/>
        <v>1.4677276746242263</v>
      </c>
      <c r="D12" s="4"/>
      <c r="F12" t="s">
        <v>826</v>
      </c>
      <c r="G12" t="s">
        <v>1734</v>
      </c>
      <c r="I12" s="4" t="s">
        <v>1735</v>
      </c>
      <c r="K12">
        <v>9</v>
      </c>
      <c r="L12">
        <v>8.7919999999999998E-2</v>
      </c>
      <c r="M12">
        <f t="shared" si="1"/>
        <v>1.8105436573311366</v>
      </c>
      <c r="N12" s="4"/>
      <c r="P12">
        <v>2</v>
      </c>
      <c r="Q12">
        <v>0.1013</v>
      </c>
      <c r="R12">
        <f>Q12/$Q$14</f>
        <v>1.1213194598184635</v>
      </c>
      <c r="S12" s="4"/>
      <c r="U12">
        <v>9</v>
      </c>
      <c r="V12">
        <v>0.17610000000000001</v>
      </c>
      <c r="W12">
        <f t="shared" si="3"/>
        <v>1.835330901511204</v>
      </c>
      <c r="X12" s="4"/>
    </row>
    <row r="13" spans="1:24" x14ac:dyDescent="0.25">
      <c r="B13">
        <f>MIN(B3:B12)</f>
        <v>9.0480000000000005E-2</v>
      </c>
      <c r="D13" s="4"/>
      <c r="F13" t="s">
        <v>1736</v>
      </c>
      <c r="G13">
        <v>0.44240000000000002</v>
      </c>
      <c r="H13">
        <f t="shared" ref="H13:H19" si="4">G13/$G$20</f>
        <v>5.246679316888045</v>
      </c>
      <c r="I13" s="4"/>
      <c r="K13">
        <v>10</v>
      </c>
      <c r="L13">
        <v>9.6019999999999994E-2</v>
      </c>
      <c r="M13">
        <f t="shared" si="1"/>
        <v>1.9773476112026358</v>
      </c>
      <c r="N13" s="4"/>
      <c r="P13" s="108">
        <v>3</v>
      </c>
      <c r="Q13" s="108">
        <v>9.0340000000000004E-2</v>
      </c>
      <c r="R13" s="108">
        <f>Q13/$Q$14</f>
        <v>1</v>
      </c>
      <c r="S13" s="109">
        <v>0.99</v>
      </c>
      <c r="U13">
        <v>10</v>
      </c>
      <c r="V13">
        <v>0.18160000000000001</v>
      </c>
      <c r="W13">
        <f t="shared" si="3"/>
        <v>1.8926524231370507</v>
      </c>
      <c r="X13" s="4"/>
    </row>
    <row r="14" spans="1:24" x14ac:dyDescent="0.25">
      <c r="D14" s="4"/>
      <c r="F14">
        <v>1</v>
      </c>
      <c r="G14">
        <v>0.12180000000000001</v>
      </c>
      <c r="H14">
        <f t="shared" si="4"/>
        <v>1.4444971537001896</v>
      </c>
      <c r="I14" s="4"/>
      <c r="L14">
        <f>MIN(L3:L13)</f>
        <v>4.8559999999999999E-2</v>
      </c>
      <c r="N14" s="4"/>
      <c r="Q14">
        <f>MIN(Q10:Q13)</f>
        <v>9.0340000000000004E-2</v>
      </c>
      <c r="S14" s="4"/>
      <c r="U14">
        <v>11</v>
      </c>
      <c r="V14">
        <v>0.19259999999999999</v>
      </c>
      <c r="W14">
        <f t="shared" si="3"/>
        <v>2.0072954663887441</v>
      </c>
      <c r="X14" s="4"/>
    </row>
    <row r="15" spans="1:24" x14ac:dyDescent="0.25">
      <c r="A15" t="s">
        <v>835</v>
      </c>
      <c r="B15" t="s">
        <v>1734</v>
      </c>
      <c r="D15" s="4" t="s">
        <v>1735</v>
      </c>
      <c r="F15">
        <v>2</v>
      </c>
      <c r="G15">
        <v>9.6000000000000002E-2</v>
      </c>
      <c r="H15">
        <f t="shared" si="4"/>
        <v>1.1385199240986716</v>
      </c>
      <c r="I15" s="4"/>
      <c r="N15" s="4"/>
      <c r="V15">
        <f>MIN(V3:V14)</f>
        <v>9.5949999999999994E-2</v>
      </c>
    </row>
    <row r="16" spans="1:24" x14ac:dyDescent="0.25">
      <c r="A16" t="s">
        <v>1736</v>
      </c>
      <c r="B16">
        <v>0.47070000000000001</v>
      </c>
      <c r="C16">
        <f>B16/$B$26</f>
        <v>7.7494237734606521</v>
      </c>
      <c r="D16" s="4"/>
      <c r="F16" s="108">
        <v>3</v>
      </c>
      <c r="G16" s="108">
        <v>8.6389999999999995E-2</v>
      </c>
      <c r="H16" s="108">
        <f t="shared" si="4"/>
        <v>1.0245493358633775</v>
      </c>
      <c r="I16" s="109">
        <v>0.97</v>
      </c>
      <c r="N16" s="4"/>
    </row>
    <row r="17" spans="1:14" x14ac:dyDescent="0.25">
      <c r="A17">
        <v>1</v>
      </c>
      <c r="B17">
        <v>9.6689999999999998E-2</v>
      </c>
      <c r="C17">
        <f t="shared" ref="C17:C25" si="5">B17/$B$26</f>
        <v>1.5918669739874876</v>
      </c>
      <c r="D17" s="4"/>
      <c r="F17">
        <v>4</v>
      </c>
      <c r="G17">
        <v>8.4320000000000006E-2</v>
      </c>
      <c r="H17">
        <f t="shared" si="4"/>
        <v>1</v>
      </c>
      <c r="I17" s="4"/>
      <c r="N17" s="4"/>
    </row>
    <row r="18" spans="1:14" x14ac:dyDescent="0.25">
      <c r="A18">
        <v>2</v>
      </c>
      <c r="B18">
        <v>7.4550000000000005E-2</v>
      </c>
      <c r="C18">
        <f t="shared" si="5"/>
        <v>1.227362528811327</v>
      </c>
      <c r="D18" s="4"/>
      <c r="F18">
        <v>5</v>
      </c>
      <c r="G18">
        <v>8.652E-2</v>
      </c>
      <c r="H18">
        <f t="shared" si="4"/>
        <v>1.0260910815939279</v>
      </c>
      <c r="I18" s="4"/>
      <c r="N18" s="4"/>
    </row>
    <row r="19" spans="1:14" x14ac:dyDescent="0.25">
      <c r="A19">
        <v>3</v>
      </c>
      <c r="B19">
        <v>6.9889999999999994E-2</v>
      </c>
      <c r="C19">
        <f t="shared" si="5"/>
        <v>1.1506420810009876</v>
      </c>
      <c r="D19" s="4"/>
      <c r="F19">
        <v>6</v>
      </c>
      <c r="G19">
        <v>8.7819999999999995E-2</v>
      </c>
      <c r="H19">
        <f t="shared" si="4"/>
        <v>1.0415085388994305</v>
      </c>
      <c r="I19" s="4"/>
      <c r="K19" t="s">
        <v>1737</v>
      </c>
      <c r="N19" s="4"/>
    </row>
    <row r="20" spans="1:14" x14ac:dyDescent="0.25">
      <c r="A20">
        <v>4</v>
      </c>
      <c r="B20">
        <v>8.0619999999999997E-2</v>
      </c>
      <c r="C20">
        <f t="shared" si="5"/>
        <v>1.327296674349687</v>
      </c>
      <c r="D20" s="4"/>
      <c r="G20">
        <f>MIN(G13:G19)</f>
        <v>8.4320000000000006E-2</v>
      </c>
      <c r="I20" s="4"/>
      <c r="K20" t="s">
        <v>1738</v>
      </c>
      <c r="N20" s="4"/>
    </row>
    <row r="21" spans="1:14" x14ac:dyDescent="0.25">
      <c r="A21">
        <v>5</v>
      </c>
      <c r="B21">
        <v>7.3859999999999995E-2</v>
      </c>
      <c r="C21">
        <f t="shared" si="5"/>
        <v>1.2160026341784655</v>
      </c>
      <c r="D21" s="4"/>
      <c r="I21" s="4"/>
      <c r="N21" s="4"/>
    </row>
    <row r="22" spans="1:14" x14ac:dyDescent="0.25">
      <c r="A22" s="108">
        <v>6</v>
      </c>
      <c r="B22" s="108">
        <v>6.0740000000000002E-2</v>
      </c>
      <c r="C22" s="108">
        <f t="shared" si="5"/>
        <v>1</v>
      </c>
      <c r="D22" s="109">
        <v>0.99</v>
      </c>
      <c r="F22" t="s">
        <v>833</v>
      </c>
      <c r="G22" t="s">
        <v>1734</v>
      </c>
      <c r="I22" s="4" t="s">
        <v>1735</v>
      </c>
      <c r="N22" s="4"/>
    </row>
    <row r="23" spans="1:14" x14ac:dyDescent="0.25">
      <c r="A23">
        <v>7</v>
      </c>
      <c r="B23">
        <v>6.0740000000000002E-2</v>
      </c>
      <c r="C23">
        <f t="shared" si="5"/>
        <v>1</v>
      </c>
      <c r="D23" s="4"/>
      <c r="F23" t="s">
        <v>1736</v>
      </c>
      <c r="G23">
        <v>0.54090000000000005</v>
      </c>
      <c r="H23">
        <f t="shared" ref="H23:H29" si="6">G23/$G$30</f>
        <v>5.6168224299065423</v>
      </c>
      <c r="I23" s="4"/>
      <c r="N23" s="4"/>
    </row>
    <row r="24" spans="1:14" x14ac:dyDescent="0.25">
      <c r="A24">
        <v>8</v>
      </c>
      <c r="B24">
        <v>7.4219999999999994E-2</v>
      </c>
      <c r="C24">
        <f t="shared" si="5"/>
        <v>1.2219295357260453</v>
      </c>
      <c r="D24" s="4"/>
      <c r="F24" s="108">
        <v>1</v>
      </c>
      <c r="G24" s="108">
        <v>9.6299999999999997E-2</v>
      </c>
      <c r="H24" s="108">
        <f t="shared" si="6"/>
        <v>1</v>
      </c>
      <c r="I24" s="109">
        <v>0.97</v>
      </c>
      <c r="N24" s="4"/>
    </row>
    <row r="25" spans="1:14" x14ac:dyDescent="0.25">
      <c r="A25">
        <v>9</v>
      </c>
      <c r="B25">
        <v>7.9350000000000004E-2</v>
      </c>
      <c r="C25">
        <f t="shared" si="5"/>
        <v>1.3063878827790583</v>
      </c>
      <c r="D25" s="4"/>
      <c r="F25">
        <v>2</v>
      </c>
      <c r="G25">
        <v>0.1022</v>
      </c>
      <c r="H25">
        <f t="shared" si="6"/>
        <v>1.0612668743509865</v>
      </c>
      <c r="I25" s="4"/>
      <c r="N25" s="4"/>
    </row>
    <row r="26" spans="1:14" x14ac:dyDescent="0.25">
      <c r="B26">
        <f>MIN(B16:B25)</f>
        <v>6.0740000000000002E-2</v>
      </c>
      <c r="D26" s="4"/>
      <c r="F26">
        <v>3</v>
      </c>
      <c r="G26">
        <v>0.10249999999999999</v>
      </c>
      <c r="H26">
        <f t="shared" si="6"/>
        <v>1.0643821391484942</v>
      </c>
      <c r="I26" s="4"/>
      <c r="N26" s="4"/>
    </row>
    <row r="27" spans="1:14" x14ac:dyDescent="0.25">
      <c r="D27" s="4"/>
      <c r="F27">
        <v>4</v>
      </c>
      <c r="G27">
        <v>0.1036</v>
      </c>
      <c r="H27">
        <f t="shared" si="6"/>
        <v>1.0758047767393562</v>
      </c>
      <c r="I27" s="4"/>
      <c r="N27" s="4"/>
    </row>
    <row r="28" spans="1:14" x14ac:dyDescent="0.25">
      <c r="A28" t="s">
        <v>1251</v>
      </c>
      <c r="B28" t="s">
        <v>1734</v>
      </c>
      <c r="D28" s="4" t="s">
        <v>1735</v>
      </c>
      <c r="F28">
        <v>5</v>
      </c>
      <c r="G28">
        <v>0.1024</v>
      </c>
      <c r="H28">
        <f t="shared" si="6"/>
        <v>1.0633437175493252</v>
      </c>
      <c r="I28" s="4"/>
      <c r="N28" s="4"/>
    </row>
    <row r="29" spans="1:14" x14ac:dyDescent="0.25">
      <c r="A29" t="s">
        <v>1736</v>
      </c>
      <c r="B29">
        <v>0.94399999999999995</v>
      </c>
      <c r="C29">
        <f>B29/$B$39</f>
        <v>8.6844526218951241</v>
      </c>
      <c r="D29" s="4"/>
      <c r="F29">
        <v>6</v>
      </c>
      <c r="G29">
        <v>0.10290000000000001</v>
      </c>
      <c r="H29">
        <f t="shared" si="6"/>
        <v>1.0685358255451713</v>
      </c>
      <c r="I29" s="4"/>
    </row>
    <row r="30" spans="1:14" x14ac:dyDescent="0.25">
      <c r="A30">
        <v>1</v>
      </c>
      <c r="B30">
        <v>0.1996</v>
      </c>
      <c r="C30">
        <f t="shared" ref="C30:C38" si="7">B30/$B$39</f>
        <v>1.8362465501379943</v>
      </c>
      <c r="D30" s="4"/>
      <c r="G30">
        <f>MIN(G23:G29)</f>
        <v>9.6299999999999997E-2</v>
      </c>
      <c r="I30" s="4"/>
    </row>
    <row r="31" spans="1:14" x14ac:dyDescent="0.25">
      <c r="A31">
        <v>2</v>
      </c>
      <c r="B31">
        <v>0.12180000000000001</v>
      </c>
      <c r="C31">
        <f t="shared" si="7"/>
        <v>1.1205151793928243</v>
      </c>
      <c r="D31" s="4"/>
      <c r="I31" s="4"/>
    </row>
    <row r="32" spans="1:14" x14ac:dyDescent="0.25">
      <c r="A32">
        <v>3</v>
      </c>
      <c r="B32">
        <v>0.1206</v>
      </c>
      <c r="C32">
        <f t="shared" si="7"/>
        <v>1.1094756209751608</v>
      </c>
      <c r="D32" s="4"/>
      <c r="F32" t="s">
        <v>835</v>
      </c>
      <c r="G32" t="s">
        <v>1734</v>
      </c>
      <c r="I32" s="4" t="s">
        <v>1735</v>
      </c>
    </row>
    <row r="33" spans="1:9" x14ac:dyDescent="0.25">
      <c r="A33">
        <v>4</v>
      </c>
      <c r="B33">
        <v>0.1154</v>
      </c>
      <c r="C33">
        <f t="shared" si="7"/>
        <v>1.06163753449862</v>
      </c>
      <c r="D33" s="4"/>
      <c r="F33" t="s">
        <v>1736</v>
      </c>
      <c r="G33">
        <v>0.47070000000000001</v>
      </c>
      <c r="H33">
        <f t="shared" ref="H33:H39" si="8">G33/$G$40</f>
        <v>8.043403964456596</v>
      </c>
      <c r="I33" s="4"/>
    </row>
    <row r="34" spans="1:9" x14ac:dyDescent="0.25">
      <c r="A34">
        <v>5</v>
      </c>
      <c r="B34">
        <v>0.11940000000000001</v>
      </c>
      <c r="C34">
        <f t="shared" si="7"/>
        <v>1.0984360625574978</v>
      </c>
      <c r="D34" s="4"/>
      <c r="F34">
        <v>1</v>
      </c>
      <c r="G34">
        <v>9.8419999999999994E-2</v>
      </c>
      <c r="H34">
        <f t="shared" si="8"/>
        <v>1.6818181818181817</v>
      </c>
      <c r="I34" s="4"/>
    </row>
    <row r="35" spans="1:9" x14ac:dyDescent="0.25">
      <c r="A35" s="108">
        <v>6</v>
      </c>
      <c r="B35" s="108">
        <v>0.1087</v>
      </c>
      <c r="C35" s="108">
        <f t="shared" si="7"/>
        <v>1</v>
      </c>
      <c r="D35" s="109">
        <v>0.99</v>
      </c>
      <c r="F35">
        <v>2</v>
      </c>
      <c r="G35">
        <v>7.0260000000000003E-2</v>
      </c>
      <c r="H35">
        <f t="shared" si="8"/>
        <v>1.2006151742993849</v>
      </c>
      <c r="I35" s="4"/>
    </row>
    <row r="36" spans="1:9" x14ac:dyDescent="0.25">
      <c r="A36">
        <v>7</v>
      </c>
      <c r="B36">
        <v>0.1134</v>
      </c>
      <c r="C36">
        <f t="shared" si="7"/>
        <v>1.0432382704691812</v>
      </c>
      <c r="D36" s="4"/>
      <c r="F36" s="108">
        <v>3</v>
      </c>
      <c r="G36" s="108">
        <v>5.8520000000000003E-2</v>
      </c>
      <c r="H36" s="108">
        <f t="shared" si="8"/>
        <v>1</v>
      </c>
      <c r="I36" s="109">
        <v>0.99</v>
      </c>
    </row>
    <row r="37" spans="1:9" x14ac:dyDescent="0.25">
      <c r="A37">
        <v>8</v>
      </c>
      <c r="B37">
        <v>0.1293</v>
      </c>
      <c r="C37">
        <f t="shared" si="7"/>
        <v>1.1895124195032198</v>
      </c>
      <c r="D37" s="4"/>
      <c r="F37">
        <v>4</v>
      </c>
      <c r="G37">
        <v>5.892E-2</v>
      </c>
      <c r="H37">
        <f t="shared" si="8"/>
        <v>1.0068352699931646</v>
      </c>
      <c r="I37" s="4"/>
    </row>
    <row r="38" spans="1:9" x14ac:dyDescent="0.25">
      <c r="A38">
        <v>9</v>
      </c>
      <c r="B38">
        <v>0.13</v>
      </c>
      <c r="C38">
        <f t="shared" si="7"/>
        <v>1.1959521619135234</v>
      </c>
      <c r="D38" s="4"/>
      <c r="F38">
        <v>5</v>
      </c>
      <c r="G38">
        <v>5.9799999999999999E-2</v>
      </c>
      <c r="H38">
        <f t="shared" si="8"/>
        <v>1.0218728639781272</v>
      </c>
      <c r="I38" s="4"/>
    </row>
    <row r="39" spans="1:9" x14ac:dyDescent="0.25">
      <c r="B39">
        <f>MIN(B29:B38)</f>
        <v>0.1087</v>
      </c>
      <c r="D39" s="4"/>
      <c r="F39">
        <v>6</v>
      </c>
      <c r="G39">
        <v>6.2039999999999998E-2</v>
      </c>
      <c r="H39">
        <f t="shared" si="8"/>
        <v>1.0601503759398496</v>
      </c>
      <c r="I39" s="4"/>
    </row>
    <row r="40" spans="1:9" x14ac:dyDescent="0.25">
      <c r="D40" s="4"/>
      <c r="G40">
        <f>MIN(G33:G39)</f>
        <v>5.8520000000000003E-2</v>
      </c>
      <c r="I40" s="4"/>
    </row>
    <row r="41" spans="1:9" x14ac:dyDescent="0.25">
      <c r="D41" s="4"/>
      <c r="I41" s="4"/>
    </row>
    <row r="42" spans="1:9" x14ac:dyDescent="0.25">
      <c r="D42" s="4"/>
      <c r="F42" t="s">
        <v>1249</v>
      </c>
      <c r="G42" t="s">
        <v>1734</v>
      </c>
      <c r="I42" s="4" t="s">
        <v>1735</v>
      </c>
    </row>
    <row r="43" spans="1:9" x14ac:dyDescent="0.25">
      <c r="D43" s="4"/>
      <c r="F43" t="s">
        <v>1736</v>
      </c>
      <c r="G43">
        <v>0.9425</v>
      </c>
      <c r="H43">
        <f t="shared" ref="H43:H49" si="9">G43/$G$50</f>
        <v>11.663160499938126</v>
      </c>
      <c r="I43" s="4"/>
    </row>
    <row r="44" spans="1:9" x14ac:dyDescent="0.25">
      <c r="D44" s="4"/>
      <c r="F44">
        <v>1</v>
      </c>
      <c r="G44">
        <v>8.7300000000000003E-2</v>
      </c>
      <c r="H44">
        <f t="shared" si="9"/>
        <v>1.0803118425937384</v>
      </c>
      <c r="I44" s="4"/>
    </row>
    <row r="45" spans="1:9" x14ac:dyDescent="0.25">
      <c r="D45" s="4"/>
      <c r="F45">
        <v>2</v>
      </c>
      <c r="G45">
        <v>8.5139999999999993E-2</v>
      </c>
      <c r="H45">
        <f t="shared" si="9"/>
        <v>1.0535824774161613</v>
      </c>
      <c r="I45" s="4"/>
    </row>
    <row r="46" spans="1:9" x14ac:dyDescent="0.25">
      <c r="D46" s="4"/>
      <c r="F46">
        <v>3</v>
      </c>
      <c r="G46">
        <v>9.9110000000000004E-2</v>
      </c>
      <c r="H46">
        <f t="shared" si="9"/>
        <v>1.2264571216433608</v>
      </c>
      <c r="I46" s="4"/>
    </row>
    <row r="47" spans="1:9" x14ac:dyDescent="0.25">
      <c r="D47" s="4"/>
      <c r="F47" s="108">
        <v>4</v>
      </c>
      <c r="G47" s="108">
        <v>8.0810000000000007E-2</v>
      </c>
      <c r="H47" s="108">
        <f t="shared" si="9"/>
        <v>1</v>
      </c>
      <c r="I47" s="109">
        <v>1</v>
      </c>
    </row>
    <row r="48" spans="1:9" x14ac:dyDescent="0.25">
      <c r="D48" s="4"/>
      <c r="F48">
        <v>5</v>
      </c>
      <c r="G48">
        <v>9.2539999999999997E-2</v>
      </c>
      <c r="H48">
        <f t="shared" si="9"/>
        <v>1.1451553025615639</v>
      </c>
      <c r="I48" s="4"/>
    </row>
    <row r="49" spans="4:9" x14ac:dyDescent="0.25">
      <c r="D49" s="4"/>
      <c r="F49">
        <v>6</v>
      </c>
      <c r="G49">
        <v>0.1003</v>
      </c>
      <c r="H49">
        <f t="shared" si="9"/>
        <v>1.2411830219032296</v>
      </c>
      <c r="I49" s="4"/>
    </row>
    <row r="50" spans="4:9" x14ac:dyDescent="0.25">
      <c r="D50" s="4"/>
      <c r="G50">
        <f>MIN(G43:G49)</f>
        <v>8.0810000000000007E-2</v>
      </c>
      <c r="I50" s="4"/>
    </row>
    <row r="51" spans="4:9" x14ac:dyDescent="0.25">
      <c r="D51" s="4"/>
      <c r="I51" s="4"/>
    </row>
    <row r="52" spans="4:9" x14ac:dyDescent="0.25">
      <c r="D52" s="4"/>
      <c r="F52" t="s">
        <v>1251</v>
      </c>
      <c r="G52" t="s">
        <v>1734</v>
      </c>
      <c r="I52" s="4" t="s">
        <v>1735</v>
      </c>
    </row>
    <row r="53" spans="4:9" x14ac:dyDescent="0.25">
      <c r="D53" s="4"/>
      <c r="F53" t="s">
        <v>1736</v>
      </c>
      <c r="G53">
        <v>0.94399999999999995</v>
      </c>
      <c r="H53">
        <f t="shared" ref="H53:H59" si="10">G53/$G$60</f>
        <v>9.4211576846307388</v>
      </c>
      <c r="I53" s="4"/>
    </row>
    <row r="54" spans="4:9" x14ac:dyDescent="0.25">
      <c r="D54" s="4"/>
      <c r="F54">
        <v>1</v>
      </c>
      <c r="G54">
        <v>0.2029</v>
      </c>
      <c r="H54">
        <f t="shared" si="10"/>
        <v>2.0249500998003991</v>
      </c>
      <c r="I54" s="4"/>
    </row>
    <row r="55" spans="4:9" x14ac:dyDescent="0.25">
      <c r="D55" s="4"/>
      <c r="F55">
        <v>2</v>
      </c>
      <c r="G55">
        <v>0.11070000000000001</v>
      </c>
      <c r="H55">
        <f t="shared" si="10"/>
        <v>1.1047904191616766</v>
      </c>
      <c r="I55" s="4"/>
    </row>
    <row r="56" spans="4:9" x14ac:dyDescent="0.25">
      <c r="D56" s="4"/>
      <c r="F56">
        <v>3</v>
      </c>
      <c r="G56">
        <v>0.1118</v>
      </c>
      <c r="H56">
        <f t="shared" si="10"/>
        <v>1.1157684630738522</v>
      </c>
      <c r="I56" s="4"/>
    </row>
    <row r="57" spans="4:9" x14ac:dyDescent="0.25">
      <c r="D57" s="4"/>
      <c r="F57" s="108">
        <v>4</v>
      </c>
      <c r="G57" s="108">
        <v>0.1002</v>
      </c>
      <c r="H57" s="108">
        <f t="shared" si="10"/>
        <v>1</v>
      </c>
      <c r="I57" s="109">
        <v>0.99</v>
      </c>
    </row>
    <row r="58" spans="4:9" x14ac:dyDescent="0.25">
      <c r="D58" s="4"/>
      <c r="F58">
        <v>5</v>
      </c>
      <c r="G58">
        <v>0.1031</v>
      </c>
      <c r="H58">
        <f t="shared" si="10"/>
        <v>1.0289421157684631</v>
      </c>
      <c r="I58" s="4"/>
    </row>
    <row r="59" spans="4:9" x14ac:dyDescent="0.25">
      <c r="D59" s="4"/>
      <c r="F59">
        <v>6</v>
      </c>
      <c r="G59">
        <v>0.10639999999999999</v>
      </c>
      <c r="H59">
        <f t="shared" si="10"/>
        <v>1.0618762475049901</v>
      </c>
      <c r="I59" s="4"/>
    </row>
    <row r="60" spans="4:9" x14ac:dyDescent="0.25">
      <c r="D60" s="4"/>
      <c r="G60">
        <f>MIN(G53:G59)</f>
        <v>0.1002</v>
      </c>
      <c r="I60" s="4"/>
    </row>
    <row r="61" spans="4:9" x14ac:dyDescent="0.25">
      <c r="D61"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topLeftCell="A10" workbookViewId="0">
      <selection activeCell="P21" sqref="P21"/>
    </sheetView>
  </sheetViews>
  <sheetFormatPr defaultColWidth="11.42578125" defaultRowHeight="15" x14ac:dyDescent="0.25"/>
  <cols>
    <col min="1" max="1" width="17.5703125" bestFit="1" customWidth="1"/>
    <col min="2" max="2" width="13.85546875" bestFit="1" customWidth="1"/>
    <col min="3" max="3" width="24.7109375" style="4" bestFit="1" customWidth="1"/>
    <col min="4" max="4" width="20.28515625" style="4" bestFit="1" customWidth="1"/>
  </cols>
  <sheetData>
    <row r="1" spans="1:4" x14ac:dyDescent="0.25">
      <c r="C1" s="4" t="s">
        <v>1773</v>
      </c>
      <c r="D1" s="4" t="s">
        <v>1774</v>
      </c>
    </row>
    <row r="2" spans="1:4" x14ac:dyDescent="0.25">
      <c r="A2" t="s">
        <v>1739</v>
      </c>
      <c r="B2" t="s">
        <v>1167</v>
      </c>
      <c r="C2" s="4">
        <v>94.4</v>
      </c>
      <c r="D2" s="4">
        <v>140</v>
      </c>
    </row>
    <row r="3" spans="1:4" x14ac:dyDescent="0.25">
      <c r="A3" t="s">
        <v>1740</v>
      </c>
      <c r="B3" t="s">
        <v>1741</v>
      </c>
      <c r="C3" s="4">
        <v>45</v>
      </c>
      <c r="D3" s="4">
        <v>60</v>
      </c>
    </row>
    <row r="4" spans="1:4" x14ac:dyDescent="0.25">
      <c r="A4" t="s">
        <v>1742</v>
      </c>
      <c r="B4" t="s">
        <v>1743</v>
      </c>
      <c r="C4" s="4">
        <v>150</v>
      </c>
      <c r="D4" s="4">
        <v>213.5</v>
      </c>
    </row>
    <row r="5" spans="1:4" x14ac:dyDescent="0.25">
      <c r="A5" t="s">
        <v>1744</v>
      </c>
      <c r="B5" t="s">
        <v>1745</v>
      </c>
      <c r="C5" s="4">
        <v>132</v>
      </c>
      <c r="D5" s="4">
        <v>200</v>
      </c>
    </row>
    <row r="6" spans="1:4" x14ac:dyDescent="0.25">
      <c r="A6" t="s">
        <v>1746</v>
      </c>
      <c r="B6" t="s">
        <v>1747</v>
      </c>
      <c r="C6" s="4">
        <v>300</v>
      </c>
      <c r="D6" s="4">
        <v>482</v>
      </c>
    </row>
    <row r="7" spans="1:4" x14ac:dyDescent="0.25">
      <c r="A7" t="s">
        <v>1748</v>
      </c>
      <c r="B7" t="s">
        <v>1749</v>
      </c>
      <c r="C7" s="4">
        <v>60</v>
      </c>
      <c r="D7" s="4">
        <v>100</v>
      </c>
    </row>
    <row r="8" spans="1:4" x14ac:dyDescent="0.25">
      <c r="A8" t="s">
        <v>1750</v>
      </c>
      <c r="B8" t="s">
        <v>1751</v>
      </c>
      <c r="C8" s="4">
        <v>50</v>
      </c>
      <c r="D8" s="4">
        <v>82.5</v>
      </c>
    </row>
    <row r="9" spans="1:4" x14ac:dyDescent="0.25">
      <c r="A9" t="s">
        <v>1752</v>
      </c>
      <c r="B9" t="s">
        <v>1753</v>
      </c>
      <c r="C9" s="4">
        <v>160</v>
      </c>
      <c r="D9" s="4">
        <v>194</v>
      </c>
    </row>
    <row r="10" spans="1:4" x14ac:dyDescent="0.25">
      <c r="A10" t="s">
        <v>1754</v>
      </c>
      <c r="B10" t="s">
        <v>1755</v>
      </c>
      <c r="C10" s="4">
        <v>244</v>
      </c>
      <c r="D10" s="4">
        <v>350</v>
      </c>
    </row>
    <row r="11" spans="1:4" x14ac:dyDescent="0.25">
      <c r="A11" t="s">
        <v>1756</v>
      </c>
      <c r="B11" t="s">
        <v>1757</v>
      </c>
      <c r="C11" s="4">
        <v>475</v>
      </c>
      <c r="D11" s="4">
        <v>640</v>
      </c>
    </row>
    <row r="12" spans="1:4" x14ac:dyDescent="0.25">
      <c r="A12" t="s">
        <v>1758</v>
      </c>
      <c r="B12" t="s">
        <v>1759</v>
      </c>
      <c r="C12" s="4">
        <v>450</v>
      </c>
      <c r="D12" s="4">
        <v>573</v>
      </c>
    </row>
    <row r="13" spans="1:4" x14ac:dyDescent="0.25">
      <c r="A13" t="s">
        <v>1760</v>
      </c>
      <c r="B13" t="s">
        <v>651</v>
      </c>
      <c r="C13" s="4">
        <v>700</v>
      </c>
      <c r="D13" s="4">
        <v>1250</v>
      </c>
    </row>
    <row r="14" spans="1:4" x14ac:dyDescent="0.25">
      <c r="A14" t="s">
        <v>1761</v>
      </c>
      <c r="B14" t="s">
        <v>1322</v>
      </c>
      <c r="C14" s="4">
        <v>957.58</v>
      </c>
      <c r="D14" s="4">
        <v>1850</v>
      </c>
    </row>
    <row r="15" spans="1:4" x14ac:dyDescent="0.25">
      <c r="A15" t="s">
        <v>1762</v>
      </c>
      <c r="B15" t="s">
        <v>1369</v>
      </c>
      <c r="C15" s="4">
        <v>100</v>
      </c>
      <c r="D15" s="4">
        <v>285</v>
      </c>
    </row>
    <row r="16" spans="1:4" x14ac:dyDescent="0.25">
      <c r="A16" t="s">
        <v>1763</v>
      </c>
      <c r="B16" t="s">
        <v>1764</v>
      </c>
      <c r="C16" s="4">
        <v>85</v>
      </c>
      <c r="D16" s="4">
        <v>122</v>
      </c>
    </row>
    <row r="17" spans="1:6" x14ac:dyDescent="0.25">
      <c r="A17" t="s">
        <v>1765</v>
      </c>
      <c r="B17" t="s">
        <v>1766</v>
      </c>
      <c r="C17" s="4">
        <v>35</v>
      </c>
      <c r="D17" s="4">
        <v>50</v>
      </c>
    </row>
    <row r="18" spans="1:6" x14ac:dyDescent="0.25">
      <c r="A18" t="s">
        <v>1765</v>
      </c>
      <c r="B18" t="s">
        <v>1767</v>
      </c>
      <c r="C18" s="4">
        <v>60</v>
      </c>
      <c r="D18" s="4">
        <v>100</v>
      </c>
      <c r="F18" t="s">
        <v>1776</v>
      </c>
    </row>
    <row r="19" spans="1:6" x14ac:dyDescent="0.25">
      <c r="A19" t="s">
        <v>1768</v>
      </c>
      <c r="B19" t="s">
        <v>1769</v>
      </c>
      <c r="C19" s="4">
        <v>100</v>
      </c>
      <c r="D19" s="4">
        <v>120</v>
      </c>
    </row>
    <row r="20" spans="1:6" x14ac:dyDescent="0.25">
      <c r="A20" t="s">
        <v>1770</v>
      </c>
      <c r="B20" t="s">
        <v>1771</v>
      </c>
      <c r="C20" s="4">
        <v>227</v>
      </c>
      <c r="D20" s="4">
        <v>310</v>
      </c>
    </row>
    <row r="21" spans="1:6" x14ac:dyDescent="0.25">
      <c r="A21" t="s">
        <v>1772</v>
      </c>
      <c r="B21" t="s">
        <v>1775</v>
      </c>
      <c r="C21" s="4">
        <v>335.5</v>
      </c>
      <c r="D21" s="4">
        <v>488.5</v>
      </c>
    </row>
    <row r="23" spans="1:6" x14ac:dyDescent="0.25">
      <c r="A23" t="s">
        <v>1777</v>
      </c>
      <c r="B23" t="s">
        <v>1778</v>
      </c>
      <c r="C23" s="4">
        <v>125</v>
      </c>
      <c r="D23" s="4">
        <v>600</v>
      </c>
    </row>
    <row r="24" spans="1:6" x14ac:dyDescent="0.25">
      <c r="A24" t="s">
        <v>1779</v>
      </c>
      <c r="B24" t="s">
        <v>1780</v>
      </c>
      <c r="C24" s="4">
        <v>66.900000000000006</v>
      </c>
      <c r="D24" s="4">
        <v>200</v>
      </c>
    </row>
    <row r="25" spans="1:6" x14ac:dyDescent="0.25">
      <c r="A25" t="s">
        <v>1781</v>
      </c>
      <c r="B25" t="s">
        <v>1782</v>
      </c>
      <c r="C25" s="4">
        <v>53.4</v>
      </c>
      <c r="D25" s="4">
        <v>109</v>
      </c>
    </row>
    <row r="26" spans="1:6" x14ac:dyDescent="0.25">
      <c r="A26" t="s">
        <v>1783</v>
      </c>
      <c r="B26" t="s">
        <v>1171</v>
      </c>
      <c r="C26" s="4">
        <v>25</v>
      </c>
      <c r="D26" s="4">
        <v>60</v>
      </c>
    </row>
    <row r="27" spans="1:6" x14ac:dyDescent="0.25">
      <c r="A27" t="s">
        <v>1784</v>
      </c>
      <c r="B27" t="s">
        <v>1785</v>
      </c>
      <c r="C27" s="4">
        <v>50</v>
      </c>
      <c r="D27" s="4">
        <v>100</v>
      </c>
    </row>
    <row r="28" spans="1:6" x14ac:dyDescent="0.25">
      <c r="A28" t="s">
        <v>1786</v>
      </c>
      <c r="B28" t="s">
        <v>1787</v>
      </c>
      <c r="C28" s="4">
        <v>20</v>
      </c>
      <c r="D28" s="4">
        <v>33.200000000000003</v>
      </c>
    </row>
    <row r="29" spans="1:6" x14ac:dyDescent="0.25">
      <c r="A29" t="s">
        <v>1788</v>
      </c>
      <c r="B29" t="s">
        <v>1789</v>
      </c>
      <c r="C29" s="4">
        <v>30</v>
      </c>
      <c r="D29" s="4">
        <v>70</v>
      </c>
    </row>
    <row r="30" spans="1:6" x14ac:dyDescent="0.25">
      <c r="A30" t="s">
        <v>1790</v>
      </c>
      <c r="B30" t="s">
        <v>1791</v>
      </c>
      <c r="C30" s="4">
        <v>30</v>
      </c>
      <c r="D30" s="4">
        <v>60</v>
      </c>
    </row>
    <row r="31" spans="1:6" x14ac:dyDescent="0.25">
      <c r="A31" t="s">
        <v>1792</v>
      </c>
      <c r="B31" t="s">
        <v>1793</v>
      </c>
      <c r="C31" s="4">
        <v>40</v>
      </c>
      <c r="D31" s="4">
        <v>90</v>
      </c>
    </row>
    <row r="32" spans="1:6" x14ac:dyDescent="0.25">
      <c r="A32" t="s">
        <v>1794</v>
      </c>
      <c r="B32" t="s">
        <v>1795</v>
      </c>
      <c r="C32" s="4">
        <v>25</v>
      </c>
      <c r="D32" s="4">
        <v>53</v>
      </c>
    </row>
    <row r="33" spans="1:6" x14ac:dyDescent="0.25">
      <c r="A33" t="s">
        <v>1796</v>
      </c>
      <c r="B33" t="s">
        <v>1797</v>
      </c>
      <c r="C33" s="4">
        <v>100</v>
      </c>
      <c r="D33" s="4">
        <v>200</v>
      </c>
    </row>
    <row r="34" spans="1:6" x14ac:dyDescent="0.25">
      <c r="A34" t="s">
        <v>1798</v>
      </c>
      <c r="B34" t="s">
        <v>1799</v>
      </c>
      <c r="C34" s="4">
        <v>30</v>
      </c>
      <c r="D34" s="4">
        <v>60</v>
      </c>
    </row>
    <row r="35" spans="1:6" x14ac:dyDescent="0.25">
      <c r="A35" t="s">
        <v>1800</v>
      </c>
      <c r="B35" t="s">
        <v>1801</v>
      </c>
      <c r="C35" s="4">
        <v>42.9</v>
      </c>
      <c r="D35" s="4">
        <v>61</v>
      </c>
    </row>
    <row r="36" spans="1:6" x14ac:dyDescent="0.25">
      <c r="A36" t="s">
        <v>1802</v>
      </c>
      <c r="B36" t="s">
        <v>1803</v>
      </c>
      <c r="C36" s="4">
        <v>12</v>
      </c>
      <c r="D36" s="4">
        <v>18</v>
      </c>
    </row>
    <row r="37" spans="1:6" x14ac:dyDescent="0.25">
      <c r="A37" t="s">
        <v>1804</v>
      </c>
      <c r="B37" t="s">
        <v>1805</v>
      </c>
      <c r="C37" s="4">
        <v>15</v>
      </c>
      <c r="D37" s="4">
        <v>27.5</v>
      </c>
    </row>
    <row r="38" spans="1:6" x14ac:dyDescent="0.25">
      <c r="A38" t="s">
        <v>1806</v>
      </c>
      <c r="B38" t="s">
        <v>1807</v>
      </c>
      <c r="C38" s="4">
        <v>55</v>
      </c>
      <c r="D38" s="4">
        <v>150</v>
      </c>
    </row>
    <row r="39" spans="1:6" x14ac:dyDescent="0.25">
      <c r="A39" t="s">
        <v>1808</v>
      </c>
      <c r="B39" t="s">
        <v>1809</v>
      </c>
      <c r="C39" s="4">
        <v>30</v>
      </c>
      <c r="D39" s="4">
        <v>35</v>
      </c>
      <c r="F39" t="s">
        <v>1833</v>
      </c>
    </row>
    <row r="40" spans="1:6" x14ac:dyDescent="0.25">
      <c r="A40" t="s">
        <v>1810</v>
      </c>
      <c r="B40" t="s">
        <v>1811</v>
      </c>
      <c r="C40" s="4">
        <v>45</v>
      </c>
      <c r="D40" s="4">
        <v>104</v>
      </c>
    </row>
    <row r="41" spans="1:6" x14ac:dyDescent="0.25">
      <c r="A41" t="s">
        <v>1812</v>
      </c>
      <c r="B41" t="s">
        <v>1813</v>
      </c>
      <c r="C41" s="4">
        <v>100</v>
      </c>
      <c r="D41" s="4">
        <v>200</v>
      </c>
    </row>
    <row r="42" spans="1:6" x14ac:dyDescent="0.25">
      <c r="A42" t="s">
        <v>1814</v>
      </c>
      <c r="B42" t="s">
        <v>1815</v>
      </c>
      <c r="C42" s="4">
        <v>20</v>
      </c>
      <c r="D42" s="4">
        <v>30</v>
      </c>
    </row>
    <row r="43" spans="1:6" x14ac:dyDescent="0.25">
      <c r="A43" t="s">
        <v>1816</v>
      </c>
      <c r="B43" t="s">
        <v>1817</v>
      </c>
      <c r="C43" s="4">
        <v>35</v>
      </c>
      <c r="D43" s="4">
        <v>70</v>
      </c>
    </row>
    <row r="44" spans="1:6" x14ac:dyDescent="0.25">
      <c r="A44" t="s">
        <v>1818</v>
      </c>
      <c r="B44" t="s">
        <v>1819</v>
      </c>
      <c r="C44" s="4">
        <v>300</v>
      </c>
      <c r="D44" s="4">
        <v>500</v>
      </c>
    </row>
    <row r="45" spans="1:6" x14ac:dyDescent="0.25">
      <c r="A45" t="s">
        <v>1820</v>
      </c>
      <c r="B45" t="s">
        <v>1821</v>
      </c>
      <c r="C45" s="4">
        <v>30</v>
      </c>
      <c r="D45" s="4">
        <v>85</v>
      </c>
    </row>
    <row r="46" spans="1:6" x14ac:dyDescent="0.25">
      <c r="A46" t="s">
        <v>1822</v>
      </c>
      <c r="B46" t="s">
        <v>1823</v>
      </c>
      <c r="C46" s="4">
        <v>38</v>
      </c>
      <c r="D46" s="4">
        <v>135</v>
      </c>
    </row>
    <row r="47" spans="1:6" x14ac:dyDescent="0.25">
      <c r="A47" t="s">
        <v>1824</v>
      </c>
      <c r="B47" t="s">
        <v>1825</v>
      </c>
      <c r="C47" s="4">
        <v>30</v>
      </c>
      <c r="D47" s="4">
        <v>45</v>
      </c>
    </row>
    <row r="48" spans="1:6" x14ac:dyDescent="0.25">
      <c r="A48" t="s">
        <v>1826</v>
      </c>
      <c r="B48" t="s">
        <v>1173</v>
      </c>
      <c r="C48" s="4">
        <v>47</v>
      </c>
      <c r="D48" s="4">
        <v>143.5</v>
      </c>
    </row>
    <row r="49" spans="1:4" x14ac:dyDescent="0.25">
      <c r="A49" t="s">
        <v>1827</v>
      </c>
      <c r="B49" t="s">
        <v>1828</v>
      </c>
      <c r="C49" s="4">
        <v>42</v>
      </c>
      <c r="D49" s="4">
        <v>127</v>
      </c>
    </row>
    <row r="50" spans="1:4" x14ac:dyDescent="0.25">
      <c r="A50" t="s">
        <v>1829</v>
      </c>
      <c r="B50" t="s">
        <v>1830</v>
      </c>
      <c r="C50" s="4">
        <v>40</v>
      </c>
      <c r="D50" s="4">
        <v>46</v>
      </c>
    </row>
    <row r="51" spans="1:4" x14ac:dyDescent="0.25">
      <c r="A51" t="s">
        <v>1831</v>
      </c>
      <c r="B51" t="s">
        <v>1832</v>
      </c>
      <c r="C51" s="4">
        <v>20</v>
      </c>
      <c r="D51" s="4">
        <v>30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3D Bony Sample</vt:lpstr>
      <vt:lpstr>3D Membranous Sample</vt:lpstr>
      <vt:lpstr>2D Membranous Sample</vt:lpstr>
      <vt:lpstr>TMI</vt:lpstr>
      <vt:lpstr>PSLR Estimations of Fossils</vt:lpstr>
      <vt:lpstr>PLS Regressions 2D set</vt:lpstr>
      <vt:lpstr>Regresssions for common length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David</dc:creator>
  <cp:lastModifiedBy>informatica</cp:lastModifiedBy>
  <dcterms:created xsi:type="dcterms:W3CDTF">2021-05-05T12:53:59Z</dcterms:created>
  <dcterms:modified xsi:type="dcterms:W3CDTF">2021-05-28T16:19:16Z</dcterms:modified>
</cp:coreProperties>
</file>