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loucestermarine-my.sharepoint.com/personal/andrea_bodnar_gmgi_org/Documents/Desktop/1_Cell culture manuscript for submission 17Dec2024/"/>
    </mc:Choice>
  </mc:AlternateContent>
  <xr:revisionPtr revIDLastSave="0" documentId="8_{C50224E5-888B-4793-BA04-5504CEA8D77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3%FBS" sheetId="1" r:id="rId1"/>
    <sheet name="5%FBS" sheetId="2" r:id="rId2"/>
    <sheet name="10%FBS" sheetId="3" r:id="rId3"/>
    <sheet name="15%FBS" sheetId="4" r:id="rId4"/>
    <sheet name="Growth Summary" sheetId="9" r:id="rId5"/>
    <sheet name="Viability Summary" sheetId="10" r:id="rId6"/>
    <sheet name="Red Cells Summary" sheetId="8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8B0b54pPgj95/7ldGkHKKjeiLHIkMYXc2iJshoPg4yo="/>
    </ext>
  </extLst>
</workbook>
</file>

<file path=xl/calcChain.xml><?xml version="1.0" encoding="utf-8"?>
<calcChain xmlns="http://schemas.openxmlformats.org/spreadsheetml/2006/main">
  <c r="I502" i="4" l="1"/>
  <c r="I501" i="4"/>
  <c r="I500" i="4"/>
  <c r="C500" i="4"/>
  <c r="I499" i="4"/>
  <c r="I498" i="4"/>
  <c r="I497" i="4"/>
  <c r="C497" i="4"/>
  <c r="I496" i="4"/>
  <c r="I495" i="4"/>
  <c r="I494" i="4"/>
  <c r="C494" i="4"/>
  <c r="I493" i="4"/>
  <c r="I492" i="4"/>
  <c r="I491" i="4"/>
  <c r="C491" i="4"/>
  <c r="I490" i="4"/>
  <c r="I489" i="4"/>
  <c r="I488" i="4"/>
  <c r="C488" i="4"/>
  <c r="I487" i="4"/>
  <c r="I486" i="4"/>
  <c r="I485" i="4"/>
  <c r="C485" i="4"/>
  <c r="I484" i="4"/>
  <c r="I483" i="4"/>
  <c r="I482" i="4"/>
  <c r="C482" i="4"/>
  <c r="I481" i="4"/>
  <c r="I480" i="4"/>
  <c r="I479" i="4"/>
  <c r="C479" i="4"/>
  <c r="I478" i="4"/>
  <c r="I477" i="4"/>
  <c r="I476" i="4"/>
  <c r="C476" i="4"/>
  <c r="I475" i="4"/>
  <c r="I474" i="4"/>
  <c r="I473" i="4"/>
  <c r="C473" i="4"/>
  <c r="I472" i="4"/>
  <c r="I471" i="4"/>
  <c r="I470" i="4"/>
  <c r="C470" i="4"/>
  <c r="I469" i="4"/>
  <c r="I468" i="4"/>
  <c r="I467" i="4"/>
  <c r="C467" i="4"/>
  <c r="I466" i="4"/>
  <c r="I465" i="4"/>
  <c r="I464" i="4"/>
  <c r="C464" i="4"/>
  <c r="I463" i="4"/>
  <c r="I462" i="4"/>
  <c r="I461" i="4"/>
  <c r="C461" i="4"/>
  <c r="I460" i="4"/>
  <c r="I459" i="4"/>
  <c r="I458" i="4"/>
  <c r="C458" i="4"/>
  <c r="I457" i="4"/>
  <c r="I456" i="4"/>
  <c r="I455" i="4"/>
  <c r="C455" i="4"/>
  <c r="I454" i="4"/>
  <c r="I453" i="4"/>
  <c r="I452" i="4"/>
  <c r="C452" i="4"/>
  <c r="I451" i="4"/>
  <c r="I450" i="4"/>
  <c r="I449" i="4"/>
  <c r="C449" i="4"/>
  <c r="I448" i="4"/>
  <c r="I447" i="4"/>
  <c r="I446" i="4"/>
  <c r="C446" i="4"/>
  <c r="I445" i="4"/>
  <c r="I444" i="4"/>
  <c r="I443" i="4"/>
  <c r="C443" i="4"/>
  <c r="I442" i="4"/>
  <c r="I441" i="4"/>
  <c r="I440" i="4"/>
  <c r="C440" i="4"/>
  <c r="I439" i="4"/>
  <c r="I438" i="4"/>
  <c r="I437" i="4"/>
  <c r="C437" i="4"/>
  <c r="I508" i="3"/>
  <c r="I507" i="3"/>
  <c r="I506" i="3"/>
  <c r="J506" i="3" s="1"/>
  <c r="I505" i="3"/>
  <c r="I504" i="3"/>
  <c r="I503" i="3"/>
  <c r="J503" i="3" s="1"/>
  <c r="I502" i="3"/>
  <c r="I501" i="3"/>
  <c r="I500" i="3"/>
  <c r="J500" i="3" s="1"/>
  <c r="I499" i="3"/>
  <c r="I498" i="3"/>
  <c r="I497" i="3"/>
  <c r="J497" i="3" s="1"/>
  <c r="I496" i="3"/>
  <c r="I495" i="3"/>
  <c r="I494" i="3"/>
  <c r="J494" i="3" s="1"/>
  <c r="I493" i="3"/>
  <c r="I492" i="3"/>
  <c r="I491" i="3"/>
  <c r="J491" i="3" s="1"/>
  <c r="I490" i="3"/>
  <c r="I489" i="3"/>
  <c r="I488" i="3"/>
  <c r="J488" i="3" s="1"/>
  <c r="I487" i="3"/>
  <c r="I486" i="3"/>
  <c r="I485" i="3"/>
  <c r="J485" i="3" s="1"/>
  <c r="I484" i="3"/>
  <c r="I483" i="3"/>
  <c r="I482" i="3"/>
  <c r="J482" i="3" s="1"/>
  <c r="I481" i="3"/>
  <c r="I480" i="3"/>
  <c r="I479" i="3"/>
  <c r="J479" i="3" s="1"/>
  <c r="I478" i="3"/>
  <c r="I477" i="3"/>
  <c r="I476" i="3"/>
  <c r="J476" i="3" s="1"/>
  <c r="I475" i="3"/>
  <c r="I474" i="3"/>
  <c r="I473" i="3"/>
  <c r="J473" i="3" s="1"/>
  <c r="I472" i="3"/>
  <c r="I471" i="3"/>
  <c r="I470" i="3"/>
  <c r="J470" i="3" s="1"/>
  <c r="I469" i="3"/>
  <c r="I468" i="3"/>
  <c r="I467" i="3"/>
  <c r="J467" i="3" s="1"/>
  <c r="I466" i="3"/>
  <c r="I465" i="3"/>
  <c r="I464" i="3"/>
  <c r="J464" i="3" s="1"/>
  <c r="I463" i="3"/>
  <c r="I462" i="3"/>
  <c r="I461" i="3"/>
  <c r="J461" i="3" s="1"/>
  <c r="I460" i="3"/>
  <c r="I459" i="3"/>
  <c r="I458" i="3"/>
  <c r="J458" i="3" s="1"/>
  <c r="I457" i="3"/>
  <c r="I456" i="3"/>
  <c r="I455" i="3"/>
  <c r="J455" i="3" s="1"/>
  <c r="I454" i="3"/>
  <c r="I453" i="3"/>
  <c r="I452" i="3"/>
  <c r="J452" i="3" s="1"/>
  <c r="I451" i="3"/>
  <c r="I450" i="3"/>
  <c r="I449" i="3"/>
  <c r="J449" i="3" s="1"/>
  <c r="I448" i="3"/>
  <c r="I447" i="3"/>
  <c r="I446" i="3"/>
  <c r="J446" i="3" s="1"/>
  <c r="I445" i="3"/>
  <c r="I444" i="3"/>
  <c r="I443" i="3"/>
  <c r="J443" i="3" s="1"/>
  <c r="I499" i="2"/>
  <c r="I498" i="2"/>
  <c r="I497" i="2"/>
  <c r="J497" i="2" s="1"/>
  <c r="I496" i="2"/>
  <c r="I495" i="2"/>
  <c r="I494" i="2"/>
  <c r="J494" i="2" s="1"/>
  <c r="I493" i="2"/>
  <c r="I492" i="2"/>
  <c r="I491" i="2"/>
  <c r="J491" i="2" s="1"/>
  <c r="I490" i="2"/>
  <c r="I489" i="2"/>
  <c r="I488" i="2"/>
  <c r="J488" i="2" s="1"/>
  <c r="I487" i="2"/>
  <c r="I486" i="2"/>
  <c r="I485" i="2"/>
  <c r="J485" i="2" s="1"/>
  <c r="I484" i="2"/>
  <c r="I483" i="2"/>
  <c r="I482" i="2"/>
  <c r="J482" i="2" s="1"/>
  <c r="I481" i="2"/>
  <c r="I480" i="2"/>
  <c r="I479" i="2"/>
  <c r="J479" i="2" s="1"/>
  <c r="I478" i="2"/>
  <c r="I477" i="2"/>
  <c r="I476" i="2"/>
  <c r="J476" i="2" s="1"/>
  <c r="I475" i="2"/>
  <c r="I474" i="2"/>
  <c r="I473" i="2"/>
  <c r="J473" i="2" s="1"/>
  <c r="I472" i="2"/>
  <c r="I471" i="2"/>
  <c r="I470" i="2"/>
  <c r="J470" i="2" s="1"/>
  <c r="I469" i="2"/>
  <c r="I468" i="2"/>
  <c r="I467" i="2"/>
  <c r="J467" i="2" s="1"/>
  <c r="I466" i="2"/>
  <c r="I465" i="2"/>
  <c r="I464" i="2"/>
  <c r="J464" i="2" s="1"/>
  <c r="I463" i="2"/>
  <c r="I462" i="2"/>
  <c r="I461" i="2"/>
  <c r="J461" i="2" s="1"/>
  <c r="I460" i="2"/>
  <c r="I459" i="2"/>
  <c r="I458" i="2"/>
  <c r="J458" i="2" s="1"/>
  <c r="I457" i="2"/>
  <c r="I456" i="2"/>
  <c r="I455" i="2"/>
  <c r="J455" i="2" s="1"/>
  <c r="I454" i="2"/>
  <c r="I453" i="2"/>
  <c r="I452" i="2"/>
  <c r="J452" i="2" s="1"/>
  <c r="I451" i="2"/>
  <c r="I450" i="2"/>
  <c r="I449" i="2"/>
  <c r="J449" i="2" s="1"/>
  <c r="I448" i="2"/>
  <c r="I447" i="2"/>
  <c r="I446" i="2"/>
  <c r="J446" i="2" s="1"/>
  <c r="I445" i="2"/>
  <c r="I444" i="2"/>
  <c r="I443" i="2"/>
  <c r="J443" i="2" s="1"/>
  <c r="I442" i="2"/>
  <c r="I441" i="2"/>
  <c r="I440" i="2"/>
  <c r="J440" i="2" s="1"/>
  <c r="I439" i="2"/>
  <c r="I438" i="2"/>
  <c r="I437" i="2"/>
  <c r="J437" i="2" s="1"/>
  <c r="I436" i="2"/>
  <c r="I435" i="2"/>
  <c r="I434" i="2"/>
  <c r="J434" i="2" s="1"/>
  <c r="I499" i="1"/>
  <c r="I498" i="1"/>
  <c r="I497" i="1"/>
  <c r="J497" i="1" s="1"/>
  <c r="I496" i="1"/>
  <c r="I495" i="1"/>
  <c r="I494" i="1"/>
  <c r="J494" i="1" s="1"/>
  <c r="I493" i="1"/>
  <c r="I492" i="1"/>
  <c r="I491" i="1"/>
  <c r="J491" i="1" s="1"/>
  <c r="I490" i="1"/>
  <c r="I489" i="1"/>
  <c r="I488" i="1"/>
  <c r="I487" i="1"/>
  <c r="I486" i="1"/>
  <c r="I485" i="1"/>
  <c r="J485" i="1" s="1"/>
  <c r="I484" i="1"/>
  <c r="I483" i="1"/>
  <c r="I482" i="1"/>
  <c r="I481" i="1"/>
  <c r="I480" i="1"/>
  <c r="I479" i="1"/>
  <c r="J479" i="1" s="1"/>
  <c r="I478" i="1"/>
  <c r="I477" i="1"/>
  <c r="I476" i="1"/>
  <c r="J476" i="1" s="1"/>
  <c r="I475" i="1"/>
  <c r="I474" i="1"/>
  <c r="I473" i="1"/>
  <c r="J473" i="1" s="1"/>
  <c r="L473" i="1" s="1"/>
  <c r="O473" i="1" s="1"/>
  <c r="I472" i="1"/>
  <c r="I471" i="1"/>
  <c r="I470" i="1"/>
  <c r="J470" i="1" s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J455" i="1" s="1"/>
  <c r="I454" i="1"/>
  <c r="I453" i="1"/>
  <c r="I452" i="1"/>
  <c r="J452" i="1" s="1"/>
  <c r="I451" i="1"/>
  <c r="I450" i="1"/>
  <c r="I449" i="1"/>
  <c r="I448" i="1"/>
  <c r="I447" i="1"/>
  <c r="I446" i="1"/>
  <c r="J446" i="1" s="1"/>
  <c r="I445" i="1"/>
  <c r="I444" i="1"/>
  <c r="I443" i="1"/>
  <c r="I442" i="1"/>
  <c r="I441" i="1"/>
  <c r="I440" i="1"/>
  <c r="I439" i="1"/>
  <c r="I438" i="1"/>
  <c r="I437" i="1"/>
  <c r="J437" i="1" s="1"/>
  <c r="I436" i="1"/>
  <c r="I435" i="1"/>
  <c r="I434" i="1"/>
  <c r="A257" i="2"/>
  <c r="A260" i="2" s="1"/>
  <c r="A263" i="2" s="1"/>
  <c r="A266" i="2" s="1"/>
  <c r="A269" i="2" s="1"/>
  <c r="A272" i="2" s="1"/>
  <c r="A275" i="2" s="1"/>
  <c r="A278" i="2" s="1"/>
  <c r="A281" i="2" s="1"/>
  <c r="A284" i="2" s="1"/>
  <c r="A287" i="2" s="1"/>
  <c r="A290" i="2" s="1"/>
  <c r="A293" i="2" s="1"/>
  <c r="A296" i="2" s="1"/>
  <c r="A299" i="2" s="1"/>
  <c r="A302" i="2" s="1"/>
  <c r="A305" i="2" s="1"/>
  <c r="A308" i="2" s="1"/>
  <c r="A311" i="2" s="1"/>
  <c r="A314" i="2" s="1"/>
  <c r="A317" i="2" s="1"/>
  <c r="A320" i="2" s="1"/>
  <c r="A323" i="2" s="1"/>
  <c r="A326" i="2" s="1"/>
  <c r="A329" i="2" s="1"/>
  <c r="A332" i="2" s="1"/>
  <c r="A335" i="2" s="1"/>
  <c r="A338" i="2" s="1"/>
  <c r="A341" i="2" s="1"/>
  <c r="A344" i="2" s="1"/>
  <c r="A347" i="2" s="1"/>
  <c r="A350" i="2" s="1"/>
  <c r="A353" i="2" s="1"/>
  <c r="A356" i="2" s="1"/>
  <c r="A359" i="2" s="1"/>
  <c r="A362" i="2" s="1"/>
  <c r="A365" i="2" s="1"/>
  <c r="A368" i="2" s="1"/>
  <c r="A371" i="2" s="1"/>
  <c r="A374" i="2" s="1"/>
  <c r="A377" i="2" s="1"/>
  <c r="A380" i="2" s="1"/>
  <c r="A383" i="2" s="1"/>
  <c r="A386" i="2" s="1"/>
  <c r="A389" i="2" s="1"/>
  <c r="A392" i="2" s="1"/>
  <c r="A395" i="2" s="1"/>
  <c r="A398" i="2" s="1"/>
  <c r="A401" i="2" s="1"/>
  <c r="A404" i="2" s="1"/>
  <c r="A407" i="2" s="1"/>
  <c r="A410" i="2" s="1"/>
  <c r="A413" i="2" s="1"/>
  <c r="A416" i="2" s="1"/>
  <c r="A419" i="2" s="1"/>
  <c r="A422" i="2" s="1"/>
  <c r="A425" i="2" s="1"/>
  <c r="A428" i="2" s="1"/>
  <c r="A431" i="2" s="1"/>
  <c r="A434" i="2" s="1"/>
  <c r="A437" i="2" s="1"/>
  <c r="A440" i="2" s="1"/>
  <c r="A443" i="2" s="1"/>
  <c r="A446" i="2" s="1"/>
  <c r="A449" i="2" s="1"/>
  <c r="A452" i="2" s="1"/>
  <c r="A455" i="2" s="1"/>
  <c r="A458" i="2" s="1"/>
  <c r="A461" i="2" s="1"/>
  <c r="A464" i="2" s="1"/>
  <c r="A467" i="2" s="1"/>
  <c r="A470" i="2" s="1"/>
  <c r="A473" i="2" s="1"/>
  <c r="A476" i="2" s="1"/>
  <c r="A479" i="2" s="1"/>
  <c r="A482" i="2" s="1"/>
  <c r="A485" i="2" s="1"/>
  <c r="A488" i="2" s="1"/>
  <c r="A491" i="2" s="1"/>
  <c r="A494" i="2" s="1"/>
  <c r="A497" i="2" s="1"/>
  <c r="C434" i="4"/>
  <c r="I434" i="4"/>
  <c r="J434" i="4" s="1"/>
  <c r="K434" i="4"/>
  <c r="I435" i="4"/>
  <c r="I436" i="4"/>
  <c r="C440" i="3"/>
  <c r="I440" i="3"/>
  <c r="J440" i="3" s="1"/>
  <c r="K440" i="3"/>
  <c r="I441" i="3"/>
  <c r="I442" i="3"/>
  <c r="C431" i="2"/>
  <c r="I431" i="2"/>
  <c r="J431" i="2" s="1"/>
  <c r="K431" i="2"/>
  <c r="I432" i="2"/>
  <c r="I433" i="2"/>
  <c r="C431" i="1"/>
  <c r="I431" i="1"/>
  <c r="J431" i="1" s="1"/>
  <c r="I432" i="1"/>
  <c r="I433" i="1"/>
  <c r="C425" i="4"/>
  <c r="I425" i="4"/>
  <c r="J425" i="4" s="1"/>
  <c r="K425" i="4"/>
  <c r="I426" i="4"/>
  <c r="I427" i="4"/>
  <c r="C428" i="4"/>
  <c r="I428" i="4"/>
  <c r="J428" i="4" s="1"/>
  <c r="K428" i="4"/>
  <c r="I429" i="4"/>
  <c r="I430" i="4"/>
  <c r="C431" i="4"/>
  <c r="I431" i="4"/>
  <c r="J431" i="4" s="1"/>
  <c r="K431" i="4"/>
  <c r="I432" i="4"/>
  <c r="I433" i="4"/>
  <c r="C431" i="3"/>
  <c r="I431" i="3"/>
  <c r="J431" i="3" s="1"/>
  <c r="K431" i="3"/>
  <c r="I432" i="3"/>
  <c r="I433" i="3"/>
  <c r="C434" i="3"/>
  <c r="I434" i="3"/>
  <c r="J434" i="3" s="1"/>
  <c r="K434" i="3"/>
  <c r="I435" i="3"/>
  <c r="I436" i="3"/>
  <c r="C437" i="3"/>
  <c r="I437" i="3"/>
  <c r="J437" i="3" s="1"/>
  <c r="K437" i="3"/>
  <c r="I438" i="3"/>
  <c r="I439" i="3"/>
  <c r="C422" i="2"/>
  <c r="I422" i="2"/>
  <c r="J422" i="2" s="1"/>
  <c r="K422" i="2"/>
  <c r="I423" i="2"/>
  <c r="I424" i="2"/>
  <c r="C425" i="2"/>
  <c r="I425" i="2"/>
  <c r="J425" i="2" s="1"/>
  <c r="K425" i="2"/>
  <c r="I426" i="2"/>
  <c r="I427" i="2"/>
  <c r="C428" i="2"/>
  <c r="I428" i="2"/>
  <c r="J428" i="2" s="1"/>
  <c r="L428" i="2" s="1"/>
  <c r="K428" i="2"/>
  <c r="I429" i="2"/>
  <c r="I430" i="2"/>
  <c r="C422" i="1"/>
  <c r="I422" i="1"/>
  <c r="J422" i="1" s="1"/>
  <c r="L422" i="1" s="1"/>
  <c r="O422" i="1" s="1"/>
  <c r="I423" i="1"/>
  <c r="I424" i="1"/>
  <c r="C425" i="1"/>
  <c r="I425" i="1"/>
  <c r="J425" i="1" s="1"/>
  <c r="I426" i="1"/>
  <c r="I427" i="1"/>
  <c r="C428" i="1"/>
  <c r="I428" i="1"/>
  <c r="I429" i="1"/>
  <c r="I430" i="1"/>
  <c r="C413" i="1"/>
  <c r="I413" i="1"/>
  <c r="J413" i="1" s="1"/>
  <c r="I414" i="1"/>
  <c r="I415" i="1"/>
  <c r="C416" i="1"/>
  <c r="I416" i="1"/>
  <c r="J416" i="1" s="1"/>
  <c r="I417" i="1"/>
  <c r="I418" i="1"/>
  <c r="C419" i="1"/>
  <c r="I419" i="1"/>
  <c r="J419" i="1" s="1"/>
  <c r="I420" i="1"/>
  <c r="I421" i="1"/>
  <c r="C413" i="2"/>
  <c r="I413" i="2"/>
  <c r="J413" i="2" s="1"/>
  <c r="L413" i="2" s="1"/>
  <c r="K413" i="2"/>
  <c r="I414" i="2"/>
  <c r="I415" i="2"/>
  <c r="C416" i="2"/>
  <c r="I416" i="2"/>
  <c r="J416" i="2" s="1"/>
  <c r="K416" i="2"/>
  <c r="I417" i="2"/>
  <c r="I418" i="2"/>
  <c r="C419" i="2"/>
  <c r="I419" i="2"/>
  <c r="K419" i="2"/>
  <c r="I420" i="2"/>
  <c r="I421" i="2"/>
  <c r="C422" i="3"/>
  <c r="I422" i="3"/>
  <c r="J422" i="3" s="1"/>
  <c r="K422" i="3"/>
  <c r="I423" i="3"/>
  <c r="I424" i="3"/>
  <c r="C425" i="3"/>
  <c r="I425" i="3"/>
  <c r="J425" i="3" s="1"/>
  <c r="K425" i="3"/>
  <c r="I426" i="3"/>
  <c r="I427" i="3"/>
  <c r="C428" i="3"/>
  <c r="I428" i="3"/>
  <c r="J428" i="3" s="1"/>
  <c r="K428" i="3"/>
  <c r="I429" i="3"/>
  <c r="I430" i="3"/>
  <c r="C416" i="4"/>
  <c r="I416" i="4"/>
  <c r="J416" i="4" s="1"/>
  <c r="K416" i="4"/>
  <c r="I417" i="4"/>
  <c r="I418" i="4"/>
  <c r="C419" i="4"/>
  <c r="I419" i="4"/>
  <c r="J419" i="4" s="1"/>
  <c r="K419" i="4"/>
  <c r="I420" i="4"/>
  <c r="I421" i="4"/>
  <c r="C422" i="4"/>
  <c r="I422" i="4"/>
  <c r="J422" i="4" s="1"/>
  <c r="K422" i="4"/>
  <c r="I423" i="4"/>
  <c r="I424" i="4"/>
  <c r="N455" i="4" l="1"/>
  <c r="N461" i="4"/>
  <c r="N479" i="4"/>
  <c r="N485" i="4"/>
  <c r="M437" i="4"/>
  <c r="M443" i="4"/>
  <c r="M461" i="4"/>
  <c r="M467" i="4"/>
  <c r="M485" i="4"/>
  <c r="N422" i="4"/>
  <c r="N428" i="4"/>
  <c r="N464" i="4"/>
  <c r="N488" i="4"/>
  <c r="N431" i="4"/>
  <c r="N440" i="4"/>
  <c r="N446" i="4"/>
  <c r="N458" i="4"/>
  <c r="N470" i="4"/>
  <c r="N482" i="4"/>
  <c r="N494" i="4"/>
  <c r="N443" i="4"/>
  <c r="N449" i="4"/>
  <c r="N467" i="4"/>
  <c r="N473" i="4"/>
  <c r="N491" i="4"/>
  <c r="N497" i="4"/>
  <c r="N422" i="3"/>
  <c r="N434" i="3"/>
  <c r="M494" i="3"/>
  <c r="N470" i="3"/>
  <c r="N467" i="3"/>
  <c r="N482" i="3"/>
  <c r="M449" i="3"/>
  <c r="M473" i="3"/>
  <c r="N488" i="3"/>
  <c r="N458" i="3"/>
  <c r="N473" i="3"/>
  <c r="M482" i="3"/>
  <c r="M497" i="3"/>
  <c r="N431" i="3"/>
  <c r="M446" i="3"/>
  <c r="N428" i="3"/>
  <c r="M470" i="3"/>
  <c r="N446" i="3"/>
  <c r="M461" i="3"/>
  <c r="N497" i="3"/>
  <c r="M506" i="3"/>
  <c r="N491" i="3"/>
  <c r="N461" i="3"/>
  <c r="M485" i="3"/>
  <c r="N506" i="3"/>
  <c r="N485" i="3"/>
  <c r="N425" i="3"/>
  <c r="N437" i="3"/>
  <c r="N449" i="3"/>
  <c r="M458" i="3"/>
  <c r="N464" i="3"/>
  <c r="N443" i="3"/>
  <c r="N494" i="3"/>
  <c r="N440" i="3"/>
  <c r="M455" i="2"/>
  <c r="M479" i="2"/>
  <c r="N452" i="2"/>
  <c r="N476" i="2"/>
  <c r="N494" i="2"/>
  <c r="N455" i="2"/>
  <c r="N479" i="2"/>
  <c r="N446" i="2"/>
  <c r="N440" i="2"/>
  <c r="N464" i="2"/>
  <c r="N488" i="2"/>
  <c r="N470" i="2"/>
  <c r="N437" i="2"/>
  <c r="N461" i="2"/>
  <c r="M440" i="2"/>
  <c r="M464" i="2"/>
  <c r="M488" i="2"/>
  <c r="N434" i="2"/>
  <c r="N458" i="2"/>
  <c r="N482" i="2"/>
  <c r="N443" i="2"/>
  <c r="N467" i="2"/>
  <c r="N491" i="2"/>
  <c r="N419" i="2"/>
  <c r="N485" i="2"/>
  <c r="M467" i="1"/>
  <c r="N419" i="1"/>
  <c r="N413" i="1"/>
  <c r="N425" i="1"/>
  <c r="N416" i="4"/>
  <c r="N425" i="4"/>
  <c r="N437" i="4"/>
  <c r="N434" i="4"/>
  <c r="M440" i="4"/>
  <c r="M446" i="4"/>
  <c r="M452" i="4"/>
  <c r="M464" i="4"/>
  <c r="M470" i="4"/>
  <c r="M476" i="4"/>
  <c r="M488" i="4"/>
  <c r="M494" i="4"/>
  <c r="M500" i="4"/>
  <c r="N452" i="4"/>
  <c r="N476" i="4"/>
  <c r="N500" i="4"/>
  <c r="N479" i="3"/>
  <c r="M443" i="3"/>
  <c r="M455" i="3"/>
  <c r="M467" i="3"/>
  <c r="M479" i="3"/>
  <c r="M491" i="3"/>
  <c r="M503" i="3"/>
  <c r="N455" i="3"/>
  <c r="N503" i="3"/>
  <c r="M452" i="3"/>
  <c r="M464" i="3"/>
  <c r="M476" i="3"/>
  <c r="M488" i="3"/>
  <c r="M500" i="3"/>
  <c r="N452" i="3"/>
  <c r="N476" i="3"/>
  <c r="N500" i="3"/>
  <c r="N431" i="2"/>
  <c r="N413" i="2"/>
  <c r="N422" i="2"/>
  <c r="N449" i="2"/>
  <c r="N497" i="2"/>
  <c r="M449" i="2"/>
  <c r="M473" i="2"/>
  <c r="M497" i="2"/>
  <c r="N473" i="2"/>
  <c r="M443" i="2"/>
  <c r="M467" i="2"/>
  <c r="M491" i="2"/>
  <c r="M455" i="1"/>
  <c r="N455" i="1"/>
  <c r="N437" i="1"/>
  <c r="N494" i="1"/>
  <c r="M491" i="1"/>
  <c r="M434" i="1"/>
  <c r="N449" i="1"/>
  <c r="M473" i="1"/>
  <c r="N488" i="1"/>
  <c r="N434" i="1"/>
  <c r="N458" i="1"/>
  <c r="N473" i="1"/>
  <c r="N497" i="1"/>
  <c r="N443" i="1"/>
  <c r="M461" i="1"/>
  <c r="N470" i="1"/>
  <c r="N485" i="1"/>
  <c r="M449" i="1"/>
  <c r="N491" i="1"/>
  <c r="N482" i="1"/>
  <c r="N446" i="1"/>
  <c r="N461" i="1"/>
  <c r="N476" i="1"/>
  <c r="N467" i="1"/>
  <c r="N464" i="1"/>
  <c r="N422" i="1"/>
  <c r="N440" i="1"/>
  <c r="N452" i="1"/>
  <c r="N479" i="1"/>
  <c r="M443" i="1"/>
  <c r="M482" i="1"/>
  <c r="M497" i="1"/>
  <c r="M455" i="4"/>
  <c r="M479" i="4"/>
  <c r="N419" i="4"/>
  <c r="M491" i="4"/>
  <c r="M458" i="4"/>
  <c r="M482" i="4"/>
  <c r="M449" i="4"/>
  <c r="M473" i="4"/>
  <c r="M497" i="4"/>
  <c r="J437" i="4"/>
  <c r="J440" i="4"/>
  <c r="J443" i="4"/>
  <c r="J446" i="4"/>
  <c r="J449" i="4"/>
  <c r="J452" i="4"/>
  <c r="J455" i="4"/>
  <c r="J458" i="4"/>
  <c r="J461" i="4"/>
  <c r="J464" i="4"/>
  <c r="J467" i="4"/>
  <c r="J470" i="4"/>
  <c r="J473" i="4"/>
  <c r="J476" i="4"/>
  <c r="J479" i="4"/>
  <c r="J482" i="4"/>
  <c r="J485" i="4"/>
  <c r="J488" i="4"/>
  <c r="J491" i="4"/>
  <c r="J494" i="4"/>
  <c r="J497" i="4"/>
  <c r="J500" i="4"/>
  <c r="L461" i="3"/>
  <c r="L449" i="3"/>
  <c r="L494" i="3"/>
  <c r="L497" i="3"/>
  <c r="L485" i="3"/>
  <c r="L446" i="3"/>
  <c r="L470" i="3"/>
  <c r="L482" i="3"/>
  <c r="L506" i="3"/>
  <c r="L443" i="3"/>
  <c r="L455" i="3"/>
  <c r="L467" i="3"/>
  <c r="L479" i="3"/>
  <c r="L491" i="3"/>
  <c r="L503" i="3"/>
  <c r="L473" i="3"/>
  <c r="L458" i="3"/>
  <c r="L452" i="3"/>
  <c r="L464" i="3"/>
  <c r="L476" i="3"/>
  <c r="L488" i="3"/>
  <c r="L500" i="3"/>
  <c r="N428" i="2"/>
  <c r="M434" i="2"/>
  <c r="M458" i="2"/>
  <c r="M482" i="2"/>
  <c r="M470" i="2"/>
  <c r="M437" i="2"/>
  <c r="M461" i="2"/>
  <c r="M485" i="2"/>
  <c r="M452" i="2"/>
  <c r="M476" i="2"/>
  <c r="M494" i="2"/>
  <c r="M446" i="2"/>
  <c r="L491" i="2"/>
  <c r="L461" i="2"/>
  <c r="L467" i="2"/>
  <c r="L434" i="2"/>
  <c r="L458" i="2"/>
  <c r="L482" i="2"/>
  <c r="L476" i="2"/>
  <c r="L473" i="2"/>
  <c r="L497" i="2"/>
  <c r="L437" i="2"/>
  <c r="L485" i="2"/>
  <c r="L452" i="2"/>
  <c r="L440" i="2"/>
  <c r="L464" i="2"/>
  <c r="L488" i="2"/>
  <c r="L449" i="2"/>
  <c r="L455" i="2"/>
  <c r="L479" i="2"/>
  <c r="L443" i="2"/>
  <c r="L446" i="2"/>
  <c r="L470" i="2"/>
  <c r="L494" i="2"/>
  <c r="N416" i="2"/>
  <c r="N425" i="2"/>
  <c r="J443" i="1"/>
  <c r="L443" i="1" s="1"/>
  <c r="O443" i="1" s="1"/>
  <c r="M458" i="1"/>
  <c r="M452" i="1"/>
  <c r="N416" i="1"/>
  <c r="M476" i="1"/>
  <c r="L476" i="1"/>
  <c r="O476" i="1" s="1"/>
  <c r="M488" i="1"/>
  <c r="L452" i="1"/>
  <c r="O452" i="1" s="1"/>
  <c r="J461" i="1"/>
  <c r="J449" i="1"/>
  <c r="L449" i="1" s="1"/>
  <c r="O449" i="1" s="1"/>
  <c r="J467" i="1"/>
  <c r="L467" i="1" s="1"/>
  <c r="O467" i="1" s="1"/>
  <c r="M479" i="1"/>
  <c r="M440" i="1"/>
  <c r="M485" i="1"/>
  <c r="M437" i="1"/>
  <c r="M464" i="1"/>
  <c r="L479" i="1"/>
  <c r="O479" i="1" s="1"/>
  <c r="L494" i="1"/>
  <c r="O494" i="1" s="1"/>
  <c r="L470" i="1"/>
  <c r="O470" i="1" s="1"/>
  <c r="L455" i="1"/>
  <c r="O455" i="1" s="1"/>
  <c r="L446" i="1"/>
  <c r="O446" i="1" s="1"/>
  <c r="L497" i="1"/>
  <c r="O497" i="1" s="1"/>
  <c r="J440" i="1"/>
  <c r="M446" i="1"/>
  <c r="J464" i="1"/>
  <c r="M470" i="1"/>
  <c r="J488" i="1"/>
  <c r="L491" i="1"/>
  <c r="O491" i="1" s="1"/>
  <c r="M494" i="1"/>
  <c r="J434" i="1"/>
  <c r="L437" i="1"/>
  <c r="O437" i="1" s="1"/>
  <c r="J458" i="1"/>
  <c r="J482" i="1"/>
  <c r="L485" i="1"/>
  <c r="O485" i="1" s="1"/>
  <c r="N431" i="1"/>
  <c r="N428" i="1"/>
  <c r="M422" i="3"/>
  <c r="O413" i="2"/>
  <c r="O428" i="2"/>
  <c r="M440" i="3"/>
  <c r="L440" i="3"/>
  <c r="O440" i="3" s="1"/>
  <c r="M434" i="4"/>
  <c r="L434" i="4"/>
  <c r="O434" i="4" s="1"/>
  <c r="L431" i="2"/>
  <c r="O431" i="2" s="1"/>
  <c r="M431" i="2"/>
  <c r="L431" i="1"/>
  <c r="O431" i="1" s="1"/>
  <c r="M431" i="1"/>
  <c r="M437" i="3"/>
  <c r="M428" i="2"/>
  <c r="M428" i="1"/>
  <c r="J428" i="1"/>
  <c r="M422" i="1"/>
  <c r="M422" i="2"/>
  <c r="M434" i="3"/>
  <c r="M431" i="3"/>
  <c r="M431" i="4"/>
  <c r="M428" i="4"/>
  <c r="L428" i="4"/>
  <c r="O428" i="4" s="1"/>
  <c r="M425" i="4"/>
  <c r="L437" i="3"/>
  <c r="O437" i="3" s="1"/>
  <c r="L434" i="3"/>
  <c r="O434" i="3" s="1"/>
  <c r="L431" i="3"/>
  <c r="O431" i="3" s="1"/>
  <c r="L422" i="2"/>
  <c r="O422" i="2" s="1"/>
  <c r="L425" i="2"/>
  <c r="O425" i="2" s="1"/>
  <c r="M425" i="2"/>
  <c r="L425" i="1"/>
  <c r="O425" i="1" s="1"/>
  <c r="M425" i="1"/>
  <c r="M428" i="3"/>
  <c r="M419" i="2"/>
  <c r="L428" i="3"/>
  <c r="O428" i="3" s="1"/>
  <c r="L422" i="3"/>
  <c r="O422" i="3" s="1"/>
  <c r="J419" i="2"/>
  <c r="M413" i="2"/>
  <c r="M416" i="2"/>
  <c r="L416" i="1"/>
  <c r="O416" i="1" s="1"/>
  <c r="M416" i="1"/>
  <c r="M413" i="1"/>
  <c r="L413" i="1"/>
  <c r="O413" i="1" s="1"/>
  <c r="L419" i="1"/>
  <c r="O419" i="1" s="1"/>
  <c r="M419" i="1"/>
  <c r="L416" i="2"/>
  <c r="O416" i="2" s="1"/>
  <c r="L416" i="4"/>
  <c r="O416" i="4" s="1"/>
  <c r="M416" i="4"/>
  <c r="L425" i="3"/>
  <c r="O425" i="3" s="1"/>
  <c r="M425" i="3"/>
  <c r="L422" i="4"/>
  <c r="O422" i="4" s="1"/>
  <c r="L419" i="4"/>
  <c r="O419" i="4" s="1"/>
  <c r="M419" i="4"/>
  <c r="M422" i="4"/>
  <c r="C407" i="4"/>
  <c r="I407" i="4"/>
  <c r="J407" i="4" s="1"/>
  <c r="K407" i="4"/>
  <c r="I408" i="4"/>
  <c r="I409" i="4"/>
  <c r="C410" i="4"/>
  <c r="I410" i="4"/>
  <c r="J410" i="4" s="1"/>
  <c r="K410" i="4"/>
  <c r="I411" i="4"/>
  <c r="I412" i="4"/>
  <c r="C413" i="4"/>
  <c r="I413" i="4"/>
  <c r="J413" i="4" s="1"/>
  <c r="K413" i="4"/>
  <c r="I414" i="4"/>
  <c r="I415" i="4"/>
  <c r="C413" i="3"/>
  <c r="I413" i="3"/>
  <c r="J413" i="3" s="1"/>
  <c r="K413" i="3"/>
  <c r="I414" i="3"/>
  <c r="I415" i="3"/>
  <c r="C416" i="3"/>
  <c r="I416" i="3"/>
  <c r="J416" i="3" s="1"/>
  <c r="K416" i="3"/>
  <c r="I417" i="3"/>
  <c r="I418" i="3"/>
  <c r="C419" i="3"/>
  <c r="I419" i="3"/>
  <c r="J419" i="3" s="1"/>
  <c r="K419" i="3"/>
  <c r="I420" i="3"/>
  <c r="I421" i="3"/>
  <c r="I404" i="2"/>
  <c r="C404" i="2"/>
  <c r="K404" i="2"/>
  <c r="I405" i="2"/>
  <c r="I406" i="2"/>
  <c r="C407" i="2"/>
  <c r="I407" i="2"/>
  <c r="J407" i="2" s="1"/>
  <c r="K407" i="2"/>
  <c r="I408" i="2"/>
  <c r="I409" i="2"/>
  <c r="C410" i="2"/>
  <c r="I410" i="2"/>
  <c r="J410" i="2" s="1"/>
  <c r="K410" i="2"/>
  <c r="I411" i="2"/>
  <c r="I412" i="2"/>
  <c r="I412" i="1"/>
  <c r="I410" i="1"/>
  <c r="I411" i="1"/>
  <c r="C410" i="1"/>
  <c r="I409" i="1"/>
  <c r="I408" i="1"/>
  <c r="I407" i="1"/>
  <c r="J407" i="1" s="1"/>
  <c r="C407" i="1"/>
  <c r="I406" i="1"/>
  <c r="I405" i="1"/>
  <c r="I404" i="1"/>
  <c r="J404" i="1" s="1"/>
  <c r="C404" i="1"/>
  <c r="N416" i="3" l="1"/>
  <c r="N419" i="3"/>
  <c r="N410" i="4"/>
  <c r="N413" i="3"/>
  <c r="L455" i="4"/>
  <c r="L479" i="4"/>
  <c r="L476" i="4"/>
  <c r="L497" i="4"/>
  <c r="L467" i="4"/>
  <c r="L482" i="4"/>
  <c r="L452" i="4"/>
  <c r="L449" i="4"/>
  <c r="L470" i="4"/>
  <c r="L488" i="4"/>
  <c r="L440" i="4"/>
  <c r="L458" i="4"/>
  <c r="L500" i="4"/>
  <c r="L473" i="4"/>
  <c r="L494" i="4"/>
  <c r="L446" i="4"/>
  <c r="L491" i="4"/>
  <c r="L443" i="4"/>
  <c r="L464" i="4"/>
  <c r="L485" i="4"/>
  <c r="L461" i="4"/>
  <c r="L437" i="4"/>
  <c r="N413" i="4"/>
  <c r="N407" i="4"/>
  <c r="N410" i="2"/>
  <c r="N404" i="1"/>
  <c r="L461" i="1"/>
  <c r="O461" i="1" s="1"/>
  <c r="L458" i="1"/>
  <c r="O458" i="1" s="1"/>
  <c r="L434" i="1"/>
  <c r="O434" i="1" s="1"/>
  <c r="L464" i="1"/>
  <c r="O464" i="1" s="1"/>
  <c r="L440" i="1"/>
  <c r="O440" i="1" s="1"/>
  <c r="L488" i="1"/>
  <c r="O488" i="1" s="1"/>
  <c r="L482" i="1"/>
  <c r="O482" i="1" s="1"/>
  <c r="N407" i="1"/>
  <c r="N410" i="1"/>
  <c r="N404" i="2"/>
  <c r="N407" i="2"/>
  <c r="M419" i="3"/>
  <c r="L428" i="1"/>
  <c r="O428" i="1" s="1"/>
  <c r="L431" i="4"/>
  <c r="O431" i="4" s="1"/>
  <c r="L425" i="4"/>
  <c r="O425" i="4" s="1"/>
  <c r="L419" i="2"/>
  <c r="O419" i="2" s="1"/>
  <c r="M404" i="2"/>
  <c r="L407" i="4"/>
  <c r="O407" i="4" s="1"/>
  <c r="M407" i="4"/>
  <c r="M410" i="1"/>
  <c r="M410" i="4"/>
  <c r="M416" i="3"/>
  <c r="L416" i="3"/>
  <c r="O416" i="3" s="1"/>
  <c r="M407" i="1"/>
  <c r="L413" i="4"/>
  <c r="O413" i="4" s="1"/>
  <c r="L410" i="4"/>
  <c r="O410" i="4" s="1"/>
  <c r="M413" i="4"/>
  <c r="L419" i="3"/>
  <c r="O419" i="3" s="1"/>
  <c r="L413" i="3"/>
  <c r="O413" i="3" s="1"/>
  <c r="M413" i="3"/>
  <c r="J404" i="2"/>
  <c r="L404" i="2" s="1"/>
  <c r="O404" i="2" s="1"/>
  <c r="L407" i="2"/>
  <c r="O407" i="2" s="1"/>
  <c r="M407" i="2"/>
  <c r="L410" i="2"/>
  <c r="O410" i="2" s="1"/>
  <c r="M410" i="2"/>
  <c r="L404" i="1"/>
  <c r="O404" i="1" s="1"/>
  <c r="L407" i="1"/>
  <c r="O407" i="1" s="1"/>
  <c r="J410" i="1"/>
  <c r="M404" i="1"/>
  <c r="C395" i="1"/>
  <c r="I395" i="1"/>
  <c r="J395" i="1" s="1"/>
  <c r="I396" i="1"/>
  <c r="I397" i="1"/>
  <c r="C398" i="1"/>
  <c r="I398" i="1"/>
  <c r="J398" i="1" s="1"/>
  <c r="I399" i="1"/>
  <c r="I400" i="1"/>
  <c r="C401" i="1"/>
  <c r="I401" i="1"/>
  <c r="J401" i="1" s="1"/>
  <c r="I402" i="1"/>
  <c r="I403" i="1"/>
  <c r="N401" i="1" s="1"/>
  <c r="C395" i="2"/>
  <c r="I395" i="2"/>
  <c r="J395" i="2" s="1"/>
  <c r="K395" i="2"/>
  <c r="I396" i="2"/>
  <c r="I397" i="2"/>
  <c r="C398" i="2"/>
  <c r="I398" i="2"/>
  <c r="J398" i="2" s="1"/>
  <c r="K398" i="2"/>
  <c r="I399" i="2"/>
  <c r="I400" i="2"/>
  <c r="C401" i="2"/>
  <c r="I401" i="2"/>
  <c r="J401" i="2" s="1"/>
  <c r="K401" i="2"/>
  <c r="I402" i="2"/>
  <c r="I403" i="2"/>
  <c r="C404" i="3"/>
  <c r="I404" i="3"/>
  <c r="J404" i="3" s="1"/>
  <c r="K404" i="3"/>
  <c r="I405" i="3"/>
  <c r="I406" i="3"/>
  <c r="C407" i="3"/>
  <c r="I407" i="3"/>
  <c r="K407" i="3"/>
  <c r="I408" i="3"/>
  <c r="I409" i="3"/>
  <c r="C410" i="3"/>
  <c r="I410" i="3"/>
  <c r="J410" i="3" s="1"/>
  <c r="K410" i="3"/>
  <c r="I411" i="3"/>
  <c r="I412" i="3"/>
  <c r="C398" i="4"/>
  <c r="I398" i="4"/>
  <c r="J398" i="4" s="1"/>
  <c r="K398" i="4"/>
  <c r="I399" i="4"/>
  <c r="I400" i="4"/>
  <c r="C401" i="4"/>
  <c r="I401" i="4"/>
  <c r="J401" i="4" s="1"/>
  <c r="K401" i="4"/>
  <c r="I402" i="4"/>
  <c r="I403" i="4"/>
  <c r="C404" i="4"/>
  <c r="I404" i="4"/>
  <c r="J404" i="4" s="1"/>
  <c r="K404" i="4"/>
  <c r="I405" i="4"/>
  <c r="I406" i="4"/>
  <c r="C386" i="2"/>
  <c r="I386" i="2"/>
  <c r="J386" i="2" s="1"/>
  <c r="K386" i="2"/>
  <c r="I387" i="2"/>
  <c r="I388" i="2"/>
  <c r="C389" i="2"/>
  <c r="I389" i="2"/>
  <c r="J389" i="2" s="1"/>
  <c r="K389" i="2"/>
  <c r="I390" i="2"/>
  <c r="I391" i="2"/>
  <c r="C392" i="2"/>
  <c r="I392" i="2"/>
  <c r="K392" i="2"/>
  <c r="I393" i="2"/>
  <c r="I394" i="2"/>
  <c r="C389" i="4"/>
  <c r="I389" i="4"/>
  <c r="J389" i="4" s="1"/>
  <c r="K389" i="4"/>
  <c r="I390" i="4"/>
  <c r="I391" i="4"/>
  <c r="C392" i="4"/>
  <c r="I392" i="4"/>
  <c r="J392" i="4" s="1"/>
  <c r="K392" i="4"/>
  <c r="I393" i="4"/>
  <c r="I394" i="4"/>
  <c r="C395" i="4"/>
  <c r="I395" i="4"/>
  <c r="J395" i="4" s="1"/>
  <c r="K395" i="4"/>
  <c r="I396" i="4"/>
  <c r="I397" i="4"/>
  <c r="C395" i="3"/>
  <c r="I395" i="3"/>
  <c r="J395" i="3" s="1"/>
  <c r="K395" i="3"/>
  <c r="I396" i="3"/>
  <c r="I397" i="3"/>
  <c r="C398" i="3"/>
  <c r="I398" i="3"/>
  <c r="J398" i="3" s="1"/>
  <c r="K398" i="3"/>
  <c r="I399" i="3"/>
  <c r="I400" i="3"/>
  <c r="C401" i="3"/>
  <c r="I401" i="3"/>
  <c r="K401" i="3"/>
  <c r="I402" i="3"/>
  <c r="I403" i="3"/>
  <c r="C386" i="1"/>
  <c r="I386" i="1"/>
  <c r="I387" i="1"/>
  <c r="I388" i="1"/>
  <c r="C389" i="1"/>
  <c r="I389" i="1"/>
  <c r="I390" i="1"/>
  <c r="I391" i="1"/>
  <c r="C392" i="1"/>
  <c r="I392" i="1"/>
  <c r="I393" i="1"/>
  <c r="I394" i="1"/>
  <c r="N404" i="4" l="1"/>
  <c r="N398" i="4"/>
  <c r="N395" i="4"/>
  <c r="N404" i="3"/>
  <c r="N395" i="3"/>
  <c r="N401" i="3"/>
  <c r="N407" i="3"/>
  <c r="N395" i="1"/>
  <c r="N410" i="3"/>
  <c r="N398" i="3"/>
  <c r="N386" i="2"/>
  <c r="N398" i="2"/>
  <c r="N392" i="4"/>
  <c r="N389" i="4"/>
  <c r="N401" i="4"/>
  <c r="N392" i="2"/>
  <c r="N392" i="1"/>
  <c r="N389" i="1"/>
  <c r="N386" i="1"/>
  <c r="N398" i="1"/>
  <c r="N389" i="2"/>
  <c r="N401" i="2"/>
  <c r="N395" i="2"/>
  <c r="M401" i="3"/>
  <c r="J401" i="3"/>
  <c r="J407" i="3"/>
  <c r="L407" i="3" s="1"/>
  <c r="O407" i="3" s="1"/>
  <c r="M392" i="2"/>
  <c r="M392" i="1"/>
  <c r="L410" i="1"/>
  <c r="O410" i="1" s="1"/>
  <c r="M404" i="4"/>
  <c r="M401" i="2"/>
  <c r="M407" i="3"/>
  <c r="M398" i="1"/>
  <c r="L401" i="1"/>
  <c r="O401" i="1" s="1"/>
  <c r="M401" i="1"/>
  <c r="L398" i="1"/>
  <c r="O398" i="1" s="1"/>
  <c r="L395" i="1"/>
  <c r="O395" i="1" s="1"/>
  <c r="M395" i="1"/>
  <c r="L395" i="2"/>
  <c r="O395" i="2" s="1"/>
  <c r="L401" i="2"/>
  <c r="O401" i="2" s="1"/>
  <c r="L398" i="2"/>
  <c r="O398" i="2" s="1"/>
  <c r="M398" i="2"/>
  <c r="M395" i="2"/>
  <c r="L410" i="3"/>
  <c r="O410" i="3" s="1"/>
  <c r="L404" i="3"/>
  <c r="O404" i="3" s="1"/>
  <c r="M404" i="3"/>
  <c r="M410" i="3"/>
  <c r="L398" i="4"/>
  <c r="O398" i="4" s="1"/>
  <c r="L401" i="4"/>
  <c r="O401" i="4" s="1"/>
  <c r="L404" i="4"/>
  <c r="O404" i="4" s="1"/>
  <c r="M401" i="4"/>
  <c r="M398" i="4"/>
  <c r="M398" i="3"/>
  <c r="M389" i="1"/>
  <c r="L395" i="3"/>
  <c r="O395" i="3" s="1"/>
  <c r="M389" i="2"/>
  <c r="J392" i="2"/>
  <c r="L386" i="2"/>
  <c r="O386" i="2" s="1"/>
  <c r="L389" i="2"/>
  <c r="O389" i="2" s="1"/>
  <c r="M386" i="2"/>
  <c r="M386" i="1"/>
  <c r="J386" i="1"/>
  <c r="J392" i="1"/>
  <c r="J389" i="1"/>
  <c r="M395" i="3"/>
  <c r="L395" i="4"/>
  <c r="O395" i="4" s="1"/>
  <c r="M395" i="4"/>
  <c r="M392" i="4"/>
  <c r="M389" i="4"/>
  <c r="L389" i="4"/>
  <c r="O389" i="4" s="1"/>
  <c r="L392" i="4"/>
  <c r="O392" i="4" s="1"/>
  <c r="L398" i="3"/>
  <c r="O398" i="3" s="1"/>
  <c r="L401" i="3" l="1"/>
  <c r="O401" i="3" s="1"/>
  <c r="L392" i="2"/>
  <c r="O392" i="2" s="1"/>
  <c r="L389" i="1"/>
  <c r="O389" i="1" s="1"/>
  <c r="L392" i="1"/>
  <c r="O392" i="1" s="1"/>
  <c r="L386" i="1"/>
  <c r="O386" i="1" s="1"/>
  <c r="I380" i="4" l="1"/>
  <c r="J380" i="4" s="1"/>
  <c r="C380" i="4"/>
  <c r="K380" i="4"/>
  <c r="I381" i="4"/>
  <c r="I382" i="4"/>
  <c r="C383" i="4"/>
  <c r="I383" i="4"/>
  <c r="J383" i="4" s="1"/>
  <c r="K383" i="4"/>
  <c r="I384" i="4"/>
  <c r="I385" i="4"/>
  <c r="C386" i="4"/>
  <c r="I386" i="4"/>
  <c r="J386" i="4" s="1"/>
  <c r="K386" i="4"/>
  <c r="I387" i="4"/>
  <c r="I388" i="4"/>
  <c r="N386" i="4" s="1"/>
  <c r="C386" i="3"/>
  <c r="I386" i="3"/>
  <c r="J386" i="3" s="1"/>
  <c r="K386" i="3"/>
  <c r="I387" i="3"/>
  <c r="I388" i="3"/>
  <c r="C389" i="3"/>
  <c r="I389" i="3"/>
  <c r="J389" i="3" s="1"/>
  <c r="K389" i="3"/>
  <c r="I390" i="3"/>
  <c r="I391" i="3"/>
  <c r="C392" i="3"/>
  <c r="I392" i="3"/>
  <c r="J392" i="3" s="1"/>
  <c r="K392" i="3"/>
  <c r="I393" i="3"/>
  <c r="I394" i="3"/>
  <c r="C377" i="2"/>
  <c r="I377" i="2"/>
  <c r="K377" i="2"/>
  <c r="I378" i="2"/>
  <c r="I379" i="2"/>
  <c r="C380" i="2"/>
  <c r="I380" i="2"/>
  <c r="J380" i="2" s="1"/>
  <c r="K380" i="2"/>
  <c r="I381" i="2"/>
  <c r="I382" i="2"/>
  <c r="N380" i="2" s="1"/>
  <c r="C383" i="2"/>
  <c r="I383" i="2"/>
  <c r="K383" i="2"/>
  <c r="I384" i="2"/>
  <c r="I385" i="2"/>
  <c r="C377" i="1"/>
  <c r="I377" i="1"/>
  <c r="J377" i="1" s="1"/>
  <c r="I378" i="1"/>
  <c r="I379" i="1"/>
  <c r="C380" i="1"/>
  <c r="I380" i="1"/>
  <c r="J380" i="1" s="1"/>
  <c r="I381" i="1"/>
  <c r="I382" i="1"/>
  <c r="C383" i="1"/>
  <c r="I383" i="1"/>
  <c r="J383" i="1" s="1"/>
  <c r="I384" i="1"/>
  <c r="I385" i="1"/>
  <c r="N380" i="4" l="1"/>
  <c r="N392" i="3"/>
  <c r="N386" i="3"/>
  <c r="N389" i="3"/>
  <c r="N383" i="4"/>
  <c r="N383" i="1"/>
  <c r="N377" i="1"/>
  <c r="N380" i="1"/>
  <c r="N383" i="2"/>
  <c r="N377" i="2"/>
  <c r="M386" i="3"/>
  <c r="M392" i="3"/>
  <c r="L386" i="3"/>
  <c r="O386" i="3" s="1"/>
  <c r="M377" i="2"/>
  <c r="M383" i="2"/>
  <c r="J383" i="2"/>
  <c r="M380" i="2"/>
  <c r="J377" i="2"/>
  <c r="M383" i="1"/>
  <c r="L383" i="1"/>
  <c r="O383" i="1" s="1"/>
  <c r="M386" i="4"/>
  <c r="L386" i="4"/>
  <c r="O386" i="4" s="1"/>
  <c r="M380" i="4"/>
  <c r="L383" i="4"/>
  <c r="O383" i="4" s="1"/>
  <c r="M383" i="4"/>
  <c r="L389" i="3"/>
  <c r="O389" i="3" s="1"/>
  <c r="L392" i="3"/>
  <c r="O392" i="3" s="1"/>
  <c r="M389" i="3"/>
  <c r="L380" i="2"/>
  <c r="O380" i="2" s="1"/>
  <c r="L377" i="1"/>
  <c r="O377" i="1" s="1"/>
  <c r="L380" i="1"/>
  <c r="O380" i="1" s="1"/>
  <c r="M380" i="1"/>
  <c r="M377" i="1"/>
  <c r="C374" i="4"/>
  <c r="I374" i="4"/>
  <c r="K374" i="4"/>
  <c r="I375" i="4"/>
  <c r="I376" i="4"/>
  <c r="C377" i="4"/>
  <c r="I377" i="4"/>
  <c r="J377" i="4" s="1"/>
  <c r="K377" i="4"/>
  <c r="I378" i="4"/>
  <c r="I379" i="4"/>
  <c r="C365" i="4"/>
  <c r="I365" i="4"/>
  <c r="J365" i="4" s="1"/>
  <c r="K365" i="4"/>
  <c r="I366" i="4"/>
  <c r="I367" i="4"/>
  <c r="N365" i="4" s="1"/>
  <c r="C368" i="4"/>
  <c r="I368" i="4"/>
  <c r="J368" i="4" s="1"/>
  <c r="K368" i="4"/>
  <c r="I369" i="4"/>
  <c r="I370" i="4"/>
  <c r="C371" i="4"/>
  <c r="I371" i="4"/>
  <c r="K371" i="4"/>
  <c r="I372" i="4"/>
  <c r="I373" i="4"/>
  <c r="C383" i="3"/>
  <c r="I383" i="3"/>
  <c r="J383" i="3" s="1"/>
  <c r="K383" i="3"/>
  <c r="I384" i="3"/>
  <c r="I385" i="3"/>
  <c r="C371" i="3"/>
  <c r="I371" i="3"/>
  <c r="K371" i="3"/>
  <c r="I372" i="3"/>
  <c r="I373" i="3"/>
  <c r="C374" i="3"/>
  <c r="I374" i="3"/>
  <c r="J374" i="3" s="1"/>
  <c r="K374" i="3"/>
  <c r="I375" i="3"/>
  <c r="I376" i="3"/>
  <c r="N374" i="3" s="1"/>
  <c r="C377" i="3"/>
  <c r="I377" i="3"/>
  <c r="J377" i="3" s="1"/>
  <c r="K377" i="3"/>
  <c r="I378" i="3"/>
  <c r="I379" i="3"/>
  <c r="C380" i="3"/>
  <c r="I380" i="3"/>
  <c r="J380" i="3" s="1"/>
  <c r="K380" i="3"/>
  <c r="I381" i="3"/>
  <c r="I382" i="3"/>
  <c r="C362" i="2"/>
  <c r="I362" i="2"/>
  <c r="J362" i="2" s="1"/>
  <c r="K362" i="2"/>
  <c r="I363" i="2"/>
  <c r="I364" i="2"/>
  <c r="C365" i="2"/>
  <c r="I365" i="2"/>
  <c r="J365" i="2" s="1"/>
  <c r="I366" i="2"/>
  <c r="I367" i="2"/>
  <c r="C368" i="2"/>
  <c r="I368" i="2"/>
  <c r="K368" i="2"/>
  <c r="I369" i="2"/>
  <c r="I370" i="2"/>
  <c r="C371" i="2"/>
  <c r="I371" i="2"/>
  <c r="J371" i="2" s="1"/>
  <c r="L371" i="2" s="1"/>
  <c r="O371" i="2" s="1"/>
  <c r="I372" i="2"/>
  <c r="I373" i="2"/>
  <c r="C374" i="2"/>
  <c r="I374" i="2"/>
  <c r="J374" i="2" s="1"/>
  <c r="K374" i="2"/>
  <c r="I375" i="2"/>
  <c r="I376" i="2"/>
  <c r="C362" i="1"/>
  <c r="I362" i="1"/>
  <c r="I363" i="1"/>
  <c r="I364" i="1"/>
  <c r="C365" i="1"/>
  <c r="I365" i="1"/>
  <c r="J365" i="1" s="1"/>
  <c r="I366" i="1"/>
  <c r="I367" i="1"/>
  <c r="C368" i="1"/>
  <c r="I368" i="1"/>
  <c r="J368" i="1" s="1"/>
  <c r="I369" i="1"/>
  <c r="I370" i="1"/>
  <c r="C371" i="1"/>
  <c r="I371" i="1"/>
  <c r="J371" i="1" s="1"/>
  <c r="I372" i="1"/>
  <c r="I373" i="1"/>
  <c r="C374" i="1"/>
  <c r="I374" i="1"/>
  <c r="J374" i="1" s="1"/>
  <c r="I375" i="1"/>
  <c r="I376" i="1"/>
  <c r="N380" i="3" l="1"/>
  <c r="N365" i="2"/>
  <c r="N371" i="1"/>
  <c r="N365" i="1"/>
  <c r="N374" i="4"/>
  <c r="N368" i="4"/>
  <c r="N383" i="3"/>
  <c r="N377" i="3"/>
  <c r="M383" i="3"/>
  <c r="N371" i="3"/>
  <c r="N362" i="2"/>
  <c r="N371" i="2"/>
  <c r="N377" i="4"/>
  <c r="N371" i="4"/>
  <c r="N374" i="2"/>
  <c r="J374" i="4"/>
  <c r="L374" i="4" s="1"/>
  <c r="O374" i="4" s="1"/>
  <c r="J371" i="4"/>
  <c r="N374" i="1"/>
  <c r="N368" i="1"/>
  <c r="N362" i="1"/>
  <c r="N368" i="2"/>
  <c r="M371" i="2"/>
  <c r="L383" i="2"/>
  <c r="O383" i="2" s="1"/>
  <c r="L377" i="2"/>
  <c r="O377" i="2" s="1"/>
  <c r="L380" i="4"/>
  <c r="O380" i="4" s="1"/>
  <c r="M377" i="4"/>
  <c r="M374" i="2"/>
  <c r="L374" i="2"/>
  <c r="O374" i="2" s="1"/>
  <c r="M374" i="1"/>
  <c r="L374" i="1"/>
  <c r="O374" i="1" s="1"/>
  <c r="M374" i="4"/>
  <c r="M380" i="3"/>
  <c r="M371" i="1"/>
  <c r="M371" i="4"/>
  <c r="M377" i="3"/>
  <c r="M368" i="2"/>
  <c r="J368" i="2"/>
  <c r="M368" i="1"/>
  <c r="L368" i="1"/>
  <c r="O368" i="1" s="1"/>
  <c r="M368" i="4"/>
  <c r="L374" i="3"/>
  <c r="O374" i="3" s="1"/>
  <c r="M374" i="3"/>
  <c r="L365" i="2"/>
  <c r="O365" i="2" s="1"/>
  <c r="M365" i="2"/>
  <c r="L365" i="1"/>
  <c r="O365" i="1" s="1"/>
  <c r="M365" i="1"/>
  <c r="M365" i="4"/>
  <c r="M371" i="3"/>
  <c r="J371" i="3"/>
  <c r="L371" i="3" s="1"/>
  <c r="O371" i="3" s="1"/>
  <c r="M362" i="1"/>
  <c r="J362" i="1"/>
  <c r="L368" i="4"/>
  <c r="O368" i="4" s="1"/>
  <c r="L365" i="4"/>
  <c r="O365" i="4" s="1"/>
  <c r="L377" i="3"/>
  <c r="O377" i="3" s="1"/>
  <c r="L380" i="3"/>
  <c r="O380" i="3" s="1"/>
  <c r="L383" i="3"/>
  <c r="O383" i="3" s="1"/>
  <c r="L362" i="2"/>
  <c r="O362" i="2" s="1"/>
  <c r="M362" i="2"/>
  <c r="L371" i="1"/>
  <c r="O371" i="1" s="1"/>
  <c r="K359" i="4"/>
  <c r="L371" i="4" l="1"/>
  <c r="O371" i="4" s="1"/>
  <c r="L377" i="4"/>
  <c r="O377" i="4" s="1"/>
  <c r="L368" i="2"/>
  <c r="O368" i="2" s="1"/>
  <c r="L362" i="1"/>
  <c r="O362" i="1" s="1"/>
  <c r="C353" i="4" l="1"/>
  <c r="I353" i="4"/>
  <c r="J353" i="4" s="1"/>
  <c r="K353" i="4"/>
  <c r="I354" i="4"/>
  <c r="I355" i="4"/>
  <c r="C356" i="4"/>
  <c r="I356" i="4"/>
  <c r="J356" i="4" s="1"/>
  <c r="K356" i="4"/>
  <c r="I357" i="4"/>
  <c r="I358" i="4"/>
  <c r="C359" i="4"/>
  <c r="I359" i="4"/>
  <c r="J359" i="4" s="1"/>
  <c r="I360" i="4"/>
  <c r="I361" i="4"/>
  <c r="C362" i="4"/>
  <c r="I362" i="4"/>
  <c r="J362" i="4" s="1"/>
  <c r="K362" i="4"/>
  <c r="I363" i="4"/>
  <c r="I364" i="4"/>
  <c r="C359" i="3"/>
  <c r="I359" i="3"/>
  <c r="J359" i="3" s="1"/>
  <c r="K359" i="3"/>
  <c r="I360" i="3"/>
  <c r="I361" i="3"/>
  <c r="N359" i="3" s="1"/>
  <c r="C362" i="3"/>
  <c r="I362" i="3"/>
  <c r="K362" i="3"/>
  <c r="I363" i="3"/>
  <c r="I364" i="3"/>
  <c r="C365" i="3"/>
  <c r="I365" i="3"/>
  <c r="J365" i="3" s="1"/>
  <c r="K365" i="3"/>
  <c r="I366" i="3"/>
  <c r="I367" i="3"/>
  <c r="C368" i="3"/>
  <c r="I368" i="3"/>
  <c r="K368" i="3"/>
  <c r="I369" i="3"/>
  <c r="I370" i="3"/>
  <c r="N368" i="3" s="1"/>
  <c r="C350" i="2"/>
  <c r="I350" i="2"/>
  <c r="J350" i="2" s="1"/>
  <c r="K350" i="2"/>
  <c r="I351" i="2"/>
  <c r="I352" i="2"/>
  <c r="C353" i="2"/>
  <c r="I353" i="2"/>
  <c r="K353" i="2"/>
  <c r="I354" i="2"/>
  <c r="I355" i="2"/>
  <c r="C356" i="2"/>
  <c r="I356" i="2"/>
  <c r="J356" i="2" s="1"/>
  <c r="K356" i="2"/>
  <c r="I357" i="2"/>
  <c r="I358" i="2"/>
  <c r="N356" i="2" s="1"/>
  <c r="C359" i="2"/>
  <c r="I359" i="2"/>
  <c r="J359" i="2" s="1"/>
  <c r="K359" i="2"/>
  <c r="I360" i="2"/>
  <c r="I361" i="2"/>
  <c r="C350" i="1"/>
  <c r="I350" i="1"/>
  <c r="J350" i="1" s="1"/>
  <c r="I351" i="1"/>
  <c r="I352" i="1"/>
  <c r="N350" i="1" s="1"/>
  <c r="C353" i="1"/>
  <c r="I353" i="1"/>
  <c r="J353" i="1" s="1"/>
  <c r="I354" i="1"/>
  <c r="I355" i="1"/>
  <c r="C356" i="1"/>
  <c r="I356" i="1"/>
  <c r="J356" i="1" s="1"/>
  <c r="I357" i="1"/>
  <c r="I358" i="1"/>
  <c r="N356" i="1" s="1"/>
  <c r="C359" i="1"/>
  <c r="I359" i="1"/>
  <c r="J359" i="1" s="1"/>
  <c r="I360" i="1"/>
  <c r="I361" i="1"/>
  <c r="N359" i="4" l="1"/>
  <c r="N362" i="3"/>
  <c r="N365" i="3"/>
  <c r="N350" i="2"/>
  <c r="N356" i="4"/>
  <c r="N362" i="4"/>
  <c r="N353" i="4"/>
  <c r="N359" i="1"/>
  <c r="N353" i="1"/>
  <c r="N359" i="2"/>
  <c r="N353" i="2"/>
  <c r="M359" i="3"/>
  <c r="L350" i="2"/>
  <c r="O350" i="2" s="1"/>
  <c r="M350" i="2"/>
  <c r="M368" i="3"/>
  <c r="J368" i="3"/>
  <c r="M359" i="2"/>
  <c r="L359" i="2"/>
  <c r="O359" i="2" s="1"/>
  <c r="L359" i="1"/>
  <c r="O359" i="1" s="1"/>
  <c r="L362" i="4"/>
  <c r="O362" i="4" s="1"/>
  <c r="M362" i="4"/>
  <c r="M359" i="4"/>
  <c r="M365" i="3"/>
  <c r="M362" i="3"/>
  <c r="J362" i="3"/>
  <c r="M353" i="2"/>
  <c r="J353" i="2"/>
  <c r="L353" i="2" s="1"/>
  <c r="O353" i="2" s="1"/>
  <c r="M353" i="4"/>
  <c r="L359" i="3"/>
  <c r="O359" i="3" s="1"/>
  <c r="M350" i="1"/>
  <c r="L356" i="4"/>
  <c r="O356" i="4" s="1"/>
  <c r="L359" i="4"/>
  <c r="O359" i="4" s="1"/>
  <c r="L353" i="4"/>
  <c r="O353" i="4" s="1"/>
  <c r="M356" i="4"/>
  <c r="L365" i="3"/>
  <c r="O365" i="3" s="1"/>
  <c r="L356" i="2"/>
  <c r="O356" i="2" s="1"/>
  <c r="M356" i="2"/>
  <c r="M359" i="1"/>
  <c r="L353" i="1"/>
  <c r="O353" i="1" s="1"/>
  <c r="L356" i="1"/>
  <c r="O356" i="1" s="1"/>
  <c r="L350" i="1"/>
  <c r="O350" i="1" s="1"/>
  <c r="M356" i="1"/>
  <c r="M353" i="1"/>
  <c r="L368" i="3" l="1"/>
  <c r="O368" i="3" s="1"/>
  <c r="L362" i="3"/>
  <c r="O362" i="3" s="1"/>
  <c r="C344" i="4"/>
  <c r="I344" i="4"/>
  <c r="J344" i="4" s="1"/>
  <c r="K344" i="4"/>
  <c r="I345" i="4"/>
  <c r="I346" i="4"/>
  <c r="C347" i="4"/>
  <c r="I347" i="4"/>
  <c r="J347" i="4" s="1"/>
  <c r="K347" i="4"/>
  <c r="I348" i="4"/>
  <c r="I349" i="4"/>
  <c r="C350" i="4"/>
  <c r="I350" i="4"/>
  <c r="K350" i="4"/>
  <c r="I351" i="4"/>
  <c r="I352" i="4"/>
  <c r="C356" i="3"/>
  <c r="I356" i="3"/>
  <c r="J356" i="3" s="1"/>
  <c r="K356" i="3"/>
  <c r="I357" i="3"/>
  <c r="I358" i="3"/>
  <c r="C350" i="3"/>
  <c r="I350" i="3"/>
  <c r="J350" i="3" s="1"/>
  <c r="K350" i="3"/>
  <c r="I351" i="3"/>
  <c r="I352" i="3"/>
  <c r="C353" i="3"/>
  <c r="I353" i="3"/>
  <c r="J353" i="3" s="1"/>
  <c r="K353" i="3"/>
  <c r="I354" i="3"/>
  <c r="I355" i="3"/>
  <c r="N353" i="3" s="1"/>
  <c r="C341" i="2"/>
  <c r="I341" i="2"/>
  <c r="J341" i="2" s="1"/>
  <c r="K341" i="2"/>
  <c r="I342" i="2"/>
  <c r="I343" i="2"/>
  <c r="C344" i="2"/>
  <c r="I344" i="2"/>
  <c r="J344" i="2" s="1"/>
  <c r="K344" i="2"/>
  <c r="I345" i="2"/>
  <c r="I346" i="2"/>
  <c r="C347" i="2"/>
  <c r="I347" i="2"/>
  <c r="J347" i="2" s="1"/>
  <c r="K347" i="2"/>
  <c r="I348" i="2"/>
  <c r="I349" i="2"/>
  <c r="C341" i="1"/>
  <c r="I341" i="1"/>
  <c r="J341" i="1" s="1"/>
  <c r="I342" i="1"/>
  <c r="I343" i="1"/>
  <c r="C344" i="1"/>
  <c r="I344" i="1"/>
  <c r="J344" i="1" s="1"/>
  <c r="I345" i="1"/>
  <c r="I346" i="1"/>
  <c r="C347" i="1"/>
  <c r="I347" i="1"/>
  <c r="J347" i="1" s="1"/>
  <c r="L347" i="1" s="1"/>
  <c r="O347" i="1" s="1"/>
  <c r="I348" i="1"/>
  <c r="I349" i="1"/>
  <c r="I343" i="4"/>
  <c r="I342" i="4"/>
  <c r="K341" i="4"/>
  <c r="I341" i="4"/>
  <c r="J341" i="4" s="1"/>
  <c r="C341" i="4"/>
  <c r="I340" i="4"/>
  <c r="I339" i="4"/>
  <c r="K338" i="4"/>
  <c r="I338" i="4"/>
  <c r="J338" i="4" s="1"/>
  <c r="C338" i="4"/>
  <c r="I337" i="4"/>
  <c r="I336" i="4"/>
  <c r="K335" i="4"/>
  <c r="I335" i="4"/>
  <c r="C335" i="4"/>
  <c r="I334" i="4"/>
  <c r="I333" i="4"/>
  <c r="K332" i="4"/>
  <c r="I332" i="4"/>
  <c r="C332" i="4"/>
  <c r="I331" i="4"/>
  <c r="I330" i="4"/>
  <c r="K329" i="4"/>
  <c r="I329" i="4"/>
  <c r="C329" i="4"/>
  <c r="I328" i="4"/>
  <c r="I327" i="4"/>
  <c r="K326" i="4"/>
  <c r="I326" i="4"/>
  <c r="C326" i="4"/>
  <c r="I325" i="4"/>
  <c r="I324" i="4"/>
  <c r="K323" i="4"/>
  <c r="I323" i="4"/>
  <c r="C323" i="4"/>
  <c r="I322" i="4"/>
  <c r="I321" i="4"/>
  <c r="K320" i="4"/>
  <c r="I320" i="4"/>
  <c r="J320" i="4" s="1"/>
  <c r="C320" i="4"/>
  <c r="I319" i="4"/>
  <c r="I318" i="4"/>
  <c r="K317" i="4"/>
  <c r="I317" i="4"/>
  <c r="C317" i="4"/>
  <c r="I316" i="4"/>
  <c r="I315" i="4"/>
  <c r="K314" i="4"/>
  <c r="I314" i="4"/>
  <c r="J314" i="4" s="1"/>
  <c r="C314" i="4"/>
  <c r="I313" i="4"/>
  <c r="I312" i="4"/>
  <c r="K311" i="4"/>
  <c r="I311" i="4"/>
  <c r="C311" i="4"/>
  <c r="I310" i="4"/>
  <c r="I309" i="4"/>
  <c r="K308" i="4"/>
  <c r="I308" i="4"/>
  <c r="C308" i="4"/>
  <c r="I307" i="4"/>
  <c r="I306" i="4"/>
  <c r="K305" i="4"/>
  <c r="I305" i="4"/>
  <c r="C305" i="4"/>
  <c r="I304" i="4"/>
  <c r="I303" i="4"/>
  <c r="K302" i="4"/>
  <c r="I302" i="4"/>
  <c r="J302" i="4" s="1"/>
  <c r="C302" i="4"/>
  <c r="I301" i="4"/>
  <c r="I300" i="4"/>
  <c r="K299" i="4"/>
  <c r="I299" i="4"/>
  <c r="C299" i="4"/>
  <c r="I298" i="4"/>
  <c r="I297" i="4"/>
  <c r="K296" i="4"/>
  <c r="I296" i="4"/>
  <c r="C296" i="4"/>
  <c r="I295" i="4"/>
  <c r="I294" i="4"/>
  <c r="K293" i="4"/>
  <c r="I293" i="4"/>
  <c r="J293" i="4" s="1"/>
  <c r="C293" i="4"/>
  <c r="I292" i="4"/>
  <c r="I291" i="4"/>
  <c r="K290" i="4"/>
  <c r="I290" i="4"/>
  <c r="J290" i="4" s="1"/>
  <c r="C290" i="4"/>
  <c r="I289" i="4"/>
  <c r="I288" i="4"/>
  <c r="K287" i="4"/>
  <c r="I287" i="4"/>
  <c r="J287" i="4" s="1"/>
  <c r="C287" i="4"/>
  <c r="I286" i="4"/>
  <c r="I285" i="4"/>
  <c r="K284" i="4"/>
  <c r="I284" i="4"/>
  <c r="J284" i="4" s="1"/>
  <c r="C284" i="4"/>
  <c r="I283" i="4"/>
  <c r="I282" i="4"/>
  <c r="K281" i="4"/>
  <c r="I281" i="4"/>
  <c r="C281" i="4"/>
  <c r="I280" i="4"/>
  <c r="I279" i="4"/>
  <c r="K278" i="4"/>
  <c r="I278" i="4"/>
  <c r="C278" i="4"/>
  <c r="I277" i="4"/>
  <c r="I276" i="4"/>
  <c r="K275" i="4"/>
  <c r="I275" i="4"/>
  <c r="C275" i="4"/>
  <c r="I274" i="4"/>
  <c r="I273" i="4"/>
  <c r="K272" i="4"/>
  <c r="I272" i="4"/>
  <c r="C272" i="4"/>
  <c r="I271" i="4"/>
  <c r="H270" i="4"/>
  <c r="G270" i="4"/>
  <c r="F270" i="4"/>
  <c r="E270" i="4"/>
  <c r="K269" i="4"/>
  <c r="H269" i="4"/>
  <c r="G269" i="4"/>
  <c r="F269" i="4"/>
  <c r="E269" i="4"/>
  <c r="C269" i="4"/>
  <c r="I268" i="4"/>
  <c r="I267" i="4"/>
  <c r="K266" i="4"/>
  <c r="I266" i="4"/>
  <c r="J266" i="4" s="1"/>
  <c r="C266" i="4"/>
  <c r="I265" i="4"/>
  <c r="G264" i="4"/>
  <c r="F264" i="4"/>
  <c r="E264" i="4"/>
  <c r="K263" i="4"/>
  <c r="H263" i="4"/>
  <c r="G263" i="4"/>
  <c r="F263" i="4"/>
  <c r="E263" i="4"/>
  <c r="C263" i="4"/>
  <c r="I262" i="4"/>
  <c r="I261" i="4"/>
  <c r="K260" i="4"/>
  <c r="I260" i="4"/>
  <c r="J260" i="4" s="1"/>
  <c r="C260" i="4"/>
  <c r="I259" i="4"/>
  <c r="H258" i="4"/>
  <c r="G258" i="4"/>
  <c r="F258" i="4"/>
  <c r="E258" i="4"/>
  <c r="K257" i="4"/>
  <c r="H257" i="4"/>
  <c r="G257" i="4"/>
  <c r="F257" i="4"/>
  <c r="E257" i="4"/>
  <c r="C257" i="4"/>
  <c r="A257" i="4"/>
  <c r="A260" i="4" s="1"/>
  <c r="A263" i="4" s="1"/>
  <c r="A266" i="4" s="1"/>
  <c r="A269" i="4" s="1"/>
  <c r="A272" i="4" s="1"/>
  <c r="A275" i="4" s="1"/>
  <c r="A278" i="4" s="1"/>
  <c r="A281" i="4" s="1"/>
  <c r="A284" i="4" s="1"/>
  <c r="I256" i="4"/>
  <c r="H255" i="4"/>
  <c r="G255" i="4"/>
  <c r="F255" i="4"/>
  <c r="E255" i="4"/>
  <c r="K254" i="4"/>
  <c r="H254" i="4"/>
  <c r="G254" i="4"/>
  <c r="F254" i="4"/>
  <c r="E254" i="4"/>
  <c r="C254" i="4"/>
  <c r="I253" i="4"/>
  <c r="I252" i="4"/>
  <c r="K251" i="4"/>
  <c r="I251" i="4"/>
  <c r="C251" i="4"/>
  <c r="I250" i="4"/>
  <c r="I249" i="4"/>
  <c r="K248" i="4"/>
  <c r="I248" i="4"/>
  <c r="J248" i="4" s="1"/>
  <c r="C248" i="4"/>
  <c r="I247" i="4"/>
  <c r="I246" i="4"/>
  <c r="K245" i="4"/>
  <c r="I245" i="4"/>
  <c r="J245" i="4" s="1"/>
  <c r="C245" i="4"/>
  <c r="I244" i="4"/>
  <c r="I243" i="4"/>
  <c r="K242" i="4"/>
  <c r="I242" i="4"/>
  <c r="C242" i="4"/>
  <c r="I241" i="4"/>
  <c r="I240" i="4"/>
  <c r="K239" i="4"/>
  <c r="H239" i="4"/>
  <c r="G239" i="4"/>
  <c r="F239" i="4"/>
  <c r="E239" i="4"/>
  <c r="C239" i="4"/>
  <c r="I238" i="4"/>
  <c r="I237" i="4"/>
  <c r="K236" i="4"/>
  <c r="I236" i="4"/>
  <c r="C236" i="4"/>
  <c r="I235" i="4"/>
  <c r="I234" i="4"/>
  <c r="K233" i="4"/>
  <c r="I233" i="4"/>
  <c r="J233" i="4" s="1"/>
  <c r="C233" i="4"/>
  <c r="I232" i="4"/>
  <c r="I231" i="4"/>
  <c r="K230" i="4"/>
  <c r="I230" i="4"/>
  <c r="J230" i="4" s="1"/>
  <c r="C230" i="4"/>
  <c r="I229" i="4"/>
  <c r="I228" i="4"/>
  <c r="K227" i="4"/>
  <c r="I227" i="4"/>
  <c r="J227" i="4" s="1"/>
  <c r="C227" i="4"/>
  <c r="I226" i="4"/>
  <c r="I225" i="4"/>
  <c r="K224" i="4"/>
  <c r="I224" i="4"/>
  <c r="J224" i="4" s="1"/>
  <c r="C224" i="4"/>
  <c r="I223" i="4"/>
  <c r="I222" i="4"/>
  <c r="K221" i="4"/>
  <c r="I221" i="4"/>
  <c r="J221" i="4" s="1"/>
  <c r="C221" i="4"/>
  <c r="I220" i="4"/>
  <c r="I219" i="4"/>
  <c r="K218" i="4"/>
  <c r="I218" i="4"/>
  <c r="J218" i="4" s="1"/>
  <c r="C218" i="4"/>
  <c r="I217" i="4"/>
  <c r="I216" i="4"/>
  <c r="K215" i="4"/>
  <c r="I215" i="4"/>
  <c r="C215" i="4"/>
  <c r="I214" i="4"/>
  <c r="I213" i="4"/>
  <c r="K212" i="4"/>
  <c r="I212" i="4"/>
  <c r="J212" i="4" s="1"/>
  <c r="L212" i="4" s="1"/>
  <c r="C212" i="4"/>
  <c r="I211" i="4"/>
  <c r="I210" i="4"/>
  <c r="K209" i="4"/>
  <c r="I209" i="4"/>
  <c r="C209" i="4"/>
  <c r="I208" i="4"/>
  <c r="I207" i="4"/>
  <c r="K206" i="4"/>
  <c r="I206" i="4"/>
  <c r="C206" i="4"/>
  <c r="I205" i="4"/>
  <c r="I204" i="4"/>
  <c r="K203" i="4"/>
  <c r="I203" i="4"/>
  <c r="C203" i="4"/>
  <c r="I202" i="4"/>
  <c r="I201" i="4"/>
  <c r="K200" i="4"/>
  <c r="I200" i="4"/>
  <c r="J200" i="4" s="1"/>
  <c r="C200" i="4"/>
  <c r="I199" i="4"/>
  <c r="I198" i="4"/>
  <c r="K197" i="4"/>
  <c r="I197" i="4"/>
  <c r="C197" i="4"/>
  <c r="I196" i="4"/>
  <c r="I195" i="4"/>
  <c r="K194" i="4"/>
  <c r="I194" i="4"/>
  <c r="C194" i="4"/>
  <c r="I193" i="4"/>
  <c r="I192" i="4"/>
  <c r="K191" i="4"/>
  <c r="I191" i="4"/>
  <c r="J191" i="4" s="1"/>
  <c r="C191" i="4"/>
  <c r="I190" i="4"/>
  <c r="I189" i="4"/>
  <c r="K188" i="4"/>
  <c r="I188" i="4"/>
  <c r="J188" i="4" s="1"/>
  <c r="C188" i="4"/>
  <c r="I187" i="4"/>
  <c r="I186" i="4"/>
  <c r="K185" i="4"/>
  <c r="I185" i="4"/>
  <c r="J185" i="4" s="1"/>
  <c r="C185" i="4"/>
  <c r="I184" i="4"/>
  <c r="I183" i="4"/>
  <c r="K182" i="4"/>
  <c r="I182" i="4"/>
  <c r="J182" i="4" s="1"/>
  <c r="C182" i="4"/>
  <c r="I181" i="4"/>
  <c r="I180" i="4"/>
  <c r="K179" i="4"/>
  <c r="I179" i="4"/>
  <c r="J179" i="4" s="1"/>
  <c r="C179" i="4"/>
  <c r="I178" i="4"/>
  <c r="H177" i="4"/>
  <c r="G177" i="4"/>
  <c r="F177" i="4"/>
  <c r="E177" i="4"/>
  <c r="K176" i="4"/>
  <c r="H176" i="4"/>
  <c r="G176" i="4"/>
  <c r="F176" i="4"/>
  <c r="E176" i="4"/>
  <c r="C176" i="4"/>
  <c r="I175" i="4"/>
  <c r="I174" i="4"/>
  <c r="K173" i="4"/>
  <c r="I173" i="4"/>
  <c r="C173" i="4"/>
  <c r="I172" i="4"/>
  <c r="I171" i="4"/>
  <c r="K170" i="4"/>
  <c r="I170" i="4"/>
  <c r="C170" i="4"/>
  <c r="I169" i="4"/>
  <c r="I168" i="4"/>
  <c r="K167" i="4"/>
  <c r="I167" i="4"/>
  <c r="C167" i="4"/>
  <c r="I166" i="4"/>
  <c r="I165" i="4"/>
  <c r="K164" i="4"/>
  <c r="I164" i="4"/>
  <c r="J164" i="4" s="1"/>
  <c r="C164" i="4"/>
  <c r="I163" i="4"/>
  <c r="I162" i="4"/>
  <c r="K161" i="4"/>
  <c r="I161" i="4"/>
  <c r="J161" i="4" s="1"/>
  <c r="C161" i="4"/>
  <c r="I160" i="4"/>
  <c r="I159" i="4"/>
  <c r="K158" i="4"/>
  <c r="I158" i="4"/>
  <c r="J158" i="4" s="1"/>
  <c r="I157" i="4"/>
  <c r="I156" i="4"/>
  <c r="K155" i="4"/>
  <c r="I155" i="4"/>
  <c r="J155" i="4" s="1"/>
  <c r="I154" i="4"/>
  <c r="I153" i="4"/>
  <c r="K152" i="4"/>
  <c r="I152" i="4"/>
  <c r="J152" i="4" s="1"/>
  <c r="I151" i="4"/>
  <c r="I150" i="4"/>
  <c r="K149" i="4"/>
  <c r="I149" i="4"/>
  <c r="J149" i="4" s="1"/>
  <c r="I148" i="4"/>
  <c r="I147" i="4"/>
  <c r="K146" i="4"/>
  <c r="I146" i="4"/>
  <c r="I145" i="4"/>
  <c r="I144" i="4"/>
  <c r="K143" i="4"/>
  <c r="I143" i="4"/>
  <c r="I142" i="4"/>
  <c r="I141" i="4"/>
  <c r="K140" i="4"/>
  <c r="I140" i="4"/>
  <c r="J140" i="4" s="1"/>
  <c r="I139" i="4"/>
  <c r="I138" i="4"/>
  <c r="K137" i="4"/>
  <c r="I137" i="4"/>
  <c r="J137" i="4" s="1"/>
  <c r="I136" i="4"/>
  <c r="I135" i="4"/>
  <c r="K134" i="4"/>
  <c r="H134" i="4"/>
  <c r="G134" i="4"/>
  <c r="F134" i="4"/>
  <c r="I133" i="4"/>
  <c r="I132" i="4"/>
  <c r="K131" i="4"/>
  <c r="I131" i="4"/>
  <c r="J131" i="4" s="1"/>
  <c r="I130" i="4"/>
  <c r="I129" i="4"/>
  <c r="K128" i="4"/>
  <c r="I128" i="4"/>
  <c r="J128" i="4" s="1"/>
  <c r="I127" i="4"/>
  <c r="I126" i="4"/>
  <c r="I125" i="4"/>
  <c r="J125" i="4" s="1"/>
  <c r="L125" i="4" s="1"/>
  <c r="O125" i="4" s="1"/>
  <c r="I124" i="4"/>
  <c r="I123" i="4"/>
  <c r="I122" i="4"/>
  <c r="I121" i="4"/>
  <c r="I120" i="4"/>
  <c r="I119" i="4"/>
  <c r="J119" i="4" s="1"/>
  <c r="I118" i="4"/>
  <c r="I117" i="4"/>
  <c r="I116" i="4"/>
  <c r="I115" i="4"/>
  <c r="I114" i="4"/>
  <c r="I113" i="4"/>
  <c r="J113" i="4" s="1"/>
  <c r="L113" i="4" s="1"/>
  <c r="O113" i="4" s="1"/>
  <c r="B113" i="4"/>
  <c r="B116" i="4" s="1"/>
  <c r="B119" i="4" s="1"/>
  <c r="B122" i="4" s="1"/>
  <c r="B125" i="4" s="1"/>
  <c r="B128" i="4" s="1"/>
  <c r="B131" i="4" s="1"/>
  <c r="B134" i="4" s="1"/>
  <c r="B137" i="4" s="1"/>
  <c r="B140" i="4" s="1"/>
  <c r="B143" i="4" s="1"/>
  <c r="B146" i="4" s="1"/>
  <c r="B149" i="4" s="1"/>
  <c r="B152" i="4" s="1"/>
  <c r="B155" i="4" s="1"/>
  <c r="B158" i="4" s="1"/>
  <c r="B161" i="4" s="1"/>
  <c r="B164" i="4" s="1"/>
  <c r="B167" i="4" s="1"/>
  <c r="B170" i="4" s="1"/>
  <c r="B173" i="4" s="1"/>
  <c r="B176" i="4" s="1"/>
  <c r="B179" i="4" s="1"/>
  <c r="B182" i="4" s="1"/>
  <c r="B185" i="4" s="1"/>
  <c r="B188" i="4" s="1"/>
  <c r="B191" i="4" s="1"/>
  <c r="B194" i="4" s="1"/>
  <c r="B197" i="4" s="1"/>
  <c r="B200" i="4" s="1"/>
  <c r="B203" i="4" s="1"/>
  <c r="B206" i="4" s="1"/>
  <c r="B209" i="4" s="1"/>
  <c r="B212" i="4" s="1"/>
  <c r="B215" i="4" s="1"/>
  <c r="B218" i="4" s="1"/>
  <c r="B221" i="4" s="1"/>
  <c r="B224" i="4" s="1"/>
  <c r="B227" i="4" s="1"/>
  <c r="B230" i="4" s="1"/>
  <c r="B233" i="4" s="1"/>
  <c r="B236" i="4" s="1"/>
  <c r="B239" i="4" s="1"/>
  <c r="B242" i="4" s="1"/>
  <c r="B245" i="4" s="1"/>
  <c r="B248" i="4" s="1"/>
  <c r="B251" i="4" s="1"/>
  <c r="B254" i="4" s="1"/>
  <c r="B257" i="4" s="1"/>
  <c r="B260" i="4" s="1"/>
  <c r="B263" i="4" s="1"/>
  <c r="B266" i="4" s="1"/>
  <c r="B269" i="4" s="1"/>
  <c r="B272" i="4" s="1"/>
  <c r="B275" i="4" s="1"/>
  <c r="B278" i="4" s="1"/>
  <c r="B281" i="4" s="1"/>
  <c r="B284" i="4" s="1"/>
  <c r="B287" i="4" s="1"/>
  <c r="B290" i="4" s="1"/>
  <c r="B293" i="4" s="1"/>
  <c r="B296" i="4" s="1"/>
  <c r="B299" i="4" s="1"/>
  <c r="B302" i="4" s="1"/>
  <c r="B305" i="4" s="1"/>
  <c r="B308" i="4" s="1"/>
  <c r="B311" i="4" s="1"/>
  <c r="B314" i="4" s="1"/>
  <c r="B317" i="4" s="1"/>
  <c r="B320" i="4" s="1"/>
  <c r="B323" i="4" s="1"/>
  <c r="B326" i="4" s="1"/>
  <c r="B329" i="4" s="1"/>
  <c r="B332" i="4" s="1"/>
  <c r="B335" i="4" s="1"/>
  <c r="B338" i="4" s="1"/>
  <c r="I112" i="4"/>
  <c r="I111" i="4"/>
  <c r="I110" i="4"/>
  <c r="J110" i="4" s="1"/>
  <c r="L110" i="4" s="1"/>
  <c r="O110" i="4" s="1"/>
  <c r="I109" i="4"/>
  <c r="I108" i="4"/>
  <c r="I107" i="4"/>
  <c r="J107" i="4" s="1"/>
  <c r="L107" i="4" s="1"/>
  <c r="O107" i="4" s="1"/>
  <c r="I106" i="4"/>
  <c r="I105" i="4"/>
  <c r="I104" i="4"/>
  <c r="J104" i="4" s="1"/>
  <c r="L104" i="4" s="1"/>
  <c r="O104" i="4" s="1"/>
  <c r="I103" i="4"/>
  <c r="I102" i="4"/>
  <c r="I101" i="4"/>
  <c r="J101" i="4" s="1"/>
  <c r="L101" i="4" s="1"/>
  <c r="O101" i="4" s="1"/>
  <c r="I100" i="4"/>
  <c r="I99" i="4"/>
  <c r="I98" i="4"/>
  <c r="J98" i="4" s="1"/>
  <c r="L98" i="4" s="1"/>
  <c r="O98" i="4" s="1"/>
  <c r="I97" i="4"/>
  <c r="I96" i="4"/>
  <c r="I95" i="4"/>
  <c r="J95" i="4" s="1"/>
  <c r="L95" i="4" s="1"/>
  <c r="O95" i="4" s="1"/>
  <c r="I94" i="4"/>
  <c r="I93" i="4"/>
  <c r="I92" i="4"/>
  <c r="J92" i="4" s="1"/>
  <c r="L92" i="4" s="1"/>
  <c r="O92" i="4" s="1"/>
  <c r="I91" i="4"/>
  <c r="I90" i="4"/>
  <c r="I89" i="4"/>
  <c r="J89" i="4" s="1"/>
  <c r="L89" i="4" s="1"/>
  <c r="O89" i="4" s="1"/>
  <c r="I88" i="4"/>
  <c r="I87" i="4"/>
  <c r="I86" i="4"/>
  <c r="I85" i="4"/>
  <c r="I84" i="4"/>
  <c r="I83" i="4"/>
  <c r="I82" i="4"/>
  <c r="I81" i="4"/>
  <c r="I80" i="4"/>
  <c r="I79" i="4"/>
  <c r="I78" i="4"/>
  <c r="I77" i="4"/>
  <c r="J77" i="4" s="1"/>
  <c r="L77" i="4" s="1"/>
  <c r="O77" i="4" s="1"/>
  <c r="I76" i="4"/>
  <c r="I75" i="4"/>
  <c r="I74" i="4"/>
  <c r="J74" i="4" s="1"/>
  <c r="L74" i="4" s="1"/>
  <c r="O74" i="4" s="1"/>
  <c r="I73" i="4"/>
  <c r="I72" i="4"/>
  <c r="I71" i="4"/>
  <c r="J71" i="4" s="1"/>
  <c r="L71" i="4" s="1"/>
  <c r="O71" i="4" s="1"/>
  <c r="I70" i="4"/>
  <c r="I69" i="4"/>
  <c r="I68" i="4"/>
  <c r="J68" i="4" s="1"/>
  <c r="L68" i="4" s="1"/>
  <c r="O68" i="4" s="1"/>
  <c r="I67" i="4"/>
  <c r="I66" i="4"/>
  <c r="I65" i="4"/>
  <c r="J65" i="4" s="1"/>
  <c r="L65" i="4" s="1"/>
  <c r="O65" i="4" s="1"/>
  <c r="I64" i="4"/>
  <c r="I63" i="4"/>
  <c r="I62" i="4"/>
  <c r="I61" i="4"/>
  <c r="I60" i="4"/>
  <c r="I59" i="4"/>
  <c r="I58" i="4"/>
  <c r="I57" i="4"/>
  <c r="I56" i="4"/>
  <c r="J56" i="4" s="1"/>
  <c r="L56" i="4" s="1"/>
  <c r="O56" i="4" s="1"/>
  <c r="I55" i="4"/>
  <c r="I54" i="4"/>
  <c r="I53" i="4"/>
  <c r="I52" i="4"/>
  <c r="I51" i="4"/>
  <c r="I50" i="4"/>
  <c r="J50" i="4" s="1"/>
  <c r="L50" i="4" s="1"/>
  <c r="O50" i="4" s="1"/>
  <c r="I49" i="4"/>
  <c r="I48" i="4"/>
  <c r="I47" i="4"/>
  <c r="J47" i="4" s="1"/>
  <c r="L47" i="4" s="1"/>
  <c r="O47" i="4" s="1"/>
  <c r="I46" i="4"/>
  <c r="I45" i="4"/>
  <c r="I44" i="4"/>
  <c r="J44" i="4" s="1"/>
  <c r="L44" i="4" s="1"/>
  <c r="O44" i="4" s="1"/>
  <c r="I43" i="4"/>
  <c r="I42" i="4"/>
  <c r="I41" i="4"/>
  <c r="I40" i="4"/>
  <c r="I39" i="4"/>
  <c r="I38" i="4"/>
  <c r="I37" i="4"/>
  <c r="I36" i="4"/>
  <c r="I35" i="4"/>
  <c r="J35" i="4" s="1"/>
  <c r="L35" i="4" s="1"/>
  <c r="O35" i="4" s="1"/>
  <c r="I34" i="4"/>
  <c r="I33" i="4"/>
  <c r="I32" i="4"/>
  <c r="J32" i="4" s="1"/>
  <c r="L32" i="4" s="1"/>
  <c r="O32" i="4" s="1"/>
  <c r="I31" i="4"/>
  <c r="I30" i="4"/>
  <c r="I29" i="4"/>
  <c r="J29" i="4" s="1"/>
  <c r="L29" i="4" s="1"/>
  <c r="O29" i="4" s="1"/>
  <c r="I28" i="4"/>
  <c r="I27" i="4"/>
  <c r="I26" i="4"/>
  <c r="I25" i="4"/>
  <c r="I24" i="4"/>
  <c r="I23" i="4"/>
  <c r="J23" i="4" s="1"/>
  <c r="L23" i="4" s="1"/>
  <c r="O23" i="4" s="1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J5" i="4" s="1"/>
  <c r="L5" i="4" s="1"/>
  <c r="O5" i="4" s="1"/>
  <c r="I349" i="3"/>
  <c r="N347" i="3" s="1"/>
  <c r="I348" i="3"/>
  <c r="K347" i="3"/>
  <c r="I347" i="3"/>
  <c r="J347" i="3" s="1"/>
  <c r="C347" i="3"/>
  <c r="I346" i="3"/>
  <c r="I345" i="3"/>
  <c r="K344" i="3"/>
  <c r="I344" i="3"/>
  <c r="J344" i="3" s="1"/>
  <c r="C344" i="3"/>
  <c r="I343" i="3"/>
  <c r="I342" i="3"/>
  <c r="K341" i="3"/>
  <c r="I341" i="3"/>
  <c r="J341" i="3" s="1"/>
  <c r="C341" i="3"/>
  <c r="I340" i="3"/>
  <c r="I339" i="3"/>
  <c r="K338" i="3"/>
  <c r="I338" i="3"/>
  <c r="J338" i="3" s="1"/>
  <c r="C338" i="3"/>
  <c r="I337" i="3"/>
  <c r="I336" i="3"/>
  <c r="K335" i="3"/>
  <c r="I335" i="3"/>
  <c r="J335" i="3" s="1"/>
  <c r="C335" i="3"/>
  <c r="I334" i="3"/>
  <c r="I333" i="3"/>
  <c r="K332" i="3"/>
  <c r="I332" i="3"/>
  <c r="J332" i="3" s="1"/>
  <c r="C332" i="3"/>
  <c r="I331" i="3"/>
  <c r="I330" i="3"/>
  <c r="K329" i="3"/>
  <c r="I329" i="3"/>
  <c r="J329" i="3" s="1"/>
  <c r="C329" i="3"/>
  <c r="I328" i="3"/>
  <c r="I327" i="3"/>
  <c r="K326" i="3"/>
  <c r="I326" i="3"/>
  <c r="J326" i="3" s="1"/>
  <c r="C326" i="3"/>
  <c r="I325" i="3"/>
  <c r="N323" i="3" s="1"/>
  <c r="I324" i="3"/>
  <c r="K323" i="3"/>
  <c r="I323" i="3"/>
  <c r="J323" i="3" s="1"/>
  <c r="C323" i="3"/>
  <c r="I322" i="3"/>
  <c r="I321" i="3"/>
  <c r="K320" i="3"/>
  <c r="I320" i="3"/>
  <c r="J320" i="3" s="1"/>
  <c r="C320" i="3"/>
  <c r="I319" i="3"/>
  <c r="I318" i="3"/>
  <c r="K317" i="3"/>
  <c r="I317" i="3"/>
  <c r="J317" i="3" s="1"/>
  <c r="C317" i="3"/>
  <c r="I316" i="3"/>
  <c r="I315" i="3"/>
  <c r="K314" i="3"/>
  <c r="I314" i="3"/>
  <c r="J314" i="3" s="1"/>
  <c r="C314" i="3"/>
  <c r="I313" i="3"/>
  <c r="I312" i="3"/>
  <c r="K311" i="3"/>
  <c r="I311" i="3"/>
  <c r="J311" i="3" s="1"/>
  <c r="C311" i="3"/>
  <c r="I310" i="3"/>
  <c r="I309" i="3"/>
  <c r="K308" i="3"/>
  <c r="I308" i="3"/>
  <c r="J308" i="3" s="1"/>
  <c r="C308" i="3"/>
  <c r="I307" i="3"/>
  <c r="I306" i="3"/>
  <c r="K305" i="3"/>
  <c r="I305" i="3"/>
  <c r="J305" i="3" s="1"/>
  <c r="C305" i="3"/>
  <c r="I304" i="3"/>
  <c r="I303" i="3"/>
  <c r="K302" i="3"/>
  <c r="I302" i="3"/>
  <c r="J302" i="3" s="1"/>
  <c r="C302" i="3"/>
  <c r="I301" i="3"/>
  <c r="N299" i="3" s="1"/>
  <c r="I300" i="3"/>
  <c r="K299" i="3"/>
  <c r="I299" i="3"/>
  <c r="J299" i="3" s="1"/>
  <c r="C299" i="3"/>
  <c r="I298" i="3"/>
  <c r="I297" i="3"/>
  <c r="K296" i="3"/>
  <c r="I296" i="3"/>
  <c r="J296" i="3" s="1"/>
  <c r="C296" i="3"/>
  <c r="I295" i="3"/>
  <c r="I294" i="3"/>
  <c r="K293" i="3"/>
  <c r="I293" i="3"/>
  <c r="J293" i="3" s="1"/>
  <c r="C293" i="3"/>
  <c r="I292" i="3"/>
  <c r="I291" i="3"/>
  <c r="K290" i="3"/>
  <c r="I290" i="3"/>
  <c r="J290" i="3" s="1"/>
  <c r="C290" i="3"/>
  <c r="I289" i="3"/>
  <c r="I288" i="3"/>
  <c r="K287" i="3"/>
  <c r="I287" i="3"/>
  <c r="J287" i="3" s="1"/>
  <c r="C287" i="3"/>
  <c r="I286" i="3"/>
  <c r="I285" i="3"/>
  <c r="K284" i="3"/>
  <c r="I284" i="3"/>
  <c r="J284" i="3" s="1"/>
  <c r="C284" i="3"/>
  <c r="I283" i="3"/>
  <c r="I282" i="3"/>
  <c r="K281" i="3"/>
  <c r="I281" i="3"/>
  <c r="J281" i="3" s="1"/>
  <c r="C281" i="3"/>
  <c r="I280" i="3"/>
  <c r="H279" i="3"/>
  <c r="G279" i="3"/>
  <c r="F279" i="3"/>
  <c r="E279" i="3"/>
  <c r="K278" i="3"/>
  <c r="H278" i="3"/>
  <c r="G278" i="3"/>
  <c r="F278" i="3"/>
  <c r="E278" i="3"/>
  <c r="C278" i="3"/>
  <c r="I277" i="3"/>
  <c r="H276" i="3"/>
  <c r="G276" i="3"/>
  <c r="F276" i="3"/>
  <c r="E276" i="3"/>
  <c r="K275" i="3"/>
  <c r="H275" i="3"/>
  <c r="G275" i="3"/>
  <c r="F275" i="3"/>
  <c r="E275" i="3"/>
  <c r="C275" i="3"/>
  <c r="I274" i="3"/>
  <c r="H273" i="3"/>
  <c r="G273" i="3"/>
  <c r="F273" i="3"/>
  <c r="E273" i="3"/>
  <c r="K272" i="3"/>
  <c r="H272" i="3"/>
  <c r="G272" i="3"/>
  <c r="F272" i="3"/>
  <c r="E272" i="3"/>
  <c r="C272" i="3"/>
  <c r="I271" i="3"/>
  <c r="H270" i="3"/>
  <c r="G270" i="3"/>
  <c r="E270" i="3"/>
  <c r="K269" i="3"/>
  <c r="H269" i="3"/>
  <c r="G269" i="3"/>
  <c r="F269" i="3"/>
  <c r="E269" i="3"/>
  <c r="C269" i="3"/>
  <c r="I268" i="3"/>
  <c r="H267" i="3"/>
  <c r="G267" i="3"/>
  <c r="F267" i="3"/>
  <c r="E267" i="3"/>
  <c r="K266" i="3"/>
  <c r="H266" i="3"/>
  <c r="G266" i="3"/>
  <c r="F266" i="3"/>
  <c r="E266" i="3"/>
  <c r="C266" i="3"/>
  <c r="I265" i="3"/>
  <c r="H264" i="3"/>
  <c r="F264" i="3"/>
  <c r="E264" i="3"/>
  <c r="K263" i="3"/>
  <c r="H263" i="3"/>
  <c r="G263" i="3"/>
  <c r="F263" i="3"/>
  <c r="E263" i="3"/>
  <c r="C263" i="3"/>
  <c r="A263" i="3"/>
  <c r="A266" i="3" s="1"/>
  <c r="A269" i="3" s="1"/>
  <c r="A272" i="3" s="1"/>
  <c r="A275" i="3" s="1"/>
  <c r="A278" i="3" s="1"/>
  <c r="A281" i="3" s="1"/>
  <c r="A284" i="3" s="1"/>
  <c r="A287" i="3" s="1"/>
  <c r="A290" i="3" s="1"/>
  <c r="A293" i="3" s="1"/>
  <c r="A296" i="3" s="1"/>
  <c r="A299" i="3" s="1"/>
  <c r="A302" i="3" s="1"/>
  <c r="A305" i="3" s="1"/>
  <c r="A308" i="3" s="1"/>
  <c r="A311" i="3" s="1"/>
  <c r="A314" i="3" s="1"/>
  <c r="A317" i="3" s="1"/>
  <c r="A320" i="3" s="1"/>
  <c r="A323" i="3" s="1"/>
  <c r="A326" i="3" s="1"/>
  <c r="A329" i="3" s="1"/>
  <c r="A332" i="3" s="1"/>
  <c r="A335" i="3" s="1"/>
  <c r="A338" i="3" s="1"/>
  <c r="A341" i="3" s="1"/>
  <c r="A344" i="3" s="1"/>
  <c r="I262" i="3"/>
  <c r="H261" i="3"/>
  <c r="G261" i="3"/>
  <c r="F261" i="3"/>
  <c r="E261" i="3"/>
  <c r="K260" i="3"/>
  <c r="H260" i="3"/>
  <c r="G260" i="3"/>
  <c r="F260" i="3"/>
  <c r="E260" i="3"/>
  <c r="C260" i="3"/>
  <c r="I259" i="3"/>
  <c r="I258" i="3"/>
  <c r="K257" i="3"/>
  <c r="I257" i="3"/>
  <c r="J257" i="3" s="1"/>
  <c r="C257" i="3"/>
  <c r="I256" i="3"/>
  <c r="I255" i="3"/>
  <c r="K254" i="3"/>
  <c r="I254" i="3"/>
  <c r="J254" i="3" s="1"/>
  <c r="C254" i="3"/>
  <c r="I253" i="3"/>
  <c r="E252" i="3"/>
  <c r="I252" i="3" s="1"/>
  <c r="K251" i="3"/>
  <c r="E251" i="3"/>
  <c r="I251" i="3" s="1"/>
  <c r="C251" i="3"/>
  <c r="I250" i="3"/>
  <c r="I249" i="3"/>
  <c r="K248" i="3"/>
  <c r="H248" i="3"/>
  <c r="G248" i="3"/>
  <c r="F248" i="3"/>
  <c r="E248" i="3"/>
  <c r="C248" i="3"/>
  <c r="I247" i="3"/>
  <c r="H246" i="3"/>
  <c r="G246" i="3"/>
  <c r="F246" i="3"/>
  <c r="E246" i="3"/>
  <c r="K245" i="3"/>
  <c r="H245" i="3"/>
  <c r="G245" i="3"/>
  <c r="F245" i="3"/>
  <c r="E245" i="3"/>
  <c r="C245" i="3"/>
  <c r="I244" i="3"/>
  <c r="H243" i="3"/>
  <c r="G243" i="3"/>
  <c r="F243" i="3"/>
  <c r="E243" i="3"/>
  <c r="K242" i="3"/>
  <c r="H242" i="3"/>
  <c r="G242" i="3"/>
  <c r="F242" i="3"/>
  <c r="E242" i="3"/>
  <c r="C242" i="3"/>
  <c r="I241" i="3"/>
  <c r="H240" i="3"/>
  <c r="G240" i="3"/>
  <c r="F240" i="3"/>
  <c r="E240" i="3"/>
  <c r="K239" i="3"/>
  <c r="H239" i="3"/>
  <c r="G239" i="3"/>
  <c r="F239" i="3"/>
  <c r="E239" i="3"/>
  <c r="C239" i="3"/>
  <c r="I238" i="3"/>
  <c r="H237" i="3"/>
  <c r="G237" i="3"/>
  <c r="F237" i="3"/>
  <c r="E237" i="3"/>
  <c r="K236" i="3"/>
  <c r="H236" i="3"/>
  <c r="G236" i="3"/>
  <c r="F236" i="3"/>
  <c r="E236" i="3"/>
  <c r="C236" i="3"/>
  <c r="I235" i="3"/>
  <c r="H234" i="3"/>
  <c r="G234" i="3"/>
  <c r="F234" i="3"/>
  <c r="E234" i="3"/>
  <c r="K233" i="3"/>
  <c r="H233" i="3"/>
  <c r="G233" i="3"/>
  <c r="F233" i="3"/>
  <c r="E233" i="3"/>
  <c r="C233" i="3"/>
  <c r="I232" i="3"/>
  <c r="H231" i="3"/>
  <c r="G231" i="3"/>
  <c r="F231" i="3"/>
  <c r="E231" i="3"/>
  <c r="K230" i="3"/>
  <c r="H230" i="3"/>
  <c r="G230" i="3"/>
  <c r="F230" i="3"/>
  <c r="E230" i="3"/>
  <c r="C230" i="3"/>
  <c r="I229" i="3"/>
  <c r="I228" i="3"/>
  <c r="K227" i="3"/>
  <c r="I227" i="3"/>
  <c r="J227" i="3" s="1"/>
  <c r="C227" i="3"/>
  <c r="I226" i="3"/>
  <c r="H225" i="3"/>
  <c r="G225" i="3"/>
  <c r="F225" i="3"/>
  <c r="E225" i="3"/>
  <c r="K224" i="3"/>
  <c r="H224" i="3"/>
  <c r="G224" i="3"/>
  <c r="F224" i="3"/>
  <c r="E224" i="3"/>
  <c r="C224" i="3"/>
  <c r="I223" i="3"/>
  <c r="H222" i="3"/>
  <c r="G222" i="3"/>
  <c r="F222" i="3"/>
  <c r="E222" i="3"/>
  <c r="K221" i="3"/>
  <c r="H221" i="3"/>
  <c r="G221" i="3"/>
  <c r="F221" i="3"/>
  <c r="E221" i="3"/>
  <c r="C221" i="3"/>
  <c r="I220" i="3"/>
  <c r="H219" i="3"/>
  <c r="F219" i="3"/>
  <c r="E219" i="3"/>
  <c r="K218" i="3"/>
  <c r="H218" i="3"/>
  <c r="G218" i="3"/>
  <c r="F218" i="3"/>
  <c r="E218" i="3"/>
  <c r="C218" i="3"/>
  <c r="I217" i="3"/>
  <c r="I216" i="3"/>
  <c r="K215" i="3"/>
  <c r="I215" i="3"/>
  <c r="C215" i="3"/>
  <c r="I214" i="3"/>
  <c r="I213" i="3"/>
  <c r="K212" i="3"/>
  <c r="I212" i="3"/>
  <c r="J212" i="3" s="1"/>
  <c r="C212" i="3"/>
  <c r="I211" i="3"/>
  <c r="H210" i="3"/>
  <c r="G210" i="3"/>
  <c r="F210" i="3"/>
  <c r="E210" i="3"/>
  <c r="K209" i="3"/>
  <c r="H209" i="3"/>
  <c r="G209" i="3"/>
  <c r="F209" i="3"/>
  <c r="E209" i="3"/>
  <c r="C209" i="3"/>
  <c r="I208" i="3"/>
  <c r="I207" i="3"/>
  <c r="K206" i="3"/>
  <c r="I206" i="3"/>
  <c r="J206" i="3" s="1"/>
  <c r="C206" i="3"/>
  <c r="I205" i="3"/>
  <c r="I204" i="3"/>
  <c r="K203" i="3"/>
  <c r="I203" i="3"/>
  <c r="C203" i="3"/>
  <c r="I202" i="3"/>
  <c r="I201" i="3"/>
  <c r="K200" i="3"/>
  <c r="I200" i="3"/>
  <c r="J200" i="3" s="1"/>
  <c r="C200" i="3"/>
  <c r="I199" i="3"/>
  <c r="I198" i="3"/>
  <c r="K197" i="3"/>
  <c r="I197" i="3"/>
  <c r="J197" i="3" s="1"/>
  <c r="C197" i="3"/>
  <c r="I196" i="3"/>
  <c r="I195" i="3"/>
  <c r="K194" i="3"/>
  <c r="I194" i="3"/>
  <c r="J194" i="3" s="1"/>
  <c r="C194" i="3"/>
  <c r="I193" i="3"/>
  <c r="I192" i="3"/>
  <c r="K191" i="3"/>
  <c r="I191" i="3"/>
  <c r="C191" i="3"/>
  <c r="I190" i="3"/>
  <c r="N188" i="3" s="1"/>
  <c r="I189" i="3"/>
  <c r="K188" i="3"/>
  <c r="I188" i="3"/>
  <c r="C188" i="3"/>
  <c r="I187" i="3"/>
  <c r="H186" i="3"/>
  <c r="G186" i="3"/>
  <c r="F186" i="3"/>
  <c r="E186" i="3"/>
  <c r="K185" i="3"/>
  <c r="H185" i="3"/>
  <c r="G185" i="3"/>
  <c r="F185" i="3"/>
  <c r="E185" i="3"/>
  <c r="C185" i="3"/>
  <c r="I184" i="3"/>
  <c r="H183" i="3"/>
  <c r="G183" i="3"/>
  <c r="F183" i="3"/>
  <c r="E183" i="3"/>
  <c r="K182" i="3"/>
  <c r="H182" i="3"/>
  <c r="G182" i="3"/>
  <c r="F182" i="3"/>
  <c r="E182" i="3"/>
  <c r="C182" i="3"/>
  <c r="I181" i="3"/>
  <c r="I180" i="3"/>
  <c r="K179" i="3"/>
  <c r="I179" i="3"/>
  <c r="C179" i="3"/>
  <c r="I178" i="3"/>
  <c r="N176" i="3" s="1"/>
  <c r="I177" i="3"/>
  <c r="K176" i="3"/>
  <c r="I176" i="3"/>
  <c r="C176" i="3"/>
  <c r="I175" i="3"/>
  <c r="I174" i="3"/>
  <c r="K173" i="3"/>
  <c r="I173" i="3"/>
  <c r="J173" i="3" s="1"/>
  <c r="C173" i="3"/>
  <c r="I172" i="3"/>
  <c r="I171" i="3"/>
  <c r="K170" i="3"/>
  <c r="I170" i="3"/>
  <c r="J170" i="3" s="1"/>
  <c r="C170" i="3"/>
  <c r="I169" i="3"/>
  <c r="H168" i="3"/>
  <c r="G168" i="3"/>
  <c r="F168" i="3"/>
  <c r="E168" i="3"/>
  <c r="K167" i="3"/>
  <c r="H167" i="3"/>
  <c r="G167" i="3"/>
  <c r="F167" i="3"/>
  <c r="E167" i="3"/>
  <c r="C167" i="3"/>
  <c r="I166" i="3"/>
  <c r="I165" i="3"/>
  <c r="K164" i="3"/>
  <c r="I164" i="3"/>
  <c r="C164" i="3"/>
  <c r="I163" i="3"/>
  <c r="I162" i="3"/>
  <c r="K161" i="3"/>
  <c r="I161" i="3"/>
  <c r="C161" i="3"/>
  <c r="I160" i="3"/>
  <c r="I159" i="3"/>
  <c r="K158" i="3"/>
  <c r="I158" i="3"/>
  <c r="J158" i="3" s="1"/>
  <c r="C158" i="3"/>
  <c r="I156" i="3"/>
  <c r="K155" i="3"/>
  <c r="I155" i="3"/>
  <c r="N155" i="3" s="1"/>
  <c r="C155" i="3"/>
  <c r="I154" i="3"/>
  <c r="H153" i="3"/>
  <c r="G153" i="3"/>
  <c r="F153" i="3"/>
  <c r="E153" i="3"/>
  <c r="K152" i="3"/>
  <c r="H152" i="3"/>
  <c r="G152" i="3"/>
  <c r="F152" i="3"/>
  <c r="E152" i="3"/>
  <c r="C152" i="3"/>
  <c r="I151" i="3"/>
  <c r="N149" i="3" s="1"/>
  <c r="I150" i="3"/>
  <c r="K149" i="3"/>
  <c r="I149" i="3"/>
  <c r="J149" i="3" s="1"/>
  <c r="C149" i="3"/>
  <c r="G148" i="3"/>
  <c r="I148" i="3" s="1"/>
  <c r="H147" i="3"/>
  <c r="G147" i="3"/>
  <c r="F147" i="3"/>
  <c r="E147" i="3"/>
  <c r="K146" i="3"/>
  <c r="H146" i="3"/>
  <c r="G146" i="3"/>
  <c r="F146" i="3"/>
  <c r="E146" i="3"/>
  <c r="C146" i="3"/>
  <c r="I145" i="3"/>
  <c r="H144" i="3"/>
  <c r="G144" i="3"/>
  <c r="F144" i="3"/>
  <c r="E144" i="3"/>
  <c r="K143" i="3"/>
  <c r="H143" i="3"/>
  <c r="G143" i="3"/>
  <c r="F143" i="3"/>
  <c r="E143" i="3"/>
  <c r="C143" i="3"/>
  <c r="I142" i="3"/>
  <c r="I141" i="3"/>
  <c r="K140" i="3"/>
  <c r="I140" i="3"/>
  <c r="J140" i="3" s="1"/>
  <c r="C140" i="3"/>
  <c r="I139" i="3"/>
  <c r="N137" i="3" s="1"/>
  <c r="I138" i="3"/>
  <c r="K137" i="3"/>
  <c r="I137" i="3"/>
  <c r="J137" i="3" s="1"/>
  <c r="C137" i="3"/>
  <c r="I136" i="3"/>
  <c r="I135" i="3"/>
  <c r="K134" i="3"/>
  <c r="I134" i="3"/>
  <c r="C134" i="3"/>
  <c r="I133" i="3"/>
  <c r="H132" i="3"/>
  <c r="G132" i="3"/>
  <c r="E132" i="3"/>
  <c r="K131" i="3"/>
  <c r="H131" i="3"/>
  <c r="G131" i="3"/>
  <c r="F131" i="3"/>
  <c r="E131" i="3"/>
  <c r="I130" i="3"/>
  <c r="H129" i="3"/>
  <c r="G129" i="3"/>
  <c r="F129" i="3"/>
  <c r="E129" i="3"/>
  <c r="K128" i="3"/>
  <c r="H128" i="3"/>
  <c r="G128" i="3"/>
  <c r="F128" i="3"/>
  <c r="E128" i="3"/>
  <c r="I127" i="3"/>
  <c r="I126" i="3"/>
  <c r="I125" i="3"/>
  <c r="J125" i="3" s="1"/>
  <c r="I124" i="3"/>
  <c r="N122" i="3" s="1"/>
  <c r="I123" i="3"/>
  <c r="I122" i="3"/>
  <c r="I121" i="3"/>
  <c r="N119" i="3" s="1"/>
  <c r="I120" i="3"/>
  <c r="I119" i="3"/>
  <c r="I118" i="3"/>
  <c r="I117" i="3"/>
  <c r="I116" i="3"/>
  <c r="I115" i="3"/>
  <c r="I114" i="3"/>
  <c r="I113" i="3"/>
  <c r="J113" i="3" s="1"/>
  <c r="L113" i="3" s="1"/>
  <c r="O113" i="3" s="1"/>
  <c r="I112" i="3"/>
  <c r="I111" i="3"/>
  <c r="I110" i="3"/>
  <c r="J110" i="3" s="1"/>
  <c r="L110" i="3" s="1"/>
  <c r="O110" i="3" s="1"/>
  <c r="B110" i="3"/>
  <c r="B113" i="3" s="1"/>
  <c r="B116" i="3" s="1"/>
  <c r="B119" i="3" s="1"/>
  <c r="B122" i="3" s="1"/>
  <c r="B125" i="3" s="1"/>
  <c r="B128" i="3" s="1"/>
  <c r="B131" i="3" s="1"/>
  <c r="B134" i="3" s="1"/>
  <c r="B137" i="3" s="1"/>
  <c r="B140" i="3" s="1"/>
  <c r="B143" i="3" s="1"/>
  <c r="B146" i="3" s="1"/>
  <c r="B149" i="3" s="1"/>
  <c r="I109" i="3"/>
  <c r="N107" i="3" s="1"/>
  <c r="I108" i="3"/>
  <c r="I107" i="3"/>
  <c r="I106" i="3"/>
  <c r="N104" i="3" s="1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N89" i="3" s="1"/>
  <c r="I90" i="3"/>
  <c r="I89" i="3"/>
  <c r="I88" i="3"/>
  <c r="I87" i="3"/>
  <c r="I86" i="3"/>
  <c r="I85" i="3"/>
  <c r="N83" i="3" s="1"/>
  <c r="I84" i="3"/>
  <c r="I83" i="3"/>
  <c r="J83" i="3" s="1"/>
  <c r="L83" i="3" s="1"/>
  <c r="O83" i="3" s="1"/>
  <c r="I82" i="3"/>
  <c r="N80" i="3" s="1"/>
  <c r="I81" i="3"/>
  <c r="I80" i="3"/>
  <c r="J80" i="3" s="1"/>
  <c r="L80" i="3" s="1"/>
  <c r="O80" i="3" s="1"/>
  <c r="I79" i="3"/>
  <c r="I78" i="3"/>
  <c r="I77" i="3"/>
  <c r="I76" i="3"/>
  <c r="I75" i="3"/>
  <c r="I74" i="3"/>
  <c r="I73" i="3"/>
  <c r="I72" i="3"/>
  <c r="I71" i="3"/>
  <c r="J71" i="3" s="1"/>
  <c r="L71" i="3" s="1"/>
  <c r="O71" i="3" s="1"/>
  <c r="I70" i="3"/>
  <c r="N68" i="3" s="1"/>
  <c r="I69" i="3"/>
  <c r="I68" i="3"/>
  <c r="J68" i="3" s="1"/>
  <c r="L68" i="3" s="1"/>
  <c r="O68" i="3" s="1"/>
  <c r="I67" i="3"/>
  <c r="N65" i="3" s="1"/>
  <c r="I66" i="3"/>
  <c r="I65" i="3"/>
  <c r="I64" i="3"/>
  <c r="I63" i="3"/>
  <c r="I62" i="3"/>
  <c r="I61" i="3"/>
  <c r="N59" i="3" s="1"/>
  <c r="I60" i="3"/>
  <c r="I59" i="3"/>
  <c r="J59" i="3" s="1"/>
  <c r="L59" i="3" s="1"/>
  <c r="O59" i="3" s="1"/>
  <c r="I58" i="3"/>
  <c r="I57" i="3"/>
  <c r="I56" i="3"/>
  <c r="I55" i="3"/>
  <c r="I54" i="3"/>
  <c r="I53" i="3"/>
  <c r="I52" i="3"/>
  <c r="I51" i="3"/>
  <c r="I50" i="3"/>
  <c r="J50" i="3" s="1"/>
  <c r="L50" i="3" s="1"/>
  <c r="O50" i="3" s="1"/>
  <c r="I49" i="3"/>
  <c r="I48" i="3"/>
  <c r="I47" i="3"/>
  <c r="J47" i="3" s="1"/>
  <c r="L47" i="3" s="1"/>
  <c r="O47" i="3" s="1"/>
  <c r="I46" i="3"/>
  <c r="N44" i="3" s="1"/>
  <c r="I45" i="3"/>
  <c r="I44" i="3"/>
  <c r="J44" i="3" s="1"/>
  <c r="L44" i="3" s="1"/>
  <c r="O44" i="3" s="1"/>
  <c r="I43" i="3"/>
  <c r="N41" i="3" s="1"/>
  <c r="I42" i="3"/>
  <c r="I41" i="3"/>
  <c r="I40" i="3"/>
  <c r="I39" i="3"/>
  <c r="I38" i="3"/>
  <c r="I37" i="3"/>
  <c r="I36" i="3"/>
  <c r="I35" i="3"/>
  <c r="I34" i="3"/>
  <c r="N32" i="3" s="1"/>
  <c r="I33" i="3"/>
  <c r="I32" i="3"/>
  <c r="I31" i="3"/>
  <c r="I30" i="3"/>
  <c r="I29" i="3"/>
  <c r="I28" i="3"/>
  <c r="I27" i="3"/>
  <c r="I26" i="3"/>
  <c r="I25" i="3"/>
  <c r="I24" i="3"/>
  <c r="I23" i="3"/>
  <c r="J23" i="3" s="1"/>
  <c r="L23" i="3" s="1"/>
  <c r="O23" i="3" s="1"/>
  <c r="I22" i="3"/>
  <c r="I21" i="3"/>
  <c r="I20" i="3"/>
  <c r="J20" i="3" s="1"/>
  <c r="L20" i="3" s="1"/>
  <c r="O20" i="3" s="1"/>
  <c r="I19" i="3"/>
  <c r="N17" i="3" s="1"/>
  <c r="I18" i="3"/>
  <c r="I17" i="3"/>
  <c r="J17" i="3" s="1"/>
  <c r="L17" i="3" s="1"/>
  <c r="O17" i="3" s="1"/>
  <c r="I16" i="3"/>
  <c r="I15" i="3"/>
  <c r="I14" i="3"/>
  <c r="J14" i="3" s="1"/>
  <c r="L14" i="3" s="1"/>
  <c r="O14" i="3" s="1"/>
  <c r="I13" i="3"/>
  <c r="I12" i="3"/>
  <c r="I11" i="3"/>
  <c r="I10" i="3"/>
  <c r="N8" i="3" s="1"/>
  <c r="I9" i="3"/>
  <c r="I8" i="3"/>
  <c r="I7" i="3"/>
  <c r="I6" i="3"/>
  <c r="I5" i="3"/>
  <c r="I340" i="2"/>
  <c r="I339" i="2"/>
  <c r="K338" i="2"/>
  <c r="I338" i="2"/>
  <c r="J338" i="2" s="1"/>
  <c r="C338" i="2"/>
  <c r="I337" i="2"/>
  <c r="I336" i="2"/>
  <c r="I335" i="2"/>
  <c r="C335" i="2"/>
  <c r="I334" i="2"/>
  <c r="I333" i="2"/>
  <c r="K332" i="2"/>
  <c r="I332" i="2"/>
  <c r="C332" i="2"/>
  <c r="I331" i="2"/>
  <c r="I330" i="2"/>
  <c r="K329" i="2"/>
  <c r="I329" i="2"/>
  <c r="C329" i="2"/>
  <c r="I328" i="2"/>
  <c r="I327" i="2"/>
  <c r="K326" i="2"/>
  <c r="I326" i="2"/>
  <c r="J326" i="2" s="1"/>
  <c r="C326" i="2"/>
  <c r="I325" i="2"/>
  <c r="I324" i="2"/>
  <c r="K323" i="2"/>
  <c r="I323" i="2"/>
  <c r="C323" i="2"/>
  <c r="I322" i="2"/>
  <c r="I321" i="2"/>
  <c r="K320" i="2"/>
  <c r="I320" i="2"/>
  <c r="C320" i="2"/>
  <c r="I319" i="2"/>
  <c r="I318" i="2"/>
  <c r="K317" i="2"/>
  <c r="I317" i="2"/>
  <c r="C317" i="2"/>
  <c r="I316" i="2"/>
  <c r="I315" i="2"/>
  <c r="K314" i="2"/>
  <c r="I314" i="2"/>
  <c r="J314" i="2" s="1"/>
  <c r="C314" i="2"/>
  <c r="I313" i="2"/>
  <c r="I312" i="2"/>
  <c r="K311" i="2"/>
  <c r="I311" i="2"/>
  <c r="C311" i="2"/>
  <c r="I310" i="2"/>
  <c r="I309" i="2"/>
  <c r="K308" i="2"/>
  <c r="I308" i="2"/>
  <c r="C308" i="2"/>
  <c r="I307" i="2"/>
  <c r="I306" i="2"/>
  <c r="I305" i="2"/>
  <c r="C305" i="2"/>
  <c r="I304" i="2"/>
  <c r="I303" i="2"/>
  <c r="I302" i="2"/>
  <c r="J302" i="2" s="1"/>
  <c r="C302" i="2"/>
  <c r="I301" i="2"/>
  <c r="I300" i="2"/>
  <c r="K299" i="2"/>
  <c r="I299" i="2"/>
  <c r="J299" i="2" s="1"/>
  <c r="L299" i="2" s="1"/>
  <c r="C299" i="2"/>
  <c r="I298" i="2"/>
  <c r="I297" i="2"/>
  <c r="K296" i="2"/>
  <c r="I296" i="2"/>
  <c r="J296" i="2" s="1"/>
  <c r="C296" i="2"/>
  <c r="I295" i="2"/>
  <c r="I294" i="2"/>
  <c r="K293" i="2"/>
  <c r="I293" i="2"/>
  <c r="J293" i="2" s="1"/>
  <c r="L293" i="2" s="1"/>
  <c r="C293" i="2"/>
  <c r="I292" i="2"/>
  <c r="I291" i="2"/>
  <c r="K290" i="2"/>
  <c r="I290" i="2"/>
  <c r="J290" i="2" s="1"/>
  <c r="C290" i="2"/>
  <c r="I289" i="2"/>
  <c r="I288" i="2"/>
  <c r="K287" i="2"/>
  <c r="I287" i="2"/>
  <c r="J287" i="2" s="1"/>
  <c r="C287" i="2"/>
  <c r="I286" i="2"/>
  <c r="I285" i="2"/>
  <c r="K284" i="2"/>
  <c r="I284" i="2"/>
  <c r="C284" i="2"/>
  <c r="I283" i="2"/>
  <c r="I282" i="2"/>
  <c r="K281" i="2"/>
  <c r="I281" i="2"/>
  <c r="C281" i="2"/>
  <c r="I280" i="2"/>
  <c r="I279" i="2"/>
  <c r="K278" i="2"/>
  <c r="I278" i="2"/>
  <c r="C278" i="2"/>
  <c r="I277" i="2"/>
  <c r="I276" i="2"/>
  <c r="I275" i="2"/>
  <c r="C275" i="2"/>
  <c r="I274" i="2"/>
  <c r="I273" i="2"/>
  <c r="K272" i="2"/>
  <c r="I272" i="2"/>
  <c r="C272" i="2"/>
  <c r="I271" i="2"/>
  <c r="I270" i="2"/>
  <c r="K269" i="2"/>
  <c r="I269" i="2"/>
  <c r="C269" i="2"/>
  <c r="I268" i="2"/>
  <c r="I267" i="2"/>
  <c r="K266" i="2"/>
  <c r="I266" i="2"/>
  <c r="C266" i="2"/>
  <c r="I265" i="2"/>
  <c r="I264" i="2"/>
  <c r="K263" i="2"/>
  <c r="I263" i="2"/>
  <c r="J263" i="2" s="1"/>
  <c r="C263" i="2"/>
  <c r="I262" i="2"/>
  <c r="I261" i="2"/>
  <c r="K260" i="2"/>
  <c r="I260" i="2"/>
  <c r="J260" i="2" s="1"/>
  <c r="C260" i="2"/>
  <c r="I259" i="2"/>
  <c r="I258" i="2"/>
  <c r="K257" i="2"/>
  <c r="I257" i="2"/>
  <c r="J257" i="2" s="1"/>
  <c r="C257" i="2"/>
  <c r="I256" i="2"/>
  <c r="I255" i="2"/>
  <c r="K254" i="2"/>
  <c r="I254" i="2"/>
  <c r="J254" i="2" s="1"/>
  <c r="C254" i="2"/>
  <c r="I253" i="2"/>
  <c r="I252" i="2"/>
  <c r="K251" i="2"/>
  <c r="I251" i="2"/>
  <c r="C251" i="2"/>
  <c r="I250" i="2"/>
  <c r="I249" i="2"/>
  <c r="K248" i="2"/>
  <c r="I248" i="2"/>
  <c r="C248" i="2"/>
  <c r="I247" i="2"/>
  <c r="I246" i="2"/>
  <c r="K245" i="2"/>
  <c r="I245" i="2"/>
  <c r="J245" i="2" s="1"/>
  <c r="C245" i="2"/>
  <c r="I244" i="2"/>
  <c r="I243" i="2"/>
  <c r="K242" i="2"/>
  <c r="I242" i="2"/>
  <c r="C242" i="2"/>
  <c r="I241" i="2"/>
  <c r="I240" i="2"/>
  <c r="K239" i="2"/>
  <c r="I239" i="2"/>
  <c r="C239" i="2"/>
  <c r="I238" i="2"/>
  <c r="I237" i="2"/>
  <c r="K236" i="2"/>
  <c r="I236" i="2"/>
  <c r="J236" i="2" s="1"/>
  <c r="C236" i="2"/>
  <c r="I235" i="2"/>
  <c r="I234" i="2"/>
  <c r="I233" i="2"/>
  <c r="J233" i="2" s="1"/>
  <c r="C233" i="2"/>
  <c r="I232" i="2"/>
  <c r="I231" i="2"/>
  <c r="K230" i="2"/>
  <c r="I230" i="2"/>
  <c r="C230" i="2"/>
  <c r="I229" i="2"/>
  <c r="I228" i="2"/>
  <c r="K227" i="2"/>
  <c r="I227" i="2"/>
  <c r="J227" i="2" s="1"/>
  <c r="C227" i="2"/>
  <c r="I226" i="2"/>
  <c r="I225" i="2"/>
  <c r="K224" i="2"/>
  <c r="I224" i="2"/>
  <c r="C224" i="2"/>
  <c r="I223" i="2"/>
  <c r="I222" i="2"/>
  <c r="K221" i="2"/>
  <c r="I221" i="2"/>
  <c r="C221" i="2"/>
  <c r="I220" i="2"/>
  <c r="I219" i="2"/>
  <c r="K218" i="2"/>
  <c r="I218" i="2"/>
  <c r="C218" i="2"/>
  <c r="I217" i="2"/>
  <c r="I216" i="2"/>
  <c r="K215" i="2"/>
  <c r="I215" i="2"/>
  <c r="C215" i="2"/>
  <c r="I214" i="2"/>
  <c r="I213" i="2"/>
  <c r="K212" i="2"/>
  <c r="I212" i="2"/>
  <c r="J212" i="2" s="1"/>
  <c r="C212" i="2"/>
  <c r="I211" i="2"/>
  <c r="I210" i="2"/>
  <c r="K209" i="2"/>
  <c r="I209" i="2"/>
  <c r="J209" i="2" s="1"/>
  <c r="C209" i="2"/>
  <c r="I208" i="2"/>
  <c r="I207" i="2"/>
  <c r="K206" i="2"/>
  <c r="I206" i="2"/>
  <c r="C206" i="2"/>
  <c r="I205" i="2"/>
  <c r="I204" i="2"/>
  <c r="K203" i="2"/>
  <c r="I203" i="2"/>
  <c r="J203" i="2" s="1"/>
  <c r="C203" i="2"/>
  <c r="I202" i="2"/>
  <c r="I201" i="2"/>
  <c r="K200" i="2"/>
  <c r="I200" i="2"/>
  <c r="J200" i="2" s="1"/>
  <c r="C200" i="2"/>
  <c r="I199" i="2"/>
  <c r="I198" i="2"/>
  <c r="K197" i="2"/>
  <c r="I197" i="2"/>
  <c r="J197" i="2" s="1"/>
  <c r="C197" i="2"/>
  <c r="I196" i="2"/>
  <c r="I195" i="2"/>
  <c r="K194" i="2"/>
  <c r="I194" i="2"/>
  <c r="C194" i="2"/>
  <c r="I193" i="2"/>
  <c r="I192" i="2"/>
  <c r="K191" i="2"/>
  <c r="I191" i="2"/>
  <c r="J191" i="2" s="1"/>
  <c r="C191" i="2"/>
  <c r="I190" i="2"/>
  <c r="I189" i="2"/>
  <c r="K188" i="2"/>
  <c r="I188" i="2"/>
  <c r="C188" i="2"/>
  <c r="I187" i="2"/>
  <c r="I186" i="2"/>
  <c r="K185" i="2"/>
  <c r="I185" i="2"/>
  <c r="J185" i="2" s="1"/>
  <c r="C185" i="2"/>
  <c r="I184" i="2"/>
  <c r="I183" i="2"/>
  <c r="K182" i="2"/>
  <c r="I182" i="2"/>
  <c r="J182" i="2" s="1"/>
  <c r="C182" i="2"/>
  <c r="I181" i="2"/>
  <c r="I180" i="2"/>
  <c r="K179" i="2"/>
  <c r="I179" i="2"/>
  <c r="J179" i="2" s="1"/>
  <c r="C179" i="2"/>
  <c r="I178" i="2"/>
  <c r="I177" i="2"/>
  <c r="K176" i="2"/>
  <c r="I176" i="2"/>
  <c r="C176" i="2"/>
  <c r="I175" i="2"/>
  <c r="I174" i="2"/>
  <c r="K173" i="2"/>
  <c r="I173" i="2"/>
  <c r="C173" i="2"/>
  <c r="I172" i="2"/>
  <c r="I171" i="2"/>
  <c r="K170" i="2"/>
  <c r="I170" i="2"/>
  <c r="C170" i="2"/>
  <c r="I169" i="2"/>
  <c r="I168" i="2"/>
  <c r="K167" i="2"/>
  <c r="I167" i="2"/>
  <c r="C167" i="2"/>
  <c r="I166" i="2"/>
  <c r="I165" i="2"/>
  <c r="K164" i="2"/>
  <c r="I164" i="2"/>
  <c r="C164" i="2"/>
  <c r="I163" i="2"/>
  <c r="I162" i="2"/>
  <c r="K161" i="2"/>
  <c r="I161" i="2"/>
  <c r="J161" i="2" s="1"/>
  <c r="L161" i="2" s="1"/>
  <c r="C161" i="2"/>
  <c r="I160" i="2"/>
  <c r="I159" i="2"/>
  <c r="K158" i="2"/>
  <c r="I158" i="2"/>
  <c r="C158" i="2"/>
  <c r="I157" i="2"/>
  <c r="I156" i="2"/>
  <c r="K155" i="2"/>
  <c r="I155" i="2"/>
  <c r="J155" i="2" s="1"/>
  <c r="C155" i="2"/>
  <c r="I154" i="2"/>
  <c r="I153" i="2"/>
  <c r="K152" i="2"/>
  <c r="H152" i="2"/>
  <c r="G152" i="2"/>
  <c r="F152" i="2"/>
  <c r="E152" i="2"/>
  <c r="C152" i="2"/>
  <c r="I151" i="2"/>
  <c r="I150" i="2"/>
  <c r="K149" i="2"/>
  <c r="I149" i="2"/>
  <c r="J149" i="2" s="1"/>
  <c r="L149" i="2" s="1"/>
  <c r="O149" i="2" s="1"/>
  <c r="C149" i="2"/>
  <c r="I148" i="2"/>
  <c r="I147" i="2"/>
  <c r="K146" i="2"/>
  <c r="I146" i="2"/>
  <c r="C146" i="2"/>
  <c r="I145" i="2"/>
  <c r="I144" i="2"/>
  <c r="K143" i="2"/>
  <c r="I143" i="2"/>
  <c r="C143" i="2"/>
  <c r="I142" i="2"/>
  <c r="I141" i="2"/>
  <c r="K140" i="2"/>
  <c r="I140" i="2"/>
  <c r="J140" i="2" s="1"/>
  <c r="C140" i="2"/>
  <c r="I139" i="2"/>
  <c r="I138" i="2"/>
  <c r="K137" i="2"/>
  <c r="I137" i="2"/>
  <c r="C137" i="2"/>
  <c r="I136" i="2"/>
  <c r="I135" i="2"/>
  <c r="K134" i="2"/>
  <c r="H134" i="2"/>
  <c r="G134" i="2"/>
  <c r="C134" i="2"/>
  <c r="I133" i="2"/>
  <c r="I132" i="2"/>
  <c r="K131" i="2"/>
  <c r="I131" i="2"/>
  <c r="I130" i="2"/>
  <c r="I129" i="2"/>
  <c r="K128" i="2"/>
  <c r="I128" i="2"/>
  <c r="I127" i="2"/>
  <c r="I126" i="2"/>
  <c r="I125" i="2"/>
  <c r="I124" i="2"/>
  <c r="I123" i="2"/>
  <c r="I122" i="2"/>
  <c r="J122" i="2" s="1"/>
  <c r="I121" i="2"/>
  <c r="I120" i="2"/>
  <c r="I119" i="2"/>
  <c r="I118" i="2"/>
  <c r="I117" i="2"/>
  <c r="I116" i="2"/>
  <c r="I115" i="2"/>
  <c r="I114" i="2"/>
  <c r="I113" i="2"/>
  <c r="B113" i="2"/>
  <c r="B116" i="2" s="1"/>
  <c r="B119" i="2" s="1"/>
  <c r="B122" i="2" s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B164" i="2" s="1"/>
  <c r="B167" i="2" s="1"/>
  <c r="B170" i="2" s="1"/>
  <c r="B173" i="2" s="1"/>
  <c r="B176" i="2" s="1"/>
  <c r="B179" i="2" s="1"/>
  <c r="B182" i="2" s="1"/>
  <c r="B185" i="2" s="1"/>
  <c r="B188" i="2" s="1"/>
  <c r="B191" i="2" s="1"/>
  <c r="B194" i="2" s="1"/>
  <c r="B197" i="2" s="1"/>
  <c r="B200" i="2" s="1"/>
  <c r="B203" i="2" s="1"/>
  <c r="B206" i="2" s="1"/>
  <c r="B209" i="2" s="1"/>
  <c r="B212" i="2" s="1"/>
  <c r="B215" i="2" s="1"/>
  <c r="B218" i="2" s="1"/>
  <c r="B221" i="2" s="1"/>
  <c r="B224" i="2" s="1"/>
  <c r="B227" i="2" s="1"/>
  <c r="B230" i="2" s="1"/>
  <c r="B233" i="2" s="1"/>
  <c r="B236" i="2" s="1"/>
  <c r="B239" i="2" s="1"/>
  <c r="B242" i="2" s="1"/>
  <c r="B245" i="2" s="1"/>
  <c r="B248" i="2" s="1"/>
  <c r="B251" i="2" s="1"/>
  <c r="B254" i="2" s="1"/>
  <c r="B257" i="2" s="1"/>
  <c r="I112" i="2"/>
  <c r="I111" i="2"/>
  <c r="I110" i="2"/>
  <c r="I109" i="2"/>
  <c r="I108" i="2"/>
  <c r="I107" i="2"/>
  <c r="I106" i="2"/>
  <c r="I105" i="2"/>
  <c r="I104" i="2"/>
  <c r="J104" i="2" s="1"/>
  <c r="L104" i="2" s="1"/>
  <c r="O104" i="2" s="1"/>
  <c r="I103" i="2"/>
  <c r="I102" i="2"/>
  <c r="I101" i="2"/>
  <c r="J101" i="2" s="1"/>
  <c r="L101" i="2" s="1"/>
  <c r="O101" i="2" s="1"/>
  <c r="I100" i="2"/>
  <c r="I99" i="2"/>
  <c r="I98" i="2"/>
  <c r="I97" i="2"/>
  <c r="N95" i="2" s="1"/>
  <c r="I96" i="2"/>
  <c r="I95" i="2"/>
  <c r="I94" i="2"/>
  <c r="I93" i="2"/>
  <c r="I92" i="2"/>
  <c r="J92" i="2" s="1"/>
  <c r="L92" i="2" s="1"/>
  <c r="O92" i="2" s="1"/>
  <c r="I91" i="2"/>
  <c r="I90" i="2"/>
  <c r="I89" i="2"/>
  <c r="I88" i="2"/>
  <c r="I87" i="2"/>
  <c r="I86" i="2"/>
  <c r="I85" i="2"/>
  <c r="I84" i="2"/>
  <c r="I83" i="2"/>
  <c r="J83" i="2" s="1"/>
  <c r="L83" i="2" s="1"/>
  <c r="O83" i="2" s="1"/>
  <c r="I82" i="2"/>
  <c r="I81" i="2"/>
  <c r="I80" i="2"/>
  <c r="J80" i="2" s="1"/>
  <c r="L80" i="2" s="1"/>
  <c r="O80" i="2" s="1"/>
  <c r="I79" i="2"/>
  <c r="I78" i="2"/>
  <c r="I77" i="2"/>
  <c r="J77" i="2" s="1"/>
  <c r="L77" i="2" s="1"/>
  <c r="O77" i="2" s="1"/>
  <c r="I76" i="2"/>
  <c r="I75" i="2"/>
  <c r="I74" i="2"/>
  <c r="J74" i="2" s="1"/>
  <c r="L74" i="2" s="1"/>
  <c r="O74" i="2" s="1"/>
  <c r="I73" i="2"/>
  <c r="N71" i="2" s="1"/>
  <c r="I72" i="2"/>
  <c r="I71" i="2"/>
  <c r="J71" i="2" s="1"/>
  <c r="L71" i="2" s="1"/>
  <c r="O71" i="2" s="1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J50" i="2" s="1"/>
  <c r="L50" i="2" s="1"/>
  <c r="O50" i="2" s="1"/>
  <c r="I49" i="2"/>
  <c r="N47" i="2" s="1"/>
  <c r="I48" i="2"/>
  <c r="I47" i="2"/>
  <c r="J47" i="2" s="1"/>
  <c r="L47" i="2" s="1"/>
  <c r="O47" i="2" s="1"/>
  <c r="I46" i="2"/>
  <c r="I45" i="2"/>
  <c r="I44" i="2"/>
  <c r="I43" i="2"/>
  <c r="I42" i="2"/>
  <c r="I41" i="2"/>
  <c r="J41" i="2" s="1"/>
  <c r="L41" i="2" s="1"/>
  <c r="O41" i="2" s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J26" i="2" s="1"/>
  <c r="L26" i="2" s="1"/>
  <c r="O26" i="2" s="1"/>
  <c r="I25" i="2"/>
  <c r="N23" i="2" s="1"/>
  <c r="I24" i="2"/>
  <c r="I23" i="2"/>
  <c r="I22" i="2"/>
  <c r="I21" i="2"/>
  <c r="I20" i="2"/>
  <c r="J20" i="2" s="1"/>
  <c r="L20" i="2" s="1"/>
  <c r="O20" i="2" s="1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340" i="1"/>
  <c r="I339" i="1"/>
  <c r="I338" i="1"/>
  <c r="J338" i="1" s="1"/>
  <c r="C338" i="1"/>
  <c r="I337" i="1"/>
  <c r="I336" i="1"/>
  <c r="I335" i="1"/>
  <c r="J335" i="1" s="1"/>
  <c r="C335" i="1"/>
  <c r="I334" i="1"/>
  <c r="I333" i="1"/>
  <c r="I332" i="1"/>
  <c r="J332" i="1" s="1"/>
  <c r="C332" i="1"/>
  <c r="I331" i="1"/>
  <c r="I330" i="1"/>
  <c r="I329" i="1"/>
  <c r="C329" i="1"/>
  <c r="I328" i="1"/>
  <c r="I327" i="1"/>
  <c r="I326" i="1"/>
  <c r="C326" i="1"/>
  <c r="I325" i="1"/>
  <c r="I324" i="1"/>
  <c r="I323" i="1"/>
  <c r="C323" i="1"/>
  <c r="I322" i="1"/>
  <c r="I321" i="1"/>
  <c r="I320" i="1"/>
  <c r="C320" i="1"/>
  <c r="I319" i="1"/>
  <c r="I318" i="1"/>
  <c r="I317" i="1"/>
  <c r="C317" i="1"/>
  <c r="I316" i="1"/>
  <c r="I315" i="1"/>
  <c r="K314" i="1"/>
  <c r="I314" i="1"/>
  <c r="J314" i="1" s="1"/>
  <c r="C314" i="1"/>
  <c r="I313" i="1"/>
  <c r="I312" i="1"/>
  <c r="K311" i="1"/>
  <c r="I311" i="1"/>
  <c r="J311" i="1" s="1"/>
  <c r="C311" i="1"/>
  <c r="I310" i="1"/>
  <c r="I309" i="1"/>
  <c r="I308" i="1"/>
  <c r="J308" i="1" s="1"/>
  <c r="C308" i="1"/>
  <c r="I307" i="1"/>
  <c r="I306" i="1"/>
  <c r="K305" i="1"/>
  <c r="I305" i="1"/>
  <c r="J305" i="1" s="1"/>
  <c r="L305" i="1" s="1"/>
  <c r="C305" i="1"/>
  <c r="I304" i="1"/>
  <c r="I303" i="1"/>
  <c r="I302" i="1"/>
  <c r="J302" i="1" s="1"/>
  <c r="C302" i="1"/>
  <c r="I301" i="1"/>
  <c r="I300" i="1"/>
  <c r="K299" i="1"/>
  <c r="I299" i="1"/>
  <c r="J299" i="1" s="1"/>
  <c r="C299" i="1"/>
  <c r="I298" i="1"/>
  <c r="I297" i="1"/>
  <c r="K296" i="1"/>
  <c r="I296" i="1"/>
  <c r="J296" i="1" s="1"/>
  <c r="C296" i="1"/>
  <c r="I295" i="1"/>
  <c r="I294" i="1"/>
  <c r="I293" i="1"/>
  <c r="J293" i="1" s="1"/>
  <c r="C293" i="1"/>
  <c r="I292" i="1"/>
  <c r="I291" i="1"/>
  <c r="I290" i="1"/>
  <c r="J290" i="1" s="1"/>
  <c r="C290" i="1"/>
  <c r="I289" i="1"/>
  <c r="I288" i="1"/>
  <c r="I287" i="1"/>
  <c r="C287" i="1"/>
  <c r="I286" i="1"/>
  <c r="I285" i="1"/>
  <c r="K284" i="1"/>
  <c r="I284" i="1"/>
  <c r="C284" i="1"/>
  <c r="I283" i="1"/>
  <c r="I282" i="1"/>
  <c r="I281" i="1"/>
  <c r="C281" i="1"/>
  <c r="I280" i="1"/>
  <c r="I279" i="1"/>
  <c r="K278" i="1"/>
  <c r="I278" i="1"/>
  <c r="J278" i="1" s="1"/>
  <c r="C278" i="1"/>
  <c r="I277" i="1"/>
  <c r="I276" i="1"/>
  <c r="K275" i="1"/>
  <c r="I275" i="1"/>
  <c r="J275" i="1" s="1"/>
  <c r="C275" i="1"/>
  <c r="I274" i="1"/>
  <c r="I273" i="1"/>
  <c r="K272" i="1"/>
  <c r="I272" i="1"/>
  <c r="C272" i="1"/>
  <c r="I271" i="1"/>
  <c r="I270" i="1"/>
  <c r="K269" i="1"/>
  <c r="I269" i="1"/>
  <c r="C269" i="1"/>
  <c r="I268" i="1"/>
  <c r="I267" i="1"/>
  <c r="K266" i="1"/>
  <c r="I266" i="1"/>
  <c r="J266" i="1" s="1"/>
  <c r="C266" i="1"/>
  <c r="I265" i="1"/>
  <c r="I264" i="1"/>
  <c r="K263" i="1"/>
  <c r="I263" i="1"/>
  <c r="J263" i="1" s="1"/>
  <c r="C263" i="1"/>
  <c r="I262" i="1"/>
  <c r="H261" i="1"/>
  <c r="F261" i="1"/>
  <c r="K260" i="1"/>
  <c r="H260" i="1"/>
  <c r="G260" i="1"/>
  <c r="F260" i="1"/>
  <c r="C260" i="1"/>
  <c r="I259" i="1"/>
  <c r="I258" i="1"/>
  <c r="K257" i="1"/>
  <c r="I257" i="1"/>
  <c r="C257" i="1"/>
  <c r="A257" i="1"/>
  <c r="A260" i="1" s="1"/>
  <c r="A263" i="1" s="1"/>
  <c r="A266" i="1" s="1"/>
  <c r="A269" i="1" s="1"/>
  <c r="A272" i="1" s="1"/>
  <c r="A275" i="1" s="1"/>
  <c r="A278" i="1" s="1"/>
  <c r="A281" i="1" s="1"/>
  <c r="A284" i="1" s="1"/>
  <c r="A287" i="1" s="1"/>
  <c r="A290" i="1" s="1"/>
  <c r="A293" i="1" s="1"/>
  <c r="A296" i="1" s="1"/>
  <c r="A299" i="1" s="1"/>
  <c r="A302" i="1" s="1"/>
  <c r="A305" i="1" s="1"/>
  <c r="A308" i="1" s="1"/>
  <c r="A311" i="1" s="1"/>
  <c r="A314" i="1" s="1"/>
  <c r="A317" i="1" s="1"/>
  <c r="A320" i="1" s="1"/>
  <c r="A323" i="1" s="1"/>
  <c r="A326" i="1" s="1"/>
  <c r="A329" i="1" s="1"/>
  <c r="I256" i="1"/>
  <c r="I255" i="1"/>
  <c r="K254" i="1"/>
  <c r="I254" i="1"/>
  <c r="C254" i="1"/>
  <c r="I253" i="1"/>
  <c r="I252" i="1"/>
  <c r="I251" i="1"/>
  <c r="C251" i="1"/>
  <c r="I250" i="1"/>
  <c r="I249" i="1"/>
  <c r="K248" i="1"/>
  <c r="I248" i="1"/>
  <c r="J248" i="1" s="1"/>
  <c r="C248" i="1"/>
  <c r="I247" i="1"/>
  <c r="I246" i="1"/>
  <c r="K245" i="1"/>
  <c r="I245" i="1"/>
  <c r="C245" i="1"/>
  <c r="I244" i="1"/>
  <c r="I243" i="1"/>
  <c r="K242" i="1"/>
  <c r="I242" i="1"/>
  <c r="J242" i="1" s="1"/>
  <c r="C242" i="1"/>
  <c r="I241" i="1"/>
  <c r="I240" i="1"/>
  <c r="K239" i="1"/>
  <c r="I239" i="1"/>
  <c r="J239" i="1" s="1"/>
  <c r="C239" i="1"/>
  <c r="I238" i="1"/>
  <c r="I237" i="1"/>
  <c r="K236" i="1"/>
  <c r="I236" i="1"/>
  <c r="J236" i="1" s="1"/>
  <c r="C236" i="1"/>
  <c r="I235" i="1"/>
  <c r="I234" i="1"/>
  <c r="K233" i="1"/>
  <c r="I233" i="1"/>
  <c r="J233" i="1" s="1"/>
  <c r="L233" i="1" s="1"/>
  <c r="C233" i="1"/>
  <c r="I232" i="1"/>
  <c r="I231" i="1"/>
  <c r="K230" i="1"/>
  <c r="I230" i="1"/>
  <c r="J230" i="1" s="1"/>
  <c r="C230" i="1"/>
  <c r="I229" i="1"/>
  <c r="I228" i="1"/>
  <c r="K227" i="1"/>
  <c r="I227" i="1"/>
  <c r="J227" i="1" s="1"/>
  <c r="C227" i="1"/>
  <c r="I226" i="1"/>
  <c r="I225" i="1"/>
  <c r="K224" i="1"/>
  <c r="I224" i="1"/>
  <c r="J224" i="1" s="1"/>
  <c r="C224" i="1"/>
  <c r="I223" i="1"/>
  <c r="I222" i="1"/>
  <c r="K221" i="1"/>
  <c r="I221" i="1"/>
  <c r="J221" i="1" s="1"/>
  <c r="C221" i="1"/>
  <c r="I220" i="1"/>
  <c r="I219" i="1"/>
  <c r="K218" i="1"/>
  <c r="I218" i="1"/>
  <c r="C218" i="1"/>
  <c r="I217" i="1"/>
  <c r="I216" i="1"/>
  <c r="K215" i="1"/>
  <c r="I215" i="1"/>
  <c r="J215" i="1" s="1"/>
  <c r="C215" i="1"/>
  <c r="I214" i="1"/>
  <c r="I213" i="1"/>
  <c r="K212" i="1"/>
  <c r="I212" i="1"/>
  <c r="C212" i="1"/>
  <c r="I211" i="1"/>
  <c r="I210" i="1"/>
  <c r="K209" i="1"/>
  <c r="I209" i="1"/>
  <c r="C209" i="1"/>
  <c r="I208" i="1"/>
  <c r="I207" i="1"/>
  <c r="K206" i="1"/>
  <c r="I206" i="1"/>
  <c r="J206" i="1" s="1"/>
  <c r="C206" i="1"/>
  <c r="I205" i="1"/>
  <c r="I204" i="1"/>
  <c r="K203" i="1"/>
  <c r="I203" i="1"/>
  <c r="J203" i="1" s="1"/>
  <c r="C203" i="1"/>
  <c r="I202" i="1"/>
  <c r="I201" i="1"/>
  <c r="K200" i="1"/>
  <c r="I200" i="1"/>
  <c r="J200" i="1" s="1"/>
  <c r="C200" i="1"/>
  <c r="I199" i="1"/>
  <c r="I198" i="1"/>
  <c r="K197" i="1"/>
  <c r="I197" i="1"/>
  <c r="C197" i="1"/>
  <c r="I196" i="1"/>
  <c r="I195" i="1"/>
  <c r="K194" i="1"/>
  <c r="I194" i="1"/>
  <c r="C194" i="1"/>
  <c r="I193" i="1"/>
  <c r="I192" i="1"/>
  <c r="K191" i="1"/>
  <c r="I191" i="1"/>
  <c r="C191" i="1"/>
  <c r="I190" i="1"/>
  <c r="I189" i="1"/>
  <c r="K188" i="1"/>
  <c r="I188" i="1"/>
  <c r="C188" i="1"/>
  <c r="I187" i="1"/>
  <c r="I186" i="1"/>
  <c r="K185" i="1"/>
  <c r="I185" i="1"/>
  <c r="J185" i="1" s="1"/>
  <c r="C185" i="1"/>
  <c r="I184" i="1"/>
  <c r="I183" i="1"/>
  <c r="K182" i="1"/>
  <c r="I182" i="1"/>
  <c r="J182" i="1" s="1"/>
  <c r="C182" i="1"/>
  <c r="I181" i="1"/>
  <c r="I180" i="1"/>
  <c r="K179" i="1"/>
  <c r="I179" i="1"/>
  <c r="J179" i="1" s="1"/>
  <c r="C179" i="1"/>
  <c r="I178" i="1"/>
  <c r="I177" i="1"/>
  <c r="K176" i="1"/>
  <c r="I176" i="1"/>
  <c r="C176" i="1"/>
  <c r="I175" i="1"/>
  <c r="I174" i="1"/>
  <c r="K173" i="1"/>
  <c r="I173" i="1"/>
  <c r="C173" i="1"/>
  <c r="I172" i="1"/>
  <c r="I171" i="1"/>
  <c r="K170" i="1"/>
  <c r="I170" i="1"/>
  <c r="C170" i="1"/>
  <c r="I169" i="1"/>
  <c r="I168" i="1"/>
  <c r="K167" i="1"/>
  <c r="I167" i="1"/>
  <c r="J167" i="1" s="1"/>
  <c r="C167" i="1"/>
  <c r="I166" i="1"/>
  <c r="I165" i="1"/>
  <c r="K164" i="1"/>
  <c r="I164" i="1"/>
  <c r="C164" i="1"/>
  <c r="I163" i="1"/>
  <c r="I162" i="1"/>
  <c r="K161" i="1"/>
  <c r="I161" i="1"/>
  <c r="J161" i="1" s="1"/>
  <c r="C161" i="1"/>
  <c r="I160" i="1"/>
  <c r="I159" i="1"/>
  <c r="K158" i="1"/>
  <c r="I158" i="1"/>
  <c r="J158" i="1" s="1"/>
  <c r="C158" i="1"/>
  <c r="I157" i="1"/>
  <c r="I156" i="1"/>
  <c r="K155" i="1"/>
  <c r="I155" i="1"/>
  <c r="J155" i="1" s="1"/>
  <c r="C155" i="1"/>
  <c r="I154" i="1"/>
  <c r="I153" i="1"/>
  <c r="K152" i="1"/>
  <c r="I152" i="1"/>
  <c r="J152" i="1" s="1"/>
  <c r="C152" i="1"/>
  <c r="I151" i="1"/>
  <c r="I150" i="1"/>
  <c r="K149" i="1"/>
  <c r="I149" i="1"/>
  <c r="C149" i="1"/>
  <c r="I148" i="1"/>
  <c r="I147" i="1"/>
  <c r="K146" i="1"/>
  <c r="I146" i="1"/>
  <c r="J146" i="1" s="1"/>
  <c r="C146" i="1"/>
  <c r="I145" i="1"/>
  <c r="I144" i="1"/>
  <c r="K143" i="1"/>
  <c r="I143" i="1"/>
  <c r="C143" i="1"/>
  <c r="I142" i="1"/>
  <c r="I141" i="1"/>
  <c r="I140" i="1"/>
  <c r="C140" i="1"/>
  <c r="I139" i="1"/>
  <c r="I138" i="1"/>
  <c r="K137" i="1"/>
  <c r="I137" i="1"/>
  <c r="C137" i="1"/>
  <c r="I136" i="1"/>
  <c r="I135" i="1"/>
  <c r="K134" i="1"/>
  <c r="I134" i="1"/>
  <c r="J134" i="1" s="1"/>
  <c r="C134" i="1"/>
  <c r="I133" i="1"/>
  <c r="I132" i="1"/>
  <c r="K131" i="1"/>
  <c r="I131" i="1"/>
  <c r="J131" i="1" s="1"/>
  <c r="C131" i="1"/>
  <c r="I130" i="1"/>
  <c r="I129" i="1"/>
  <c r="I128" i="1"/>
  <c r="I127" i="1"/>
  <c r="I126" i="1"/>
  <c r="I125" i="1"/>
  <c r="I124" i="1"/>
  <c r="I123" i="1"/>
  <c r="I122" i="1"/>
  <c r="J122" i="1" s="1"/>
  <c r="I121" i="1"/>
  <c r="I120" i="1"/>
  <c r="I119" i="1"/>
  <c r="J119" i="1" s="1"/>
  <c r="I118" i="1"/>
  <c r="I117" i="1"/>
  <c r="I116" i="1"/>
  <c r="I115" i="1"/>
  <c r="I114" i="1"/>
  <c r="I113" i="1"/>
  <c r="B113" i="1"/>
  <c r="B116" i="1" s="1"/>
  <c r="B119" i="1" s="1"/>
  <c r="B122" i="1" s="1"/>
  <c r="B125" i="1" s="1"/>
  <c r="B128" i="1" s="1"/>
  <c r="B131" i="1" s="1"/>
  <c r="B134" i="1" s="1"/>
  <c r="B137" i="1" s="1"/>
  <c r="B140" i="1" s="1"/>
  <c r="B143" i="1" s="1"/>
  <c r="B146" i="1" s="1"/>
  <c r="B149" i="1" s="1"/>
  <c r="B152" i="1" s="1"/>
  <c r="B155" i="1" s="1"/>
  <c r="B158" i="1" s="1"/>
  <c r="B161" i="1" s="1"/>
  <c r="B164" i="1" s="1"/>
  <c r="B167" i="1" s="1"/>
  <c r="B170" i="1" s="1"/>
  <c r="B173" i="1" s="1"/>
  <c r="B176" i="1" s="1"/>
  <c r="B179" i="1" s="1"/>
  <c r="B182" i="1" s="1"/>
  <c r="B185" i="1" s="1"/>
  <c r="B188" i="1" s="1"/>
  <c r="B191" i="1" s="1"/>
  <c r="B194" i="1" s="1"/>
  <c r="B197" i="1" s="1"/>
  <c r="B200" i="1" s="1"/>
  <c r="B203" i="1" s="1"/>
  <c r="B206" i="1" s="1"/>
  <c r="B209" i="1" s="1"/>
  <c r="B212" i="1" s="1"/>
  <c r="B215" i="1" s="1"/>
  <c r="B218" i="1" s="1"/>
  <c r="B221" i="1" s="1"/>
  <c r="B224" i="1" s="1"/>
  <c r="B227" i="1" s="1"/>
  <c r="B230" i="1" s="1"/>
  <c r="B233" i="1" s="1"/>
  <c r="B236" i="1" s="1"/>
  <c r="B239" i="1" s="1"/>
  <c r="B242" i="1" s="1"/>
  <c r="B245" i="1" s="1"/>
  <c r="B248" i="1" s="1"/>
  <c r="B251" i="1" s="1"/>
  <c r="B254" i="1" s="1"/>
  <c r="B257" i="1" s="1"/>
  <c r="B260" i="1" s="1"/>
  <c r="B263" i="1" s="1"/>
  <c r="B266" i="1" s="1"/>
  <c r="B269" i="1" s="1"/>
  <c r="B272" i="1" s="1"/>
  <c r="B275" i="1" s="1"/>
  <c r="B278" i="1" s="1"/>
  <c r="B281" i="1" s="1"/>
  <c r="B284" i="1" s="1"/>
  <c r="B287" i="1" s="1"/>
  <c r="B290" i="1" s="1"/>
  <c r="B293" i="1" s="1"/>
  <c r="B296" i="1" s="1"/>
  <c r="B299" i="1" s="1"/>
  <c r="B302" i="1" s="1"/>
  <c r="B305" i="1" s="1"/>
  <c r="B308" i="1" s="1"/>
  <c r="B311" i="1" s="1"/>
  <c r="B314" i="1" s="1"/>
  <c r="B317" i="1" s="1"/>
  <c r="B320" i="1" s="1"/>
  <c r="B323" i="1" s="1"/>
  <c r="B326" i="1" s="1"/>
  <c r="B329" i="1" s="1"/>
  <c r="B332" i="1" s="1"/>
  <c r="B335" i="1" s="1"/>
  <c r="I112" i="1"/>
  <c r="I111" i="1"/>
  <c r="I110" i="1"/>
  <c r="J110" i="1" s="1"/>
  <c r="L110" i="1" s="1"/>
  <c r="O110" i="1" s="1"/>
  <c r="I109" i="1"/>
  <c r="I108" i="1"/>
  <c r="I107" i="1"/>
  <c r="I106" i="1"/>
  <c r="I105" i="1"/>
  <c r="I104" i="1"/>
  <c r="I103" i="1"/>
  <c r="I102" i="1"/>
  <c r="I101" i="1"/>
  <c r="I100" i="1"/>
  <c r="I99" i="1"/>
  <c r="I98" i="1"/>
  <c r="J98" i="1" s="1"/>
  <c r="L98" i="1" s="1"/>
  <c r="O98" i="1" s="1"/>
  <c r="I97" i="1"/>
  <c r="I96" i="1"/>
  <c r="I95" i="1"/>
  <c r="I94" i="1"/>
  <c r="I93" i="1"/>
  <c r="I92" i="1"/>
  <c r="J92" i="1" s="1"/>
  <c r="L92" i="1" s="1"/>
  <c r="O92" i="1" s="1"/>
  <c r="I91" i="1"/>
  <c r="I90" i="1"/>
  <c r="I89" i="1"/>
  <c r="I88" i="1"/>
  <c r="I87" i="1"/>
  <c r="I86" i="1"/>
  <c r="J86" i="1" s="1"/>
  <c r="L86" i="1" s="1"/>
  <c r="O86" i="1" s="1"/>
  <c r="I85" i="1"/>
  <c r="I84" i="1"/>
  <c r="I83" i="1"/>
  <c r="J83" i="1" s="1"/>
  <c r="L83" i="1" s="1"/>
  <c r="O83" i="1" s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J65" i="1" s="1"/>
  <c r="L65" i="1" s="1"/>
  <c r="O65" i="1" s="1"/>
  <c r="I64" i="1"/>
  <c r="I63" i="1"/>
  <c r="I62" i="1"/>
  <c r="I61" i="1"/>
  <c r="I60" i="1"/>
  <c r="I59" i="1"/>
  <c r="I58" i="1"/>
  <c r="I57" i="1"/>
  <c r="I56" i="1"/>
  <c r="J56" i="1" s="1"/>
  <c r="L56" i="1" s="1"/>
  <c r="O56" i="1" s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J41" i="1" s="1"/>
  <c r="L41" i="1" s="1"/>
  <c r="O41" i="1" s="1"/>
  <c r="I40" i="1"/>
  <c r="I39" i="1"/>
  <c r="I38" i="1"/>
  <c r="I37" i="1"/>
  <c r="I36" i="1"/>
  <c r="I35" i="1"/>
  <c r="I34" i="1"/>
  <c r="I33" i="1"/>
  <c r="I32" i="1"/>
  <c r="J32" i="1" s="1"/>
  <c r="L32" i="1" s="1"/>
  <c r="O32" i="1" s="1"/>
  <c r="I31" i="1"/>
  <c r="I30" i="1"/>
  <c r="I29" i="1"/>
  <c r="J29" i="1" s="1"/>
  <c r="L29" i="1" s="1"/>
  <c r="O29" i="1" s="1"/>
  <c r="I28" i="1"/>
  <c r="I27" i="1"/>
  <c r="I26" i="1"/>
  <c r="J26" i="1" s="1"/>
  <c r="L26" i="1" s="1"/>
  <c r="O26" i="1" s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N290" i="3" l="1"/>
  <c r="N356" i="3"/>
  <c r="N347" i="4"/>
  <c r="N167" i="4"/>
  <c r="N197" i="4"/>
  <c r="N221" i="4"/>
  <c r="N248" i="4"/>
  <c r="N266" i="4"/>
  <c r="N272" i="4"/>
  <c r="N296" i="4"/>
  <c r="N320" i="4"/>
  <c r="N11" i="4"/>
  <c r="N35" i="4"/>
  <c r="N59" i="4"/>
  <c r="N83" i="4"/>
  <c r="N107" i="4"/>
  <c r="N122" i="4"/>
  <c r="N344" i="4"/>
  <c r="N140" i="4"/>
  <c r="N146" i="4"/>
  <c r="N152" i="4"/>
  <c r="N158" i="4"/>
  <c r="N188" i="4"/>
  <c r="N212" i="4"/>
  <c r="N236" i="4"/>
  <c r="N260" i="4"/>
  <c r="N287" i="4"/>
  <c r="N311" i="4"/>
  <c r="N335" i="4"/>
  <c r="N281" i="3"/>
  <c r="N305" i="3"/>
  <c r="N329" i="3"/>
  <c r="N257" i="3"/>
  <c r="N194" i="3"/>
  <c r="N56" i="3"/>
  <c r="N11" i="3"/>
  <c r="N35" i="3"/>
  <c r="N227" i="3"/>
  <c r="N314" i="3"/>
  <c r="N20" i="3"/>
  <c r="N92" i="3"/>
  <c r="N161" i="3"/>
  <c r="N203" i="3"/>
  <c r="N338" i="3"/>
  <c r="N74" i="2"/>
  <c r="N98" i="2"/>
  <c r="N113" i="2"/>
  <c r="N215" i="2"/>
  <c r="N20" i="4"/>
  <c r="N44" i="4"/>
  <c r="N68" i="4"/>
  <c r="N92" i="4"/>
  <c r="N173" i="4"/>
  <c r="N179" i="4"/>
  <c r="N203" i="4"/>
  <c r="N227" i="4"/>
  <c r="N278" i="4"/>
  <c r="N302" i="4"/>
  <c r="N326" i="4"/>
  <c r="N14" i="4"/>
  <c r="N38" i="4"/>
  <c r="N62" i="4"/>
  <c r="N86" i="4"/>
  <c r="N110" i="4"/>
  <c r="N125" i="4"/>
  <c r="M272" i="4"/>
  <c r="N5" i="3"/>
  <c r="N29" i="3"/>
  <c r="N53" i="3"/>
  <c r="N77" i="3"/>
  <c r="N101" i="3"/>
  <c r="N116" i="3"/>
  <c r="N14" i="3"/>
  <c r="N38" i="3"/>
  <c r="N62" i="3"/>
  <c r="N86" i="3"/>
  <c r="N125" i="3"/>
  <c r="N134" i="3"/>
  <c r="N173" i="3"/>
  <c r="N215" i="3"/>
  <c r="N296" i="3"/>
  <c r="N320" i="3"/>
  <c r="N344" i="3"/>
  <c r="N23" i="3"/>
  <c r="N47" i="3"/>
  <c r="N71" i="3"/>
  <c r="N95" i="3"/>
  <c r="N110" i="3"/>
  <c r="C503" i="3"/>
  <c r="C491" i="3"/>
  <c r="C479" i="3"/>
  <c r="C467" i="3"/>
  <c r="C455" i="3"/>
  <c r="C443" i="3"/>
  <c r="C506" i="3"/>
  <c r="C494" i="3"/>
  <c r="C482" i="3"/>
  <c r="C470" i="3"/>
  <c r="C458" i="3"/>
  <c r="C446" i="3"/>
  <c r="C497" i="3"/>
  <c r="C485" i="3"/>
  <c r="C473" i="3"/>
  <c r="C461" i="3"/>
  <c r="C449" i="3"/>
  <c r="C500" i="3"/>
  <c r="C488" i="3"/>
  <c r="C476" i="3"/>
  <c r="C464" i="3"/>
  <c r="C452" i="3"/>
  <c r="N158" i="3"/>
  <c r="N200" i="3"/>
  <c r="N254" i="3"/>
  <c r="N287" i="3"/>
  <c r="N311" i="3"/>
  <c r="N335" i="3"/>
  <c r="N140" i="3"/>
  <c r="N179" i="3"/>
  <c r="N191" i="3"/>
  <c r="N302" i="3"/>
  <c r="N326" i="3"/>
  <c r="N350" i="3"/>
  <c r="K506" i="3"/>
  <c r="O506" i="3" s="1"/>
  <c r="K494" i="3"/>
  <c r="O494" i="3" s="1"/>
  <c r="K482" i="3"/>
  <c r="O482" i="3" s="1"/>
  <c r="K470" i="3"/>
  <c r="O470" i="3" s="1"/>
  <c r="K458" i="3"/>
  <c r="O458" i="3" s="1"/>
  <c r="K446" i="3"/>
  <c r="O446" i="3" s="1"/>
  <c r="K497" i="3"/>
  <c r="O497" i="3" s="1"/>
  <c r="K485" i="3"/>
  <c r="O485" i="3" s="1"/>
  <c r="K473" i="3"/>
  <c r="O473" i="3" s="1"/>
  <c r="K461" i="3"/>
  <c r="O461" i="3" s="1"/>
  <c r="K449" i="3"/>
  <c r="O449" i="3" s="1"/>
  <c r="K500" i="3"/>
  <c r="O500" i="3" s="1"/>
  <c r="K488" i="3"/>
  <c r="O488" i="3" s="1"/>
  <c r="K476" i="3"/>
  <c r="O476" i="3" s="1"/>
  <c r="K464" i="3"/>
  <c r="O464" i="3" s="1"/>
  <c r="K452" i="3"/>
  <c r="O452" i="3" s="1"/>
  <c r="K503" i="3"/>
  <c r="O503" i="3" s="1"/>
  <c r="K491" i="3"/>
  <c r="O491" i="3" s="1"/>
  <c r="K479" i="3"/>
  <c r="O479" i="3" s="1"/>
  <c r="K467" i="3"/>
  <c r="O467" i="3" s="1"/>
  <c r="K455" i="3"/>
  <c r="O455" i="3" s="1"/>
  <c r="K443" i="3"/>
  <c r="O443" i="3" s="1"/>
  <c r="N164" i="3"/>
  <c r="N170" i="3"/>
  <c r="N206" i="3"/>
  <c r="N212" i="3"/>
  <c r="N293" i="3"/>
  <c r="N317" i="3"/>
  <c r="N341" i="3"/>
  <c r="N26" i="3"/>
  <c r="N50" i="3"/>
  <c r="N74" i="3"/>
  <c r="N98" i="3"/>
  <c r="N113" i="3"/>
  <c r="N197" i="3"/>
  <c r="N251" i="3"/>
  <c r="N284" i="3"/>
  <c r="N308" i="3"/>
  <c r="N332" i="3"/>
  <c r="N8" i="2"/>
  <c r="N32" i="2"/>
  <c r="N299" i="2"/>
  <c r="N164" i="2"/>
  <c r="N188" i="2"/>
  <c r="N251" i="2"/>
  <c r="N290" i="2"/>
  <c r="N320" i="2"/>
  <c r="N335" i="2"/>
  <c r="N128" i="2"/>
  <c r="N179" i="2"/>
  <c r="M158" i="2"/>
  <c r="N239" i="2"/>
  <c r="N263" i="2"/>
  <c r="N320" i="1"/>
  <c r="N326" i="1"/>
  <c r="N332" i="1"/>
  <c r="N338" i="1"/>
  <c r="N26" i="1"/>
  <c r="N287" i="1"/>
  <c r="N134" i="1"/>
  <c r="N245" i="1"/>
  <c r="N272" i="1"/>
  <c r="N314" i="1"/>
  <c r="N50" i="1"/>
  <c r="N113" i="1"/>
  <c r="N293" i="1"/>
  <c r="N98" i="1"/>
  <c r="N74" i="1"/>
  <c r="M314" i="1"/>
  <c r="N35" i="1"/>
  <c r="N59" i="1"/>
  <c r="N83" i="1"/>
  <c r="N107" i="1"/>
  <c r="N122" i="1"/>
  <c r="N149" i="1"/>
  <c r="N173" i="1"/>
  <c r="N197" i="1"/>
  <c r="N221" i="1"/>
  <c r="N11" i="1"/>
  <c r="N212" i="1"/>
  <c r="K482" i="4"/>
  <c r="O482" i="4" s="1"/>
  <c r="K458" i="4"/>
  <c r="O458" i="4" s="1"/>
  <c r="K455" i="4"/>
  <c r="O455" i="4" s="1"/>
  <c r="K491" i="4"/>
  <c r="O491" i="4" s="1"/>
  <c r="K467" i="4"/>
  <c r="O467" i="4" s="1"/>
  <c r="K443" i="4"/>
  <c r="O443" i="4" s="1"/>
  <c r="K500" i="4"/>
  <c r="O500" i="4" s="1"/>
  <c r="K476" i="4"/>
  <c r="O476" i="4" s="1"/>
  <c r="K452" i="4"/>
  <c r="O452" i="4" s="1"/>
  <c r="K485" i="4"/>
  <c r="O485" i="4" s="1"/>
  <c r="K461" i="4"/>
  <c r="O461" i="4" s="1"/>
  <c r="K494" i="4"/>
  <c r="O494" i="4" s="1"/>
  <c r="K470" i="4"/>
  <c r="O470" i="4" s="1"/>
  <c r="K446" i="4"/>
  <c r="O446" i="4" s="1"/>
  <c r="K437" i="4"/>
  <c r="O437" i="4" s="1"/>
  <c r="K479" i="4"/>
  <c r="O479" i="4" s="1"/>
  <c r="K488" i="4"/>
  <c r="O488" i="4" s="1"/>
  <c r="K464" i="4"/>
  <c r="O464" i="4" s="1"/>
  <c r="K440" i="4"/>
  <c r="O440" i="4" s="1"/>
  <c r="K497" i="4"/>
  <c r="O497" i="4" s="1"/>
  <c r="K473" i="4"/>
  <c r="O473" i="4" s="1"/>
  <c r="K449" i="4"/>
  <c r="O449" i="4" s="1"/>
  <c r="N284" i="4"/>
  <c r="N308" i="4"/>
  <c r="N332" i="4"/>
  <c r="N5" i="4"/>
  <c r="N116" i="4"/>
  <c r="N131" i="4"/>
  <c r="N164" i="4"/>
  <c r="N194" i="4"/>
  <c r="N218" i="4"/>
  <c r="N245" i="4"/>
  <c r="N293" i="4"/>
  <c r="N317" i="4"/>
  <c r="N341" i="4"/>
  <c r="N23" i="4"/>
  <c r="N47" i="4"/>
  <c r="N71" i="4"/>
  <c r="N95" i="4"/>
  <c r="N185" i="4"/>
  <c r="N209" i="4"/>
  <c r="N233" i="4"/>
  <c r="N101" i="4"/>
  <c r="N8" i="4"/>
  <c r="N32" i="4"/>
  <c r="N56" i="4"/>
  <c r="N80" i="4"/>
  <c r="N104" i="4"/>
  <c r="N119" i="4"/>
  <c r="N137" i="4"/>
  <c r="N143" i="4"/>
  <c r="N149" i="4"/>
  <c r="N155" i="4"/>
  <c r="N170" i="4"/>
  <c r="N200" i="4"/>
  <c r="N224" i="4"/>
  <c r="N251" i="4"/>
  <c r="N275" i="4"/>
  <c r="N299" i="4"/>
  <c r="N323" i="4"/>
  <c r="N29" i="4"/>
  <c r="N17" i="4"/>
  <c r="N41" i="4"/>
  <c r="N65" i="4"/>
  <c r="N89" i="4"/>
  <c r="N161" i="4"/>
  <c r="N191" i="4"/>
  <c r="N215" i="4"/>
  <c r="N242" i="4"/>
  <c r="N290" i="4"/>
  <c r="N314" i="4"/>
  <c r="N338" i="4"/>
  <c r="N53" i="4"/>
  <c r="N77" i="4"/>
  <c r="N26" i="4"/>
  <c r="N50" i="4"/>
  <c r="N74" i="4"/>
  <c r="N98" i="4"/>
  <c r="N113" i="4"/>
  <c r="N128" i="4"/>
  <c r="N182" i="4"/>
  <c r="N206" i="4"/>
  <c r="N230" i="4"/>
  <c r="N281" i="4"/>
  <c r="N305" i="4"/>
  <c r="N329" i="4"/>
  <c r="N350" i="4"/>
  <c r="N50" i="2"/>
  <c r="N203" i="2"/>
  <c r="N26" i="2"/>
  <c r="M83" i="2"/>
  <c r="N155" i="2"/>
  <c r="N227" i="2"/>
  <c r="N83" i="2"/>
  <c r="N122" i="2"/>
  <c r="N302" i="2"/>
  <c r="C494" i="2"/>
  <c r="C470" i="2"/>
  <c r="C446" i="2"/>
  <c r="C467" i="2"/>
  <c r="C476" i="2"/>
  <c r="C485" i="2"/>
  <c r="C461" i="2"/>
  <c r="C479" i="2"/>
  <c r="C455" i="2"/>
  <c r="C488" i="2"/>
  <c r="C464" i="2"/>
  <c r="C440" i="2"/>
  <c r="C452" i="2"/>
  <c r="C437" i="2"/>
  <c r="C497" i="2"/>
  <c r="C473" i="2"/>
  <c r="C449" i="2"/>
  <c r="C482" i="2"/>
  <c r="C458" i="2"/>
  <c r="C434" i="2"/>
  <c r="C491" i="2"/>
  <c r="C443" i="2"/>
  <c r="N245" i="2"/>
  <c r="K488" i="2"/>
  <c r="O488" i="2" s="1"/>
  <c r="K464" i="2"/>
  <c r="O464" i="2" s="1"/>
  <c r="K440" i="2"/>
  <c r="O440" i="2" s="1"/>
  <c r="K437" i="2"/>
  <c r="O437" i="2" s="1"/>
  <c r="K497" i="2"/>
  <c r="O497" i="2" s="1"/>
  <c r="K473" i="2"/>
  <c r="O473" i="2" s="1"/>
  <c r="K449" i="2"/>
  <c r="O449" i="2" s="1"/>
  <c r="K446" i="2"/>
  <c r="O446" i="2" s="1"/>
  <c r="K479" i="2"/>
  <c r="O479" i="2" s="1"/>
  <c r="K482" i="2"/>
  <c r="O482" i="2" s="1"/>
  <c r="K458" i="2"/>
  <c r="O458" i="2" s="1"/>
  <c r="K434" i="2"/>
  <c r="O434" i="2" s="1"/>
  <c r="K461" i="2"/>
  <c r="O461" i="2" s="1"/>
  <c r="K491" i="2"/>
  <c r="O491" i="2" s="1"/>
  <c r="K467" i="2"/>
  <c r="O467" i="2" s="1"/>
  <c r="K443" i="2"/>
  <c r="O443" i="2" s="1"/>
  <c r="K476" i="2"/>
  <c r="O476" i="2" s="1"/>
  <c r="K452" i="2"/>
  <c r="O452" i="2" s="1"/>
  <c r="K485" i="2"/>
  <c r="O485" i="2" s="1"/>
  <c r="O494" i="2"/>
  <c r="K470" i="2"/>
  <c r="O470" i="2" s="1"/>
  <c r="K455" i="2"/>
  <c r="O455" i="2" s="1"/>
  <c r="N197" i="2"/>
  <c r="N107" i="2"/>
  <c r="N161" i="2"/>
  <c r="N185" i="2"/>
  <c r="N209" i="2"/>
  <c r="N233" i="2"/>
  <c r="N257" i="2"/>
  <c r="N296" i="2"/>
  <c r="N326" i="2"/>
  <c r="N29" i="2"/>
  <c r="N278" i="2"/>
  <c r="N308" i="2"/>
  <c r="B260" i="2"/>
  <c r="B263" i="2" s="1"/>
  <c r="B266" i="2" s="1"/>
  <c r="B269" i="2" s="1"/>
  <c r="B272" i="2" s="1"/>
  <c r="B275" i="2" s="1"/>
  <c r="B278" i="2" s="1"/>
  <c r="B281" i="2" s="1"/>
  <c r="B284" i="2" s="1"/>
  <c r="B287" i="2" s="1"/>
  <c r="B290" i="2" s="1"/>
  <c r="B293" i="2" s="1"/>
  <c r="B296" i="2" s="1"/>
  <c r="B299" i="2" s="1"/>
  <c r="B302" i="2" s="1"/>
  <c r="B305" i="2" s="1"/>
  <c r="B308" i="2" s="1"/>
  <c r="B311" i="2" s="1"/>
  <c r="B314" i="2" s="1"/>
  <c r="B317" i="2" s="1"/>
  <c r="B320" i="2" s="1"/>
  <c r="B323" i="2" s="1"/>
  <c r="B326" i="2" s="1"/>
  <c r="B329" i="2" s="1"/>
  <c r="B332" i="2" s="1"/>
  <c r="B335" i="2" s="1"/>
  <c r="B338" i="2" s="1"/>
  <c r="B341" i="2" s="1"/>
  <c r="B344" i="2" s="1"/>
  <c r="B347" i="2" s="1"/>
  <c r="B350" i="2" s="1"/>
  <c r="B353" i="2" s="1"/>
  <c r="B356" i="2" s="1"/>
  <c r="B359" i="2" s="1"/>
  <c r="B362" i="2" s="1"/>
  <c r="B365" i="2" s="1"/>
  <c r="B368" i="2" s="1"/>
  <c r="B371" i="2" s="1"/>
  <c r="B374" i="2" s="1"/>
  <c r="B377" i="2" s="1"/>
  <c r="B380" i="2" s="1"/>
  <c r="B383" i="2" s="1"/>
  <c r="B386" i="2" s="1"/>
  <c r="B389" i="2" s="1"/>
  <c r="B392" i="2" s="1"/>
  <c r="B395" i="2" s="1"/>
  <c r="B398" i="2" s="1"/>
  <c r="B401" i="2" s="1"/>
  <c r="B404" i="2" s="1"/>
  <c r="B407" i="2" s="1"/>
  <c r="B410" i="2" s="1"/>
  <c r="B413" i="2" s="1"/>
  <c r="B416" i="2" s="1"/>
  <c r="B419" i="2" s="1"/>
  <c r="B422" i="2" s="1"/>
  <c r="B425" i="2" s="1"/>
  <c r="B428" i="2" s="1"/>
  <c r="B431" i="2" s="1"/>
  <c r="B434" i="2" s="1"/>
  <c r="B437" i="2" s="1"/>
  <c r="B440" i="2" s="1"/>
  <c r="B443" i="2" s="1"/>
  <c r="B446" i="2" s="1"/>
  <c r="B449" i="2" s="1"/>
  <c r="B452" i="2" s="1"/>
  <c r="B455" i="2" s="1"/>
  <c r="B458" i="2" s="1"/>
  <c r="B461" i="2" s="1"/>
  <c r="B464" i="2" s="1"/>
  <c r="B467" i="2" s="1"/>
  <c r="B470" i="2" s="1"/>
  <c r="B473" i="2" s="1"/>
  <c r="B476" i="2" s="1"/>
  <c r="B479" i="2" s="1"/>
  <c r="B482" i="2" s="1"/>
  <c r="B485" i="2" s="1"/>
  <c r="B488" i="2" s="1"/>
  <c r="B491" i="2" s="1"/>
  <c r="B494" i="2" s="1"/>
  <c r="B497" i="2" s="1"/>
  <c r="N56" i="2"/>
  <c r="N173" i="2"/>
  <c r="N221" i="2"/>
  <c r="N269" i="2"/>
  <c r="N284" i="2"/>
  <c r="N314" i="2"/>
  <c r="N344" i="2"/>
  <c r="N212" i="2"/>
  <c r="N236" i="2"/>
  <c r="N260" i="2"/>
  <c r="N275" i="2"/>
  <c r="N305" i="2"/>
  <c r="N329" i="2"/>
  <c r="N20" i="1"/>
  <c r="M38" i="1"/>
  <c r="N44" i="1"/>
  <c r="M62" i="1"/>
  <c r="N68" i="1"/>
  <c r="N92" i="1"/>
  <c r="N140" i="1"/>
  <c r="N164" i="1"/>
  <c r="N80" i="1"/>
  <c r="C482" i="1"/>
  <c r="C452" i="1"/>
  <c r="C497" i="1"/>
  <c r="C464" i="1"/>
  <c r="C446" i="1"/>
  <c r="C437" i="1"/>
  <c r="C443" i="1"/>
  <c r="C458" i="1"/>
  <c r="C491" i="1"/>
  <c r="C473" i="1"/>
  <c r="C440" i="1"/>
  <c r="C494" i="1"/>
  <c r="C449" i="1"/>
  <c r="C485" i="1"/>
  <c r="C479" i="1"/>
  <c r="C476" i="1"/>
  <c r="C467" i="1"/>
  <c r="C455" i="1"/>
  <c r="C461" i="1"/>
  <c r="C434" i="1"/>
  <c r="C488" i="1"/>
  <c r="C470" i="1"/>
  <c r="N230" i="1"/>
  <c r="N254" i="1"/>
  <c r="N266" i="1"/>
  <c r="N23" i="1"/>
  <c r="N290" i="1"/>
  <c r="N95" i="1"/>
  <c r="N296" i="1"/>
  <c r="N47" i="1"/>
  <c r="N71" i="1"/>
  <c r="N281" i="1"/>
  <c r="N308" i="1"/>
  <c r="N188" i="1"/>
  <c r="N236" i="1"/>
  <c r="N206" i="1"/>
  <c r="M26" i="4"/>
  <c r="M125" i="4"/>
  <c r="M35" i="4"/>
  <c r="M110" i="4"/>
  <c r="M23" i="4"/>
  <c r="M92" i="4"/>
  <c r="L152" i="4"/>
  <c r="O152" i="4" s="1"/>
  <c r="M158" i="4"/>
  <c r="M335" i="4"/>
  <c r="M182" i="4"/>
  <c r="M137" i="4"/>
  <c r="M233" i="4"/>
  <c r="M305" i="4"/>
  <c r="M17" i="4"/>
  <c r="M104" i="4"/>
  <c r="M227" i="4"/>
  <c r="I264" i="4"/>
  <c r="M128" i="4"/>
  <c r="I176" i="4"/>
  <c r="J176" i="4" s="1"/>
  <c r="M326" i="4"/>
  <c r="M50" i="4"/>
  <c r="M101" i="4"/>
  <c r="M191" i="4"/>
  <c r="M197" i="4"/>
  <c r="M275" i="4"/>
  <c r="M299" i="4"/>
  <c r="M8" i="4"/>
  <c r="M11" i="4"/>
  <c r="M38" i="4"/>
  <c r="N5" i="1"/>
  <c r="N29" i="1"/>
  <c r="N53" i="1"/>
  <c r="N77" i="1"/>
  <c r="N101" i="1"/>
  <c r="N116" i="1"/>
  <c r="N155" i="1"/>
  <c r="N179" i="1"/>
  <c r="N203" i="1"/>
  <c r="N227" i="1"/>
  <c r="N251" i="1"/>
  <c r="N263" i="1"/>
  <c r="N299" i="1"/>
  <c r="N347" i="1"/>
  <c r="N341" i="1"/>
  <c r="N14" i="1"/>
  <c r="N38" i="1"/>
  <c r="N62" i="1"/>
  <c r="N86" i="1"/>
  <c r="N110" i="1"/>
  <c r="N125" i="1"/>
  <c r="N131" i="1"/>
  <c r="N146" i="1"/>
  <c r="N170" i="1"/>
  <c r="N194" i="1"/>
  <c r="N218" i="1"/>
  <c r="N242" i="1"/>
  <c r="N278" i="1"/>
  <c r="N305" i="1"/>
  <c r="N161" i="1"/>
  <c r="N185" i="1"/>
  <c r="N209" i="1"/>
  <c r="N233" i="1"/>
  <c r="N269" i="1"/>
  <c r="N284" i="1"/>
  <c r="N311" i="1"/>
  <c r="N8" i="1"/>
  <c r="N32" i="1"/>
  <c r="N56" i="1"/>
  <c r="N104" i="1"/>
  <c r="N119" i="1"/>
  <c r="N137" i="1"/>
  <c r="N152" i="1"/>
  <c r="N176" i="1"/>
  <c r="N200" i="1"/>
  <c r="N224" i="1"/>
  <c r="N248" i="1"/>
  <c r="N257" i="1"/>
  <c r="N317" i="1"/>
  <c r="N323" i="1"/>
  <c r="N329" i="1"/>
  <c r="N335" i="1"/>
  <c r="N17" i="1"/>
  <c r="N41" i="1"/>
  <c r="N65" i="1"/>
  <c r="N89" i="1"/>
  <c r="N128" i="1"/>
  <c r="N143" i="1"/>
  <c r="N167" i="1"/>
  <c r="N191" i="1"/>
  <c r="N215" i="1"/>
  <c r="N239" i="1"/>
  <c r="N275" i="1"/>
  <c r="N302" i="1"/>
  <c r="N344" i="1"/>
  <c r="N158" i="1"/>
  <c r="N182" i="1"/>
  <c r="M332" i="1"/>
  <c r="N11" i="2"/>
  <c r="N35" i="2"/>
  <c r="N59" i="2"/>
  <c r="N143" i="2"/>
  <c r="N170" i="2"/>
  <c r="N194" i="2"/>
  <c r="N218" i="2"/>
  <c r="N242" i="2"/>
  <c r="N266" i="2"/>
  <c r="N281" i="2"/>
  <c r="N311" i="2"/>
  <c r="N92" i="2"/>
  <c r="N44" i="2"/>
  <c r="N5" i="2"/>
  <c r="N53" i="2"/>
  <c r="N77" i="2"/>
  <c r="N101" i="2"/>
  <c r="N116" i="2"/>
  <c r="N149" i="2"/>
  <c r="N176" i="2"/>
  <c r="N200" i="2"/>
  <c r="N224" i="2"/>
  <c r="N248" i="2"/>
  <c r="N272" i="2"/>
  <c r="N287" i="2"/>
  <c r="N317" i="2"/>
  <c r="N14" i="2"/>
  <c r="N38" i="2"/>
  <c r="N62" i="2"/>
  <c r="N86" i="2"/>
  <c r="N110" i="2"/>
  <c r="N125" i="2"/>
  <c r="N131" i="2"/>
  <c r="N140" i="2"/>
  <c r="N167" i="2"/>
  <c r="N191" i="2"/>
  <c r="N332" i="2"/>
  <c r="N158" i="2"/>
  <c r="N182" i="2"/>
  <c r="N206" i="2"/>
  <c r="N230" i="2"/>
  <c r="N254" i="2"/>
  <c r="N293" i="2"/>
  <c r="N323" i="2"/>
  <c r="N338" i="2"/>
  <c r="N347" i="2"/>
  <c r="N20" i="2"/>
  <c r="N80" i="2"/>
  <c r="N104" i="2"/>
  <c r="N119" i="2"/>
  <c r="N146" i="2"/>
  <c r="N68" i="2"/>
  <c r="N17" i="2"/>
  <c r="N41" i="2"/>
  <c r="N65" i="2"/>
  <c r="N89" i="2"/>
  <c r="N137" i="2"/>
  <c r="N341" i="2"/>
  <c r="M116" i="3"/>
  <c r="M314" i="3"/>
  <c r="M110" i="3"/>
  <c r="M164" i="3"/>
  <c r="M89" i="3"/>
  <c r="M302" i="3"/>
  <c r="M179" i="3"/>
  <c r="M326" i="3"/>
  <c r="M113" i="3"/>
  <c r="M227" i="3"/>
  <c r="M323" i="3"/>
  <c r="L311" i="3"/>
  <c r="O311" i="3" s="1"/>
  <c r="M23" i="3"/>
  <c r="M71" i="3"/>
  <c r="M101" i="3"/>
  <c r="J179" i="3"/>
  <c r="L179" i="3" s="1"/>
  <c r="O179" i="3" s="1"/>
  <c r="M191" i="3"/>
  <c r="I266" i="3"/>
  <c r="J266" i="3" s="1"/>
  <c r="L266" i="3" s="1"/>
  <c r="O266" i="3" s="1"/>
  <c r="M200" i="3"/>
  <c r="I230" i="3"/>
  <c r="J230" i="3" s="1"/>
  <c r="M281" i="3"/>
  <c r="M176" i="3"/>
  <c r="M254" i="3"/>
  <c r="I222" i="3"/>
  <c r="M203" i="3"/>
  <c r="M29" i="3"/>
  <c r="M44" i="3"/>
  <c r="M53" i="3"/>
  <c r="M68" i="3"/>
  <c r="M119" i="3"/>
  <c r="I147" i="3"/>
  <c r="L287" i="3"/>
  <c r="O287" i="3" s="1"/>
  <c r="L335" i="3"/>
  <c r="O335" i="3" s="1"/>
  <c r="J176" i="3"/>
  <c r="M77" i="3"/>
  <c r="I185" i="3"/>
  <c r="N185" i="3" s="1"/>
  <c r="J77" i="3"/>
  <c r="L77" i="3" s="1"/>
  <c r="O77" i="3" s="1"/>
  <c r="J116" i="3"/>
  <c r="L116" i="3" s="1"/>
  <c r="O116" i="3" s="1"/>
  <c r="M122" i="3"/>
  <c r="I128" i="3"/>
  <c r="J128" i="3" s="1"/>
  <c r="L128" i="3" s="1"/>
  <c r="O128" i="3" s="1"/>
  <c r="I131" i="3"/>
  <c r="J131" i="3" s="1"/>
  <c r="L131" i="3" s="1"/>
  <c r="O131" i="3" s="1"/>
  <c r="L158" i="3"/>
  <c r="O158" i="3" s="1"/>
  <c r="J191" i="3"/>
  <c r="I210" i="3"/>
  <c r="I237" i="3"/>
  <c r="I278" i="3"/>
  <c r="J278" i="3" s="1"/>
  <c r="M299" i="3"/>
  <c r="M329" i="3"/>
  <c r="M14" i="3"/>
  <c r="I152" i="3"/>
  <c r="J152" i="3" s="1"/>
  <c r="M170" i="3"/>
  <c r="I225" i="3"/>
  <c r="M290" i="3"/>
  <c r="M74" i="3"/>
  <c r="M134" i="3"/>
  <c r="M215" i="3"/>
  <c r="I267" i="3"/>
  <c r="I272" i="3"/>
  <c r="N272" i="3" s="1"/>
  <c r="M38" i="3"/>
  <c r="M50" i="3"/>
  <c r="J74" i="3"/>
  <c r="L74" i="3" s="1"/>
  <c r="O74" i="3" s="1"/>
  <c r="M83" i="3"/>
  <c r="I168" i="3"/>
  <c r="I183" i="3"/>
  <c r="L200" i="3"/>
  <c r="O200" i="3" s="1"/>
  <c r="I240" i="3"/>
  <c r="I242" i="3"/>
  <c r="J242" i="3" s="1"/>
  <c r="L242" i="3" s="1"/>
  <c r="O242" i="3" s="1"/>
  <c r="L257" i="3"/>
  <c r="O257" i="3" s="1"/>
  <c r="I263" i="3"/>
  <c r="J263" i="3" s="1"/>
  <c r="M305" i="3"/>
  <c r="M338" i="3"/>
  <c r="I270" i="3"/>
  <c r="M32" i="3"/>
  <c r="M65" i="3"/>
  <c r="I143" i="3"/>
  <c r="J143" i="3" s="1"/>
  <c r="I153" i="3"/>
  <c r="M161" i="3"/>
  <c r="I245" i="3"/>
  <c r="J245" i="3" s="1"/>
  <c r="L245" i="3" s="1"/>
  <c r="O245" i="3" s="1"/>
  <c r="I261" i="3"/>
  <c r="I276" i="3"/>
  <c r="M287" i="2"/>
  <c r="M269" i="2"/>
  <c r="M71" i="2"/>
  <c r="M164" i="2"/>
  <c r="M44" i="2"/>
  <c r="M53" i="2"/>
  <c r="M131" i="2"/>
  <c r="M167" i="2"/>
  <c r="M23" i="2"/>
  <c r="J158" i="2"/>
  <c r="O293" i="2"/>
  <c r="M50" i="2"/>
  <c r="M113" i="2"/>
  <c r="M215" i="2"/>
  <c r="M14" i="2"/>
  <c r="L155" i="2"/>
  <c r="O155" i="2" s="1"/>
  <c r="M329" i="2"/>
  <c r="M77" i="2"/>
  <c r="M125" i="2"/>
  <c r="M251" i="2"/>
  <c r="M176" i="2"/>
  <c r="M137" i="2"/>
  <c r="M32" i="2"/>
  <c r="M128" i="2"/>
  <c r="J167" i="2"/>
  <c r="L167" i="2" s="1"/>
  <c r="O167" i="2" s="1"/>
  <c r="J176" i="2"/>
  <c r="M89" i="2"/>
  <c r="M185" i="2"/>
  <c r="M242" i="2"/>
  <c r="M293" i="2"/>
  <c r="J89" i="2"/>
  <c r="L89" i="2" s="1"/>
  <c r="O89" i="2" s="1"/>
  <c r="J125" i="2"/>
  <c r="L125" i="2" s="1"/>
  <c r="O125" i="2" s="1"/>
  <c r="M17" i="2"/>
  <c r="M170" i="2"/>
  <c r="M224" i="2"/>
  <c r="M248" i="2"/>
  <c r="M266" i="2"/>
  <c r="M5" i="2"/>
  <c r="M38" i="2"/>
  <c r="M146" i="2"/>
  <c r="L191" i="2"/>
  <c r="O191" i="2" s="1"/>
  <c r="M239" i="2"/>
  <c r="M197" i="1"/>
  <c r="M5" i="1"/>
  <c r="M227" i="1"/>
  <c r="M59" i="1"/>
  <c r="M107" i="1"/>
  <c r="M281" i="1"/>
  <c r="M296" i="1"/>
  <c r="M329" i="1"/>
  <c r="M224" i="1"/>
  <c r="M179" i="1"/>
  <c r="M203" i="1"/>
  <c r="M293" i="1"/>
  <c r="M209" i="1"/>
  <c r="M326" i="1"/>
  <c r="M257" i="1"/>
  <c r="M194" i="1"/>
  <c r="M32" i="1"/>
  <c r="M176" i="1"/>
  <c r="M119" i="1"/>
  <c r="M128" i="1"/>
  <c r="M20" i="1"/>
  <c r="M200" i="1"/>
  <c r="M269" i="1"/>
  <c r="M134" i="1"/>
  <c r="M71" i="1"/>
  <c r="M95" i="1"/>
  <c r="M212" i="1"/>
  <c r="M254" i="1"/>
  <c r="M23" i="1"/>
  <c r="L134" i="1"/>
  <c r="O134" i="1" s="1"/>
  <c r="L203" i="1"/>
  <c r="O203" i="1" s="1"/>
  <c r="J281" i="1"/>
  <c r="L281" i="1" s="1"/>
  <c r="O281" i="1" s="1"/>
  <c r="O305" i="1"/>
  <c r="M53" i="1"/>
  <c r="M242" i="1"/>
  <c r="J269" i="1"/>
  <c r="M305" i="1"/>
  <c r="M17" i="1"/>
  <c r="J53" i="1"/>
  <c r="L53" i="1" s="1"/>
  <c r="O53" i="1" s="1"/>
  <c r="M302" i="1"/>
  <c r="M47" i="1"/>
  <c r="M140" i="1"/>
  <c r="M173" i="1"/>
  <c r="M221" i="1"/>
  <c r="L230" i="1"/>
  <c r="O230" i="1" s="1"/>
  <c r="L236" i="1"/>
  <c r="O236" i="1" s="1"/>
  <c r="M230" i="1"/>
  <c r="M233" i="1"/>
  <c r="M236" i="1"/>
  <c r="M77" i="1"/>
  <c r="J128" i="1"/>
  <c r="L128" i="1" s="1"/>
  <c r="O128" i="1" s="1"/>
  <c r="M308" i="1"/>
  <c r="J329" i="1"/>
  <c r="M83" i="1"/>
  <c r="M146" i="1"/>
  <c r="M251" i="1"/>
  <c r="A332" i="1"/>
  <c r="A335" i="1" s="1"/>
  <c r="A338" i="1" s="1"/>
  <c r="A341" i="1" s="1"/>
  <c r="A344" i="1" s="1"/>
  <c r="A347" i="1" s="1"/>
  <c r="A350" i="1" s="1"/>
  <c r="A353" i="1" s="1"/>
  <c r="A356" i="1" s="1"/>
  <c r="A359" i="1" s="1"/>
  <c r="A362" i="1" s="1"/>
  <c r="A365" i="1" s="1"/>
  <c r="A368" i="1" s="1"/>
  <c r="A371" i="1" s="1"/>
  <c r="A374" i="1" s="1"/>
  <c r="A377" i="1" s="1"/>
  <c r="A380" i="1" s="1"/>
  <c r="A383" i="1" s="1"/>
  <c r="A386" i="1" s="1"/>
  <c r="A389" i="1" s="1"/>
  <c r="A392" i="1" s="1"/>
  <c r="A395" i="1" s="1"/>
  <c r="A398" i="1" s="1"/>
  <c r="A401" i="1" s="1"/>
  <c r="A404" i="1" s="1"/>
  <c r="A407" i="1" s="1"/>
  <c r="A410" i="1" s="1"/>
  <c r="A413" i="1" s="1"/>
  <c r="A416" i="1" s="1"/>
  <c r="A419" i="1" s="1"/>
  <c r="A422" i="1" s="1"/>
  <c r="A425" i="1" s="1"/>
  <c r="A428" i="1" s="1"/>
  <c r="A431" i="1" s="1"/>
  <c r="A434" i="1" s="1"/>
  <c r="A437" i="1" s="1"/>
  <c r="A440" i="1" s="1"/>
  <c r="A443" i="1" s="1"/>
  <c r="A446" i="1" s="1"/>
  <c r="A449" i="1" s="1"/>
  <c r="A452" i="1" s="1"/>
  <c r="A455" i="1" s="1"/>
  <c r="A458" i="1" s="1"/>
  <c r="A461" i="1" s="1"/>
  <c r="A464" i="1" s="1"/>
  <c r="A467" i="1" s="1"/>
  <c r="A470" i="1" s="1"/>
  <c r="A473" i="1" s="1"/>
  <c r="A476" i="1" s="1"/>
  <c r="A479" i="1" s="1"/>
  <c r="A482" i="1" s="1"/>
  <c r="A485" i="1" s="1"/>
  <c r="A488" i="1" s="1"/>
  <c r="A491" i="1" s="1"/>
  <c r="A494" i="1" s="1"/>
  <c r="A497" i="1" s="1"/>
  <c r="L167" i="1"/>
  <c r="O167" i="1" s="1"/>
  <c r="L221" i="1"/>
  <c r="O221" i="1" s="1"/>
  <c r="L248" i="1"/>
  <c r="O248" i="1" s="1"/>
  <c r="L266" i="1"/>
  <c r="O266" i="1" s="1"/>
  <c r="L146" i="1"/>
  <c r="O146" i="1" s="1"/>
  <c r="L290" i="1"/>
  <c r="O290" i="1" s="1"/>
  <c r="L224" i="1"/>
  <c r="O224" i="1" s="1"/>
  <c r="M14" i="1"/>
  <c r="M26" i="1"/>
  <c r="J62" i="1"/>
  <c r="L62" i="1" s="1"/>
  <c r="O62" i="1" s="1"/>
  <c r="M116" i="1"/>
  <c r="M122" i="1"/>
  <c r="M131" i="1"/>
  <c r="L155" i="1"/>
  <c r="O155" i="1" s="1"/>
  <c r="M161" i="1"/>
  <c r="J173" i="1"/>
  <c r="J176" i="1"/>
  <c r="J194" i="1"/>
  <c r="M245" i="1"/>
  <c r="J251" i="1"/>
  <c r="L251" i="1" s="1"/>
  <c r="O251" i="1" s="1"/>
  <c r="I261" i="1"/>
  <c r="M278" i="1"/>
  <c r="M290" i="1"/>
  <c r="L299" i="1"/>
  <c r="O299" i="1" s="1"/>
  <c r="M311" i="1"/>
  <c r="J326" i="1"/>
  <c r="M86" i="1"/>
  <c r="M98" i="1"/>
  <c r="M110" i="1"/>
  <c r="M155" i="1"/>
  <c r="L182" i="1"/>
  <c r="O182" i="1" s="1"/>
  <c r="L215" i="1"/>
  <c r="O215" i="1" s="1"/>
  <c r="M248" i="1"/>
  <c r="M266" i="1"/>
  <c r="M275" i="1"/>
  <c r="M287" i="1"/>
  <c r="J23" i="1"/>
  <c r="L23" i="1" s="1"/>
  <c r="O23" i="1" s="1"/>
  <c r="M35" i="1"/>
  <c r="M44" i="1"/>
  <c r="M50" i="1"/>
  <c r="J59" i="1"/>
  <c r="L59" i="1" s="1"/>
  <c r="O59" i="1" s="1"/>
  <c r="J95" i="1"/>
  <c r="L95" i="1" s="1"/>
  <c r="O95" i="1" s="1"/>
  <c r="J107" i="1"/>
  <c r="L107" i="1" s="1"/>
  <c r="O107" i="1" s="1"/>
  <c r="M170" i="1"/>
  <c r="M182" i="1"/>
  <c r="M191" i="1"/>
  <c r="J209" i="1"/>
  <c r="L209" i="1" s="1"/>
  <c r="O209" i="1" s="1"/>
  <c r="M263" i="1"/>
  <c r="B338" i="1"/>
  <c r="B341" i="1" s="1"/>
  <c r="B344" i="1" s="1"/>
  <c r="B347" i="1" s="1"/>
  <c r="B350" i="1" s="1"/>
  <c r="B353" i="1" s="1"/>
  <c r="B356" i="1" s="1"/>
  <c r="B359" i="1" s="1"/>
  <c r="M8" i="1"/>
  <c r="J35" i="1"/>
  <c r="L35" i="1" s="1"/>
  <c r="O35" i="1" s="1"/>
  <c r="M68" i="1"/>
  <c r="M74" i="1"/>
  <c r="M80" i="1"/>
  <c r="M89" i="1"/>
  <c r="M101" i="1"/>
  <c r="M125" i="1"/>
  <c r="M149" i="1"/>
  <c r="M152" i="1"/>
  <c r="M239" i="1"/>
  <c r="M299" i="1"/>
  <c r="M317" i="1"/>
  <c r="M323" i="1"/>
  <c r="M113" i="1"/>
  <c r="M137" i="1"/>
  <c r="O233" i="1"/>
  <c r="M272" i="1"/>
  <c r="M284" i="1"/>
  <c r="M56" i="1"/>
  <c r="M143" i="1"/>
  <c r="M164" i="1"/>
  <c r="M188" i="1"/>
  <c r="M218" i="1"/>
  <c r="M11" i="1"/>
  <c r="M29" i="1"/>
  <c r="M104" i="1"/>
  <c r="J254" i="1"/>
  <c r="L254" i="1" s="1"/>
  <c r="O254" i="1" s="1"/>
  <c r="J257" i="1"/>
  <c r="M323" i="4"/>
  <c r="M119" i="4"/>
  <c r="J272" i="4"/>
  <c r="L272" i="4" s="1"/>
  <c r="O272" i="4" s="1"/>
  <c r="M5" i="4"/>
  <c r="J8" i="4"/>
  <c r="L8" i="4" s="1"/>
  <c r="O8" i="4" s="1"/>
  <c r="P8" i="4" s="1"/>
  <c r="J11" i="4"/>
  <c r="L11" i="4" s="1"/>
  <c r="O11" i="4" s="1"/>
  <c r="M47" i="4"/>
  <c r="M56" i="4"/>
  <c r="M350" i="4"/>
  <c r="J38" i="4"/>
  <c r="L38" i="4" s="1"/>
  <c r="O38" i="4" s="1"/>
  <c r="M185" i="4"/>
  <c r="M29" i="4"/>
  <c r="M113" i="4"/>
  <c r="M161" i="4"/>
  <c r="I254" i="4"/>
  <c r="J254" i="4" s="1"/>
  <c r="L293" i="4"/>
  <c r="O293" i="4" s="1"/>
  <c r="M131" i="4"/>
  <c r="M155" i="4"/>
  <c r="M179" i="4"/>
  <c r="M260" i="4"/>
  <c r="M77" i="4"/>
  <c r="M287" i="4"/>
  <c r="M146" i="4"/>
  <c r="M53" i="4"/>
  <c r="M89" i="4"/>
  <c r="M98" i="4"/>
  <c r="M107" i="4"/>
  <c r="J146" i="4"/>
  <c r="I177" i="4"/>
  <c r="M203" i="4"/>
  <c r="M209" i="4"/>
  <c r="I258" i="4"/>
  <c r="J53" i="4"/>
  <c r="L53" i="4" s="1"/>
  <c r="O53" i="4" s="1"/>
  <c r="M164" i="4"/>
  <c r="J203" i="4"/>
  <c r="J209" i="4"/>
  <c r="M245" i="4"/>
  <c r="L185" i="2"/>
  <c r="O185" i="2" s="1"/>
  <c r="L227" i="2"/>
  <c r="O227" i="2" s="1"/>
  <c r="L197" i="2"/>
  <c r="O197" i="2" s="1"/>
  <c r="L140" i="2"/>
  <c r="O140" i="2" s="1"/>
  <c r="L257" i="2"/>
  <c r="O257" i="2" s="1"/>
  <c r="L203" i="2"/>
  <c r="O203" i="2" s="1"/>
  <c r="M26" i="2"/>
  <c r="M47" i="2"/>
  <c r="L182" i="2"/>
  <c r="O182" i="2" s="1"/>
  <c r="M260" i="2"/>
  <c r="M299" i="2"/>
  <c r="L260" i="2"/>
  <c r="O260" i="2" s="1"/>
  <c r="M80" i="2"/>
  <c r="M140" i="2"/>
  <c r="M233" i="2"/>
  <c r="M41" i="2"/>
  <c r="J251" i="2"/>
  <c r="L251" i="2" s="1"/>
  <c r="O251" i="2" s="1"/>
  <c r="J146" i="2"/>
  <c r="M209" i="2"/>
  <c r="M227" i="2"/>
  <c r="M326" i="2"/>
  <c r="J23" i="2"/>
  <c r="L23" i="2" s="1"/>
  <c r="O23" i="2" s="1"/>
  <c r="J44" i="2"/>
  <c r="L44" i="2" s="1"/>
  <c r="O44" i="2" s="1"/>
  <c r="J53" i="2"/>
  <c r="L53" i="2" s="1"/>
  <c r="O53" i="2" s="1"/>
  <c r="J131" i="2"/>
  <c r="M203" i="2"/>
  <c r="J269" i="2"/>
  <c r="M290" i="2"/>
  <c r="M20" i="2"/>
  <c r="I134" i="2"/>
  <c r="M134" i="2" s="1"/>
  <c r="M29" i="2"/>
  <c r="M155" i="2"/>
  <c r="J224" i="2"/>
  <c r="L224" i="2" s="1"/>
  <c r="O224" i="2" s="1"/>
  <c r="M314" i="2"/>
  <c r="J29" i="2"/>
  <c r="L29" i="2" s="1"/>
  <c r="O29" i="2" s="1"/>
  <c r="M101" i="2"/>
  <c r="M257" i="2"/>
  <c r="L296" i="2"/>
  <c r="O296" i="2" s="1"/>
  <c r="M62" i="2"/>
  <c r="M161" i="2"/>
  <c r="M236" i="2"/>
  <c r="M263" i="2"/>
  <c r="M323" i="2"/>
  <c r="M200" i="2"/>
  <c r="M212" i="2"/>
  <c r="M254" i="2"/>
  <c r="M296" i="2"/>
  <c r="M302" i="2"/>
  <c r="M311" i="2"/>
  <c r="J323" i="2"/>
  <c r="J311" i="2"/>
  <c r="L311" i="2" s="1"/>
  <c r="O311" i="2" s="1"/>
  <c r="M317" i="2"/>
  <c r="M116" i="4"/>
  <c r="M122" i="4"/>
  <c r="M83" i="4"/>
  <c r="J116" i="4"/>
  <c r="L116" i="4" s="1"/>
  <c r="O116" i="4" s="1"/>
  <c r="J122" i="4"/>
  <c r="L179" i="4"/>
  <c r="O179" i="4" s="1"/>
  <c r="J197" i="4"/>
  <c r="L197" i="4" s="1"/>
  <c r="O197" i="4" s="1"/>
  <c r="M224" i="4"/>
  <c r="I255" i="4"/>
  <c r="L266" i="4"/>
  <c r="O266" i="4" s="1"/>
  <c r="J275" i="4"/>
  <c r="L275" i="4" s="1"/>
  <c r="O275" i="4" s="1"/>
  <c r="M314" i="4"/>
  <c r="M188" i="4"/>
  <c r="I239" i="4"/>
  <c r="N239" i="4" s="1"/>
  <c r="L290" i="4"/>
  <c r="O290" i="4" s="1"/>
  <c r="M14" i="4"/>
  <c r="J17" i="4"/>
  <c r="L17" i="4" s="1"/>
  <c r="O17" i="4" s="1"/>
  <c r="M32" i="4"/>
  <c r="M44" i="4"/>
  <c r="M59" i="4"/>
  <c r="M74" i="4"/>
  <c r="M173" i="4"/>
  <c r="M251" i="4"/>
  <c r="A287" i="4"/>
  <c r="A290" i="4" s="1"/>
  <c r="A293" i="4" s="1"/>
  <c r="A296" i="4" s="1"/>
  <c r="A299" i="4" s="1"/>
  <c r="A302" i="4" s="1"/>
  <c r="A305" i="4" s="1"/>
  <c r="A308" i="4" s="1"/>
  <c r="A311" i="4" s="1"/>
  <c r="A314" i="4" s="1"/>
  <c r="A317" i="4" s="1"/>
  <c r="A320" i="4" s="1"/>
  <c r="A323" i="4" s="1"/>
  <c r="A326" i="4" s="1"/>
  <c r="A329" i="4" s="1"/>
  <c r="A332" i="4" s="1"/>
  <c r="A335" i="4" s="1"/>
  <c r="A338" i="4" s="1"/>
  <c r="A341" i="4" s="1"/>
  <c r="A344" i="4" s="1"/>
  <c r="A347" i="4" s="1"/>
  <c r="A350" i="4" s="1"/>
  <c r="A353" i="4" s="1"/>
  <c r="A356" i="4" s="1"/>
  <c r="A359" i="4" s="1"/>
  <c r="A362" i="4" s="1"/>
  <c r="A365" i="4" s="1"/>
  <c r="A368" i="4" s="1"/>
  <c r="A371" i="4" s="1"/>
  <c r="A374" i="4" s="1"/>
  <c r="A377" i="4" s="1"/>
  <c r="A380" i="4" s="1"/>
  <c r="A383" i="4" s="1"/>
  <c r="A386" i="4" s="1"/>
  <c r="A389" i="4" s="1"/>
  <c r="A392" i="4" s="1"/>
  <c r="A395" i="4" s="1"/>
  <c r="A398" i="4" s="1"/>
  <c r="A401" i="4" s="1"/>
  <c r="A404" i="4" s="1"/>
  <c r="A407" i="4" s="1"/>
  <c r="A410" i="4" s="1"/>
  <c r="A413" i="4" s="1"/>
  <c r="A416" i="4" s="1"/>
  <c r="A419" i="4" s="1"/>
  <c r="A422" i="4" s="1"/>
  <c r="A425" i="4" s="1"/>
  <c r="A428" i="4" s="1"/>
  <c r="A431" i="4" s="1"/>
  <c r="A434" i="4" s="1"/>
  <c r="A437" i="4" s="1"/>
  <c r="A440" i="4" s="1"/>
  <c r="A443" i="4" s="1"/>
  <c r="A446" i="4" s="1"/>
  <c r="A449" i="4" s="1"/>
  <c r="A452" i="4" s="1"/>
  <c r="A455" i="4" s="1"/>
  <c r="A458" i="4" s="1"/>
  <c r="A461" i="4" s="1"/>
  <c r="A464" i="4" s="1"/>
  <c r="A467" i="4" s="1"/>
  <c r="A470" i="4" s="1"/>
  <c r="A473" i="4" s="1"/>
  <c r="A476" i="4" s="1"/>
  <c r="A479" i="4" s="1"/>
  <c r="A482" i="4" s="1"/>
  <c r="A485" i="4" s="1"/>
  <c r="A488" i="4" s="1"/>
  <c r="A491" i="4" s="1"/>
  <c r="A494" i="4" s="1"/>
  <c r="A497" i="4" s="1"/>
  <c r="A500" i="4" s="1"/>
  <c r="M266" i="4"/>
  <c r="M290" i="4"/>
  <c r="M347" i="4"/>
  <c r="J14" i="4"/>
  <c r="L14" i="4" s="1"/>
  <c r="O14" i="4" s="1"/>
  <c r="J59" i="4"/>
  <c r="L59" i="4" s="1"/>
  <c r="O59" i="4" s="1"/>
  <c r="M68" i="4"/>
  <c r="M71" i="4"/>
  <c r="M95" i="4"/>
  <c r="M140" i="4"/>
  <c r="M149" i="4"/>
  <c r="L155" i="4"/>
  <c r="O155" i="4" s="1"/>
  <c r="J173" i="4"/>
  <c r="M218" i="4"/>
  <c r="M248" i="4"/>
  <c r="J251" i="4"/>
  <c r="L251" i="4" s="1"/>
  <c r="O251" i="4" s="1"/>
  <c r="L260" i="4"/>
  <c r="O260" i="4" s="1"/>
  <c r="I270" i="4"/>
  <c r="M293" i="4"/>
  <c r="M302" i="4"/>
  <c r="M311" i="4"/>
  <c r="M320" i="4"/>
  <c r="O212" i="4"/>
  <c r="M215" i="4"/>
  <c r="M230" i="4"/>
  <c r="L233" i="4"/>
  <c r="O233" i="4" s="1"/>
  <c r="I134" i="4"/>
  <c r="J134" i="4" s="1"/>
  <c r="J350" i="4"/>
  <c r="M356" i="3"/>
  <c r="M347" i="2"/>
  <c r="M347" i="1"/>
  <c r="M353" i="3"/>
  <c r="M344" i="2"/>
  <c r="M344" i="1"/>
  <c r="M344" i="4"/>
  <c r="M350" i="3"/>
  <c r="M341" i="2"/>
  <c r="M341" i="1"/>
  <c r="L347" i="3"/>
  <c r="O347" i="3" s="1"/>
  <c r="M347" i="3"/>
  <c r="M338" i="2"/>
  <c r="M338" i="1"/>
  <c r="M338" i="4"/>
  <c r="L299" i="3"/>
  <c r="O299" i="3" s="1"/>
  <c r="L308" i="3"/>
  <c r="O308" i="3" s="1"/>
  <c r="L320" i="3"/>
  <c r="O320" i="3" s="1"/>
  <c r="L341" i="3"/>
  <c r="O341" i="3" s="1"/>
  <c r="L326" i="3"/>
  <c r="O326" i="3" s="1"/>
  <c r="L125" i="3"/>
  <c r="O125" i="3" s="1"/>
  <c r="L284" i="3"/>
  <c r="L296" i="3"/>
  <c r="O296" i="3" s="1"/>
  <c r="L317" i="3"/>
  <c r="O317" i="3" s="1"/>
  <c r="L302" i="3"/>
  <c r="O302" i="3" s="1"/>
  <c r="L323" i="3"/>
  <c r="O323" i="3" s="1"/>
  <c r="L332" i="3"/>
  <c r="O332" i="3" s="1"/>
  <c r="L197" i="3"/>
  <c r="O197" i="3" s="1"/>
  <c r="L254" i="3"/>
  <c r="O254" i="3" s="1"/>
  <c r="L293" i="3"/>
  <c r="O293" i="3" s="1"/>
  <c r="M17" i="3"/>
  <c r="J32" i="3"/>
  <c r="L32" i="3" s="1"/>
  <c r="O32" i="3" s="1"/>
  <c r="M47" i="3"/>
  <c r="J122" i="3"/>
  <c r="J161" i="3"/>
  <c r="J164" i="3"/>
  <c r="L164" i="3" s="1"/>
  <c r="O164" i="3" s="1"/>
  <c r="I218" i="3"/>
  <c r="J218" i="3" s="1"/>
  <c r="I234" i="3"/>
  <c r="M257" i="3"/>
  <c r="M293" i="3"/>
  <c r="M317" i="3"/>
  <c r="M341" i="3"/>
  <c r="M125" i="3"/>
  <c r="I146" i="3"/>
  <c r="J146" i="3" s="1"/>
  <c r="I182" i="3"/>
  <c r="J182" i="3" s="1"/>
  <c r="I239" i="3"/>
  <c r="N239" i="3" s="1"/>
  <c r="I279" i="3"/>
  <c r="L281" i="3"/>
  <c r="O281" i="3" s="1"/>
  <c r="M296" i="3"/>
  <c r="L305" i="3"/>
  <c r="O305" i="3" s="1"/>
  <c r="M320" i="3"/>
  <c r="L329" i="3"/>
  <c r="O329" i="3" s="1"/>
  <c r="I144" i="3"/>
  <c r="J203" i="3"/>
  <c r="L203" i="3" s="1"/>
  <c r="O203" i="3" s="1"/>
  <c r="I221" i="3"/>
  <c r="J221" i="3" s="1"/>
  <c r="I269" i="3"/>
  <c r="J269" i="3" s="1"/>
  <c r="I275" i="3"/>
  <c r="J275" i="3" s="1"/>
  <c r="J53" i="3"/>
  <c r="L53" i="3" s="1"/>
  <c r="O53" i="3" s="1"/>
  <c r="I129" i="3"/>
  <c r="L140" i="3"/>
  <c r="O140" i="3" s="1"/>
  <c r="L170" i="3"/>
  <c r="O170" i="3" s="1"/>
  <c r="M206" i="3"/>
  <c r="L290" i="3"/>
  <c r="O290" i="3" s="1"/>
  <c r="L314" i="3"/>
  <c r="O314" i="3" s="1"/>
  <c r="L338" i="3"/>
  <c r="O338" i="3" s="1"/>
  <c r="M20" i="3"/>
  <c r="M95" i="3"/>
  <c r="J134" i="3"/>
  <c r="L137" i="3"/>
  <c r="O137" i="3" s="1"/>
  <c r="M140" i="3"/>
  <c r="M149" i="3"/>
  <c r="L173" i="3"/>
  <c r="O173" i="3" s="1"/>
  <c r="I186" i="3"/>
  <c r="I224" i="3"/>
  <c r="J224" i="3" s="1"/>
  <c r="I231" i="3"/>
  <c r="I260" i="3"/>
  <c r="N260" i="3" s="1"/>
  <c r="M284" i="3"/>
  <c r="M308" i="3"/>
  <c r="M332" i="3"/>
  <c r="M197" i="3"/>
  <c r="M212" i="3"/>
  <c r="I236" i="3"/>
  <c r="J236" i="3" s="1"/>
  <c r="M287" i="3"/>
  <c r="M311" i="3"/>
  <c r="M335" i="3"/>
  <c r="M344" i="3"/>
  <c r="L344" i="3"/>
  <c r="O344" i="3" s="1"/>
  <c r="M335" i="2"/>
  <c r="J335" i="2"/>
  <c r="L335" i="2" s="1"/>
  <c r="O335" i="2" s="1"/>
  <c r="M335" i="1"/>
  <c r="L347" i="4"/>
  <c r="O347" i="4" s="1"/>
  <c r="L344" i="4"/>
  <c r="O344" i="4" s="1"/>
  <c r="L356" i="3"/>
  <c r="O356" i="3" s="1"/>
  <c r="L353" i="3"/>
  <c r="O353" i="3" s="1"/>
  <c r="L350" i="3"/>
  <c r="O350" i="3" s="1"/>
  <c r="L347" i="2"/>
  <c r="O347" i="2" s="1"/>
  <c r="L344" i="2"/>
  <c r="O344" i="2" s="1"/>
  <c r="L341" i="2"/>
  <c r="O341" i="2" s="1"/>
  <c r="L341" i="1"/>
  <c r="O341" i="1" s="1"/>
  <c r="L344" i="1"/>
  <c r="O344" i="1" s="1"/>
  <c r="B341" i="4"/>
  <c r="B344" i="4" s="1"/>
  <c r="B347" i="4" s="1"/>
  <c r="B350" i="4" s="1"/>
  <c r="B353" i="4" s="1"/>
  <c r="B356" i="4" s="1"/>
  <c r="B359" i="4" s="1"/>
  <c r="B362" i="4" s="1"/>
  <c r="B365" i="4" s="1"/>
  <c r="B368" i="4" s="1"/>
  <c r="B371" i="4" s="1"/>
  <c r="B374" i="4" s="1"/>
  <c r="B377" i="4" s="1"/>
  <c r="B380" i="4" s="1"/>
  <c r="B383" i="4" s="1"/>
  <c r="B386" i="4" s="1"/>
  <c r="B389" i="4" s="1"/>
  <c r="B392" i="4" s="1"/>
  <c r="B395" i="4" s="1"/>
  <c r="B398" i="4" s="1"/>
  <c r="B401" i="4" s="1"/>
  <c r="B404" i="4" s="1"/>
  <c r="B407" i="4" s="1"/>
  <c r="B410" i="4" s="1"/>
  <c r="B413" i="4" s="1"/>
  <c r="B416" i="4" s="1"/>
  <c r="B419" i="4" s="1"/>
  <c r="B422" i="4" s="1"/>
  <c r="B425" i="4" s="1"/>
  <c r="B428" i="4" s="1"/>
  <c r="B431" i="4" s="1"/>
  <c r="B434" i="4" s="1"/>
  <c r="B437" i="4" s="1"/>
  <c r="B440" i="4" s="1"/>
  <c r="B443" i="4" s="1"/>
  <c r="B446" i="4" s="1"/>
  <c r="B449" i="4" s="1"/>
  <c r="B452" i="4" s="1"/>
  <c r="B455" i="4" s="1"/>
  <c r="B458" i="4" s="1"/>
  <c r="B461" i="4" s="1"/>
  <c r="B464" i="4" s="1"/>
  <c r="B467" i="4" s="1"/>
  <c r="B470" i="4" s="1"/>
  <c r="B473" i="4" s="1"/>
  <c r="B476" i="4" s="1"/>
  <c r="B479" i="4" s="1"/>
  <c r="B482" i="4" s="1"/>
  <c r="B485" i="4" s="1"/>
  <c r="B488" i="4" s="1"/>
  <c r="B491" i="4" s="1"/>
  <c r="B494" i="4" s="1"/>
  <c r="B497" i="4" s="1"/>
  <c r="B500" i="4" s="1"/>
  <c r="A347" i="3"/>
  <c r="A350" i="3" s="1"/>
  <c r="A353" i="3" s="1"/>
  <c r="A356" i="3" s="1"/>
  <c r="A359" i="3" s="1"/>
  <c r="A362" i="3" s="1"/>
  <c r="A365" i="3" s="1"/>
  <c r="A368" i="3" s="1"/>
  <c r="A371" i="3" s="1"/>
  <c r="A374" i="3" s="1"/>
  <c r="A377" i="3" s="1"/>
  <c r="A380" i="3" s="1"/>
  <c r="A383" i="3" s="1"/>
  <c r="A386" i="3" s="1"/>
  <c r="A389" i="3" s="1"/>
  <c r="A392" i="3" s="1"/>
  <c r="A395" i="3" s="1"/>
  <c r="A398" i="3" s="1"/>
  <c r="A401" i="3" s="1"/>
  <c r="A404" i="3" s="1"/>
  <c r="A407" i="3" s="1"/>
  <c r="A410" i="3" s="1"/>
  <c r="A413" i="3" s="1"/>
  <c r="A416" i="3" s="1"/>
  <c r="A419" i="3" s="1"/>
  <c r="A422" i="3" s="1"/>
  <c r="A425" i="3" s="1"/>
  <c r="A428" i="3" s="1"/>
  <c r="A431" i="3" s="1"/>
  <c r="A434" i="3" s="1"/>
  <c r="A437" i="3" s="1"/>
  <c r="A440" i="3" s="1"/>
  <c r="A443" i="3" s="1"/>
  <c r="A446" i="3" s="1"/>
  <c r="A449" i="3" s="1"/>
  <c r="A452" i="3" s="1"/>
  <c r="A455" i="3" s="1"/>
  <c r="A458" i="3" s="1"/>
  <c r="A461" i="3" s="1"/>
  <c r="A464" i="3" s="1"/>
  <c r="A467" i="3" s="1"/>
  <c r="A470" i="3" s="1"/>
  <c r="A473" i="3" s="1"/>
  <c r="A476" i="3" s="1"/>
  <c r="A479" i="3" s="1"/>
  <c r="A482" i="3" s="1"/>
  <c r="A485" i="3" s="1"/>
  <c r="A488" i="3" s="1"/>
  <c r="A491" i="3" s="1"/>
  <c r="A494" i="3" s="1"/>
  <c r="A497" i="3" s="1"/>
  <c r="A500" i="3" s="1"/>
  <c r="A503" i="3" s="1"/>
  <c r="A506" i="3" s="1"/>
  <c r="L185" i="1"/>
  <c r="O185" i="1" s="1"/>
  <c r="L119" i="1"/>
  <c r="O119" i="1" s="1"/>
  <c r="L242" i="1"/>
  <c r="O242" i="1" s="1"/>
  <c r="B155" i="3"/>
  <c r="B158" i="3" s="1"/>
  <c r="B161" i="3" s="1"/>
  <c r="B164" i="3" s="1"/>
  <c r="B167" i="3" s="1"/>
  <c r="B170" i="3" s="1"/>
  <c r="B173" i="3" s="1"/>
  <c r="B176" i="3" s="1"/>
  <c r="B179" i="3" s="1"/>
  <c r="B182" i="3" s="1"/>
  <c r="B185" i="3" s="1"/>
  <c r="B188" i="3" s="1"/>
  <c r="B191" i="3" s="1"/>
  <c r="B194" i="3" s="1"/>
  <c r="B197" i="3" s="1"/>
  <c r="B200" i="3" s="1"/>
  <c r="B203" i="3" s="1"/>
  <c r="B206" i="3" s="1"/>
  <c r="B209" i="3" s="1"/>
  <c r="B212" i="3" s="1"/>
  <c r="B215" i="3" s="1"/>
  <c r="B218" i="3" s="1"/>
  <c r="B221" i="3" s="1"/>
  <c r="B224" i="3" s="1"/>
  <c r="B227" i="3" s="1"/>
  <c r="B230" i="3" s="1"/>
  <c r="B233" i="3" s="1"/>
  <c r="B236" i="3" s="1"/>
  <c r="B239" i="3" s="1"/>
  <c r="B242" i="3" s="1"/>
  <c r="B245" i="3" s="1"/>
  <c r="B248" i="3" s="1"/>
  <c r="B251" i="3" s="1"/>
  <c r="B254" i="3" s="1"/>
  <c r="B257" i="3" s="1"/>
  <c r="B260" i="3" s="1"/>
  <c r="B263" i="3" s="1"/>
  <c r="B266" i="3" s="1"/>
  <c r="B269" i="3" s="1"/>
  <c r="B272" i="3" s="1"/>
  <c r="B275" i="3" s="1"/>
  <c r="B278" i="3" s="1"/>
  <c r="B281" i="3" s="1"/>
  <c r="B284" i="3" s="1"/>
  <c r="B287" i="3" s="1"/>
  <c r="B290" i="3" s="1"/>
  <c r="B293" i="3" s="1"/>
  <c r="B296" i="3" s="1"/>
  <c r="B299" i="3" s="1"/>
  <c r="B302" i="3" s="1"/>
  <c r="B305" i="3" s="1"/>
  <c r="B308" i="3" s="1"/>
  <c r="B311" i="3" s="1"/>
  <c r="B314" i="3" s="1"/>
  <c r="B317" i="3" s="1"/>
  <c r="B320" i="3" s="1"/>
  <c r="B323" i="3" s="1"/>
  <c r="B326" i="3" s="1"/>
  <c r="B329" i="3" s="1"/>
  <c r="B332" i="3" s="1"/>
  <c r="B335" i="3" s="1"/>
  <c r="B338" i="3" s="1"/>
  <c r="B152" i="3"/>
  <c r="M221" i="2"/>
  <c r="J221" i="2"/>
  <c r="J38" i="1"/>
  <c r="L38" i="1" s="1"/>
  <c r="O38" i="1" s="1"/>
  <c r="M11" i="2"/>
  <c r="J11" i="2"/>
  <c r="L11" i="2" s="1"/>
  <c r="O11" i="2" s="1"/>
  <c r="J113" i="2"/>
  <c r="L113" i="2" s="1"/>
  <c r="O113" i="2" s="1"/>
  <c r="J44" i="1"/>
  <c r="L44" i="1" s="1"/>
  <c r="O44" i="1" s="1"/>
  <c r="J68" i="1"/>
  <c r="L68" i="1" s="1"/>
  <c r="O68" i="1" s="1"/>
  <c r="J80" i="1"/>
  <c r="L80" i="1" s="1"/>
  <c r="O80" i="1" s="1"/>
  <c r="L131" i="1"/>
  <c r="O131" i="1" s="1"/>
  <c r="L152" i="1"/>
  <c r="O152" i="1" s="1"/>
  <c r="L158" i="1"/>
  <c r="O158" i="1" s="1"/>
  <c r="J164" i="1"/>
  <c r="L179" i="1"/>
  <c r="O179" i="1" s="1"/>
  <c r="L200" i="1"/>
  <c r="O200" i="1" s="1"/>
  <c r="L206" i="1"/>
  <c r="O206" i="1" s="1"/>
  <c r="J212" i="1"/>
  <c r="L227" i="1"/>
  <c r="O227" i="1" s="1"/>
  <c r="I260" i="1"/>
  <c r="N260" i="1" s="1"/>
  <c r="J272" i="1"/>
  <c r="L308" i="1"/>
  <c r="O308" i="1" s="1"/>
  <c r="L332" i="1"/>
  <c r="O332" i="1" s="1"/>
  <c r="M56" i="2"/>
  <c r="M86" i="2"/>
  <c r="J86" i="2"/>
  <c r="L86" i="2" s="1"/>
  <c r="O86" i="2" s="1"/>
  <c r="M119" i="2"/>
  <c r="J119" i="2"/>
  <c r="M173" i="2"/>
  <c r="J173" i="2"/>
  <c r="M194" i="2"/>
  <c r="J194" i="2"/>
  <c r="L200" i="2"/>
  <c r="O200" i="2" s="1"/>
  <c r="O299" i="2"/>
  <c r="J104" i="1"/>
  <c r="L104" i="1" s="1"/>
  <c r="O104" i="1" s="1"/>
  <c r="L122" i="1"/>
  <c r="O122" i="1" s="1"/>
  <c r="J137" i="1"/>
  <c r="J245" i="1"/>
  <c r="J11" i="1"/>
  <c r="L11" i="1" s="1"/>
  <c r="O11" i="1" s="1"/>
  <c r="J5" i="1"/>
  <c r="L5" i="1" s="1"/>
  <c r="O5" i="1" s="1"/>
  <c r="J14" i="1"/>
  <c r="L14" i="1" s="1"/>
  <c r="O14" i="1" s="1"/>
  <c r="M41" i="1"/>
  <c r="M65" i="1"/>
  <c r="J71" i="1"/>
  <c r="L71" i="1" s="1"/>
  <c r="O71" i="1" s="1"/>
  <c r="J89" i="1"/>
  <c r="L89" i="1" s="1"/>
  <c r="O89" i="1" s="1"/>
  <c r="M92" i="1"/>
  <c r="J101" i="1"/>
  <c r="L101" i="1" s="1"/>
  <c r="O101" i="1" s="1"/>
  <c r="J116" i="1"/>
  <c r="J125" i="1"/>
  <c r="J143" i="1"/>
  <c r="J149" i="1"/>
  <c r="M158" i="1"/>
  <c r="J170" i="1"/>
  <c r="M185" i="1"/>
  <c r="J191" i="1"/>
  <c r="J197" i="1"/>
  <c r="M206" i="1"/>
  <c r="J218" i="1"/>
  <c r="L239" i="1"/>
  <c r="O239" i="1" s="1"/>
  <c r="L296" i="1"/>
  <c r="O296" i="1" s="1"/>
  <c r="L335" i="1"/>
  <c r="O335" i="1" s="1"/>
  <c r="J56" i="2"/>
  <c r="L56" i="2" s="1"/>
  <c r="O56" i="2" s="1"/>
  <c r="M98" i="2"/>
  <c r="J98" i="2"/>
  <c r="L98" i="2" s="1"/>
  <c r="O98" i="2" s="1"/>
  <c r="J137" i="2"/>
  <c r="J188" i="2"/>
  <c r="M188" i="2"/>
  <c r="J218" i="2"/>
  <c r="M218" i="2"/>
  <c r="L263" i="2"/>
  <c r="O263" i="2" s="1"/>
  <c r="J284" i="2"/>
  <c r="M284" i="2"/>
  <c r="J206" i="2"/>
  <c r="M206" i="2"/>
  <c r="J278" i="2"/>
  <c r="M278" i="2"/>
  <c r="J8" i="1"/>
  <c r="L8" i="1" s="1"/>
  <c r="O8" i="1" s="1"/>
  <c r="P8" i="1" s="1"/>
  <c r="J17" i="1"/>
  <c r="L17" i="1" s="1"/>
  <c r="O17" i="1" s="1"/>
  <c r="J47" i="1"/>
  <c r="L47" i="1" s="1"/>
  <c r="O47" i="1" s="1"/>
  <c r="J20" i="1"/>
  <c r="L20" i="1" s="1"/>
  <c r="O20" i="1" s="1"/>
  <c r="J50" i="1"/>
  <c r="L50" i="1" s="1"/>
  <c r="O50" i="1" s="1"/>
  <c r="J74" i="1"/>
  <c r="L74" i="1" s="1"/>
  <c r="O74" i="1" s="1"/>
  <c r="J77" i="1"/>
  <c r="L77" i="1" s="1"/>
  <c r="O77" i="1" s="1"/>
  <c r="J113" i="1"/>
  <c r="L113" i="1" s="1"/>
  <c r="O113" i="1" s="1"/>
  <c r="L263" i="1"/>
  <c r="O263" i="1" s="1"/>
  <c r="J284" i="1"/>
  <c r="L311" i="1"/>
  <c r="O311" i="1" s="1"/>
  <c r="M320" i="1"/>
  <c r="J320" i="1"/>
  <c r="L338" i="1"/>
  <c r="O338" i="1" s="1"/>
  <c r="M110" i="2"/>
  <c r="J110" i="2"/>
  <c r="L110" i="2" s="1"/>
  <c r="O110" i="2" s="1"/>
  <c r="J128" i="2"/>
  <c r="J143" i="2"/>
  <c r="M143" i="2"/>
  <c r="J275" i="2"/>
  <c r="M275" i="2"/>
  <c r="L293" i="1"/>
  <c r="O293" i="1" s="1"/>
  <c r="M68" i="2"/>
  <c r="J68" i="2"/>
  <c r="L68" i="2" s="1"/>
  <c r="O68" i="2" s="1"/>
  <c r="L161" i="1"/>
  <c r="O161" i="1" s="1"/>
  <c r="L275" i="1"/>
  <c r="O275" i="1" s="1"/>
  <c r="M65" i="2"/>
  <c r="J65" i="2"/>
  <c r="L65" i="2" s="1"/>
  <c r="O65" i="2" s="1"/>
  <c r="J230" i="2"/>
  <c r="M230" i="2"/>
  <c r="M8" i="2"/>
  <c r="J8" i="2"/>
  <c r="L8" i="2" s="1"/>
  <c r="O8" i="2" s="1"/>
  <c r="P8" i="2" s="1"/>
  <c r="M59" i="2"/>
  <c r="J59" i="2"/>
  <c r="L59" i="2" s="1"/>
  <c r="O59" i="2" s="1"/>
  <c r="J32" i="2"/>
  <c r="L32" i="2" s="1"/>
  <c r="O32" i="2" s="1"/>
  <c r="J140" i="1"/>
  <c r="M167" i="1"/>
  <c r="J188" i="1"/>
  <c r="M215" i="1"/>
  <c r="J287" i="1"/>
  <c r="L302" i="1"/>
  <c r="O302" i="1" s="1"/>
  <c r="J323" i="1"/>
  <c r="M35" i="2"/>
  <c r="J35" i="2"/>
  <c r="L35" i="2" s="1"/>
  <c r="O35" i="2" s="1"/>
  <c r="O161" i="2"/>
  <c r="J281" i="2"/>
  <c r="M281" i="2"/>
  <c r="L278" i="1"/>
  <c r="O278" i="1" s="1"/>
  <c r="L287" i="2"/>
  <c r="O287" i="2" s="1"/>
  <c r="L314" i="1"/>
  <c r="O314" i="1" s="1"/>
  <c r="J272" i="2"/>
  <c r="M272" i="2"/>
  <c r="M182" i="2"/>
  <c r="L302" i="2"/>
  <c r="O302" i="2" s="1"/>
  <c r="M56" i="3"/>
  <c r="J56" i="3"/>
  <c r="L56" i="3" s="1"/>
  <c r="O56" i="3" s="1"/>
  <c r="J317" i="1"/>
  <c r="J5" i="2"/>
  <c r="L5" i="2" s="1"/>
  <c r="O5" i="2" s="1"/>
  <c r="J14" i="2"/>
  <c r="L14" i="2" s="1"/>
  <c r="O14" i="2" s="1"/>
  <c r="J17" i="2"/>
  <c r="L17" i="2" s="1"/>
  <c r="O17" i="2" s="1"/>
  <c r="J38" i="2"/>
  <c r="L38" i="2" s="1"/>
  <c r="O38" i="2" s="1"/>
  <c r="J62" i="2"/>
  <c r="L62" i="2" s="1"/>
  <c r="O62" i="2" s="1"/>
  <c r="M95" i="2"/>
  <c r="M107" i="2"/>
  <c r="L245" i="2"/>
  <c r="O245" i="2" s="1"/>
  <c r="J95" i="2"/>
  <c r="L95" i="2" s="1"/>
  <c r="O95" i="2" s="1"/>
  <c r="J107" i="2"/>
  <c r="L107" i="2" s="1"/>
  <c r="O107" i="2" s="1"/>
  <c r="L122" i="2"/>
  <c r="O122" i="2" s="1"/>
  <c r="M149" i="2"/>
  <c r="J164" i="2"/>
  <c r="L179" i="2"/>
  <c r="O179" i="2" s="1"/>
  <c r="M191" i="2"/>
  <c r="L209" i="2"/>
  <c r="O209" i="2" s="1"/>
  <c r="L212" i="2"/>
  <c r="O212" i="2" s="1"/>
  <c r="L233" i="2"/>
  <c r="O233" i="2" s="1"/>
  <c r="L236" i="2"/>
  <c r="O236" i="2" s="1"/>
  <c r="L254" i="2"/>
  <c r="O254" i="2" s="1"/>
  <c r="J266" i="2"/>
  <c r="J38" i="3"/>
  <c r="L38" i="3" s="1"/>
  <c r="O38" i="3" s="1"/>
  <c r="M74" i="2"/>
  <c r="M92" i="2"/>
  <c r="M104" i="2"/>
  <c r="M122" i="2"/>
  <c r="J170" i="2"/>
  <c r="M179" i="2"/>
  <c r="M197" i="2"/>
  <c r="M245" i="2"/>
  <c r="J248" i="2"/>
  <c r="M308" i="2"/>
  <c r="J308" i="2"/>
  <c r="L314" i="2"/>
  <c r="O314" i="2" s="1"/>
  <c r="I152" i="2"/>
  <c r="N152" i="2" s="1"/>
  <c r="M320" i="2"/>
  <c r="J320" i="2"/>
  <c r="L326" i="2"/>
  <c r="O326" i="2" s="1"/>
  <c r="M5" i="3"/>
  <c r="M26" i="3"/>
  <c r="J26" i="3"/>
  <c r="L26" i="3" s="1"/>
  <c r="O26" i="3" s="1"/>
  <c r="M92" i="3"/>
  <c r="M155" i="3"/>
  <c r="J155" i="3"/>
  <c r="M116" i="2"/>
  <c r="J116" i="2"/>
  <c r="L290" i="2"/>
  <c r="O290" i="2" s="1"/>
  <c r="J305" i="2"/>
  <c r="M305" i="2"/>
  <c r="M332" i="2"/>
  <c r="J332" i="2"/>
  <c r="L338" i="2"/>
  <c r="O338" i="2" s="1"/>
  <c r="J5" i="3"/>
  <c r="L5" i="3" s="1"/>
  <c r="O5" i="3" s="1"/>
  <c r="J185" i="3"/>
  <c r="M194" i="3"/>
  <c r="J215" i="2"/>
  <c r="J239" i="2"/>
  <c r="J242" i="2"/>
  <c r="M8" i="3"/>
  <c r="J8" i="3"/>
  <c r="L8" i="3" s="1"/>
  <c r="O8" i="3" s="1"/>
  <c r="P8" i="3" s="1"/>
  <c r="M35" i="3"/>
  <c r="M41" i="3"/>
  <c r="J41" i="3"/>
  <c r="L41" i="3" s="1"/>
  <c r="O41" i="3" s="1"/>
  <c r="L149" i="3"/>
  <c r="O149" i="3" s="1"/>
  <c r="M188" i="3"/>
  <c r="J188" i="3"/>
  <c r="L194" i="3"/>
  <c r="O194" i="3" s="1"/>
  <c r="L206" i="3"/>
  <c r="O206" i="3" s="1"/>
  <c r="M170" i="4"/>
  <c r="J170" i="4"/>
  <c r="J317" i="2"/>
  <c r="J329" i="2"/>
  <c r="J29" i="3"/>
  <c r="L29" i="3" s="1"/>
  <c r="O29" i="3" s="1"/>
  <c r="J35" i="3"/>
  <c r="L35" i="3" s="1"/>
  <c r="O35" i="3" s="1"/>
  <c r="M59" i="3"/>
  <c r="M104" i="3"/>
  <c r="M86" i="3"/>
  <c r="J86" i="3"/>
  <c r="L86" i="3" s="1"/>
  <c r="O86" i="3" s="1"/>
  <c r="M62" i="3"/>
  <c r="J62" i="3"/>
  <c r="L62" i="3" s="1"/>
  <c r="O62" i="3" s="1"/>
  <c r="M80" i="3"/>
  <c r="M98" i="3"/>
  <c r="I132" i="3"/>
  <c r="M308" i="4"/>
  <c r="J308" i="4"/>
  <c r="M317" i="4"/>
  <c r="J317" i="4"/>
  <c r="M11" i="3"/>
  <c r="J11" i="3"/>
  <c r="L11" i="3" s="1"/>
  <c r="O11" i="3" s="1"/>
  <c r="M107" i="3"/>
  <c r="M137" i="3"/>
  <c r="M158" i="3"/>
  <c r="M173" i="3"/>
  <c r="M251" i="3"/>
  <c r="M80" i="4"/>
  <c r="J80" i="4"/>
  <c r="L80" i="4" s="1"/>
  <c r="O80" i="4" s="1"/>
  <c r="J236" i="4"/>
  <c r="M236" i="4"/>
  <c r="J65" i="3"/>
  <c r="L65" i="3" s="1"/>
  <c r="O65" i="3" s="1"/>
  <c r="J89" i="3"/>
  <c r="L89" i="3" s="1"/>
  <c r="O89" i="3" s="1"/>
  <c r="J92" i="3"/>
  <c r="L92" i="3" s="1"/>
  <c r="O92" i="3" s="1"/>
  <c r="J95" i="3"/>
  <c r="L95" i="3" s="1"/>
  <c r="O95" i="3" s="1"/>
  <c r="J98" i="3"/>
  <c r="L98" i="3" s="1"/>
  <c r="O98" i="3" s="1"/>
  <c r="J101" i="3"/>
  <c r="L101" i="3" s="1"/>
  <c r="O101" i="3" s="1"/>
  <c r="J104" i="3"/>
  <c r="L104" i="3" s="1"/>
  <c r="O104" i="3" s="1"/>
  <c r="J107" i="3"/>
  <c r="L107" i="3" s="1"/>
  <c r="O107" i="3" s="1"/>
  <c r="J119" i="3"/>
  <c r="I167" i="3"/>
  <c r="N167" i="3" s="1"/>
  <c r="I209" i="3"/>
  <c r="N209" i="3" s="1"/>
  <c r="J251" i="3"/>
  <c r="M20" i="4"/>
  <c r="J20" i="4"/>
  <c r="L20" i="4" s="1"/>
  <c r="O20" i="4" s="1"/>
  <c r="L128" i="4"/>
  <c r="O128" i="4" s="1"/>
  <c r="G219" i="3"/>
  <c r="I219" i="3" s="1"/>
  <c r="L227" i="3"/>
  <c r="O227" i="3" s="1"/>
  <c r="I243" i="3"/>
  <c r="O284" i="3"/>
  <c r="L212" i="3"/>
  <c r="O212" i="3" s="1"/>
  <c r="I246" i="3"/>
  <c r="I248" i="3"/>
  <c r="N248" i="3" s="1"/>
  <c r="I264" i="3"/>
  <c r="I273" i="3"/>
  <c r="I233" i="3"/>
  <c r="N233" i="3" s="1"/>
  <c r="M41" i="4"/>
  <c r="J41" i="4"/>
  <c r="L41" i="4" s="1"/>
  <c r="O41" i="4" s="1"/>
  <c r="M62" i="4"/>
  <c r="J62" i="4"/>
  <c r="L62" i="4" s="1"/>
  <c r="O62" i="4" s="1"/>
  <c r="J215" i="3"/>
  <c r="M86" i="4"/>
  <c r="J86" i="4"/>
  <c r="L86" i="4" s="1"/>
  <c r="O86" i="4" s="1"/>
  <c r="J206" i="4"/>
  <c r="M206" i="4"/>
  <c r="L131" i="4"/>
  <c r="O131" i="4" s="1"/>
  <c r="L158" i="4"/>
  <c r="O158" i="4" s="1"/>
  <c r="L161" i="4"/>
  <c r="O161" i="4" s="1"/>
  <c r="L164" i="4"/>
  <c r="O164" i="4" s="1"/>
  <c r="M167" i="4"/>
  <c r="J167" i="4"/>
  <c r="I269" i="4"/>
  <c r="N269" i="4" s="1"/>
  <c r="J26" i="4"/>
  <c r="L26" i="4" s="1"/>
  <c r="O26" i="4" s="1"/>
  <c r="L137" i="4"/>
  <c r="O137" i="4" s="1"/>
  <c r="L140" i="4"/>
  <c r="O140" i="4" s="1"/>
  <c r="M143" i="4"/>
  <c r="J143" i="4"/>
  <c r="L149" i="4"/>
  <c r="O149" i="4" s="1"/>
  <c r="L224" i="4"/>
  <c r="O224" i="4" s="1"/>
  <c r="L227" i="4"/>
  <c r="O227" i="4" s="1"/>
  <c r="J281" i="4"/>
  <c r="M281" i="4"/>
  <c r="M332" i="4"/>
  <c r="J332" i="4"/>
  <c r="M341" i="4"/>
  <c r="M65" i="4"/>
  <c r="J83" i="4"/>
  <c r="L83" i="4" s="1"/>
  <c r="O83" i="4" s="1"/>
  <c r="M200" i="4"/>
  <c r="L218" i="4"/>
  <c r="O218" i="4" s="1"/>
  <c r="L119" i="4"/>
  <c r="O119" i="4" s="1"/>
  <c r="L182" i="4"/>
  <c r="O182" i="4" s="1"/>
  <c r="L185" i="4"/>
  <c r="O185" i="4" s="1"/>
  <c r="L188" i="4"/>
  <c r="O188" i="4" s="1"/>
  <c r="L191" i="4"/>
  <c r="O191" i="4" s="1"/>
  <c r="M194" i="4"/>
  <c r="J194" i="4"/>
  <c r="L200" i="4"/>
  <c r="O200" i="4" s="1"/>
  <c r="L221" i="4"/>
  <c r="O221" i="4" s="1"/>
  <c r="J278" i="4"/>
  <c r="M278" i="4"/>
  <c r="L302" i="4"/>
  <c r="O302" i="4" s="1"/>
  <c r="L320" i="4"/>
  <c r="O320" i="4" s="1"/>
  <c r="M152" i="4"/>
  <c r="M242" i="4"/>
  <c r="L314" i="4"/>
  <c r="O314" i="4" s="1"/>
  <c r="M329" i="4"/>
  <c r="J329" i="4"/>
  <c r="L338" i="4"/>
  <c r="O338" i="4" s="1"/>
  <c r="J323" i="4"/>
  <c r="M212" i="4"/>
  <c r="L245" i="4"/>
  <c r="O245" i="4" s="1"/>
  <c r="I257" i="4"/>
  <c r="N257" i="4" s="1"/>
  <c r="L284" i="4"/>
  <c r="O284" i="4" s="1"/>
  <c r="L230" i="4"/>
  <c r="O230" i="4" s="1"/>
  <c r="M284" i="4"/>
  <c r="L287" i="4"/>
  <c r="O287" i="4" s="1"/>
  <c r="L248" i="4"/>
  <c r="O248" i="4" s="1"/>
  <c r="I263" i="4"/>
  <c r="N263" i="4" s="1"/>
  <c r="M296" i="4"/>
  <c r="J296" i="4"/>
  <c r="J215" i="4"/>
  <c r="M221" i="4"/>
  <c r="J242" i="4"/>
  <c r="J326" i="4"/>
  <c r="J299" i="4"/>
  <c r="J305" i="4"/>
  <c r="J311" i="4"/>
  <c r="J335" i="4"/>
  <c r="M239" i="4" l="1"/>
  <c r="J272" i="3"/>
  <c r="M278" i="3"/>
  <c r="M272" i="3"/>
  <c r="M185" i="3"/>
  <c r="M266" i="3"/>
  <c r="N278" i="3"/>
  <c r="N230" i="3"/>
  <c r="J239" i="4"/>
  <c r="L239" i="4" s="1"/>
  <c r="O239" i="4" s="1"/>
  <c r="M176" i="4"/>
  <c r="N218" i="3"/>
  <c r="N224" i="3"/>
  <c r="N245" i="3"/>
  <c r="N263" i="3"/>
  <c r="N269" i="3"/>
  <c r="N236" i="3"/>
  <c r="N131" i="3"/>
  <c r="N143" i="3"/>
  <c r="N242" i="3"/>
  <c r="N221" i="3"/>
  <c r="N128" i="3"/>
  <c r="N152" i="3"/>
  <c r="N146" i="3"/>
  <c r="N275" i="3"/>
  <c r="N182" i="3"/>
  <c r="N266" i="3"/>
  <c r="N176" i="4"/>
  <c r="N134" i="4"/>
  <c r="N254" i="4"/>
  <c r="M134" i="4"/>
  <c r="L350" i="4"/>
  <c r="O350" i="4" s="1"/>
  <c r="L146" i="4"/>
  <c r="O146" i="4" s="1"/>
  <c r="M254" i="4"/>
  <c r="L134" i="4"/>
  <c r="O134" i="4" s="1"/>
  <c r="N134" i="2"/>
  <c r="M242" i="3"/>
  <c r="M269" i="3"/>
  <c r="M260" i="3"/>
  <c r="M128" i="3"/>
  <c r="M224" i="3"/>
  <c r="M245" i="3"/>
  <c r="M146" i="3"/>
  <c r="M221" i="3"/>
  <c r="L152" i="3"/>
  <c r="O152" i="3" s="1"/>
  <c r="M230" i="3"/>
  <c r="J260" i="3"/>
  <c r="L260" i="3" s="1"/>
  <c r="O260" i="3" s="1"/>
  <c r="M275" i="3"/>
  <c r="M218" i="3"/>
  <c r="M152" i="3"/>
  <c r="M236" i="3"/>
  <c r="L161" i="3"/>
  <c r="O161" i="3" s="1"/>
  <c r="L143" i="3"/>
  <c r="O143" i="3" s="1"/>
  <c r="M131" i="3"/>
  <c r="M143" i="3"/>
  <c r="L176" i="3"/>
  <c r="O176" i="3" s="1"/>
  <c r="M263" i="3"/>
  <c r="L191" i="3"/>
  <c r="O191" i="3" s="1"/>
  <c r="L323" i="2"/>
  <c r="O323" i="2" s="1"/>
  <c r="L158" i="2"/>
  <c r="O158" i="2" s="1"/>
  <c r="L269" i="2"/>
  <c r="O269" i="2" s="1"/>
  <c r="L176" i="2"/>
  <c r="O176" i="2" s="1"/>
  <c r="L329" i="1"/>
  <c r="O329" i="1" s="1"/>
  <c r="L269" i="1"/>
  <c r="O269" i="1" s="1"/>
  <c r="L257" i="1"/>
  <c r="O257" i="1" s="1"/>
  <c r="L326" i="1"/>
  <c r="O326" i="1" s="1"/>
  <c r="B362" i="1"/>
  <c r="B365" i="1" s="1"/>
  <c r="B368" i="1" s="1"/>
  <c r="B371" i="1" s="1"/>
  <c r="B374" i="1" s="1"/>
  <c r="B377" i="1" s="1"/>
  <c r="B380" i="1" s="1"/>
  <c r="B383" i="1" s="1"/>
  <c r="B386" i="1" s="1"/>
  <c r="B389" i="1" s="1"/>
  <c r="B392" i="1" s="1"/>
  <c r="B395" i="1" s="1"/>
  <c r="B398" i="1" s="1"/>
  <c r="B401" i="1" s="1"/>
  <c r="L194" i="1"/>
  <c r="O194" i="1" s="1"/>
  <c r="L176" i="1"/>
  <c r="O176" i="1" s="1"/>
  <c r="L173" i="1"/>
  <c r="O173" i="1" s="1"/>
  <c r="L122" i="4"/>
  <c r="O122" i="4" s="1"/>
  <c r="L209" i="4"/>
  <c r="O209" i="4" s="1"/>
  <c r="L203" i="4"/>
  <c r="O203" i="4" s="1"/>
  <c r="L173" i="4"/>
  <c r="O173" i="4" s="1"/>
  <c r="L146" i="2"/>
  <c r="O146" i="2" s="1"/>
  <c r="P11" i="2"/>
  <c r="P14" i="2" s="1"/>
  <c r="P17" i="2" s="1"/>
  <c r="P20" i="2" s="1"/>
  <c r="J134" i="2"/>
  <c r="L131" i="2"/>
  <c r="O131" i="2" s="1"/>
  <c r="L134" i="3"/>
  <c r="O134" i="3" s="1"/>
  <c r="L122" i="3"/>
  <c r="O122" i="3" s="1"/>
  <c r="B341" i="3"/>
  <c r="B344" i="3" s="1"/>
  <c r="B347" i="3" s="1"/>
  <c r="B350" i="3" s="1"/>
  <c r="B353" i="3" s="1"/>
  <c r="B356" i="3" s="1"/>
  <c r="B359" i="3" s="1"/>
  <c r="B362" i="3" s="1"/>
  <c r="B365" i="3" s="1"/>
  <c r="B368" i="3" s="1"/>
  <c r="B371" i="3" s="1"/>
  <c r="B374" i="3" s="1"/>
  <c r="B377" i="3" s="1"/>
  <c r="B380" i="3" s="1"/>
  <c r="B383" i="3" s="1"/>
  <c r="B386" i="3" s="1"/>
  <c r="B389" i="3" s="1"/>
  <c r="B392" i="3" s="1"/>
  <c r="B395" i="3" s="1"/>
  <c r="B398" i="3" s="1"/>
  <c r="B401" i="3" s="1"/>
  <c r="B404" i="3" s="1"/>
  <c r="B407" i="3" s="1"/>
  <c r="B410" i="3" s="1"/>
  <c r="B413" i="3" s="1"/>
  <c r="B416" i="3" s="1"/>
  <c r="B419" i="3" s="1"/>
  <c r="B422" i="3" s="1"/>
  <c r="B425" i="3" s="1"/>
  <c r="B428" i="3" s="1"/>
  <c r="B431" i="3" s="1"/>
  <c r="B434" i="3" s="1"/>
  <c r="B437" i="3" s="1"/>
  <c r="B440" i="3" s="1"/>
  <c r="B443" i="3" s="1"/>
  <c r="B446" i="3" s="1"/>
  <c r="B449" i="3" s="1"/>
  <c r="B452" i="3" s="1"/>
  <c r="B455" i="3" s="1"/>
  <c r="B458" i="3" s="1"/>
  <c r="B461" i="3" s="1"/>
  <c r="B464" i="3" s="1"/>
  <c r="B467" i="3" s="1"/>
  <c r="B470" i="3" s="1"/>
  <c r="B473" i="3" s="1"/>
  <c r="B476" i="3" s="1"/>
  <c r="B479" i="3" s="1"/>
  <c r="B482" i="3" s="1"/>
  <c r="B485" i="3" s="1"/>
  <c r="B488" i="3" s="1"/>
  <c r="B491" i="3" s="1"/>
  <c r="B494" i="3" s="1"/>
  <c r="B497" i="3" s="1"/>
  <c r="B500" i="3" s="1"/>
  <c r="B503" i="3" s="1"/>
  <c r="B506" i="3" s="1"/>
  <c r="J239" i="3"/>
  <c r="M239" i="3"/>
  <c r="L182" i="3"/>
  <c r="O182" i="3" s="1"/>
  <c r="M182" i="3"/>
  <c r="L311" i="4"/>
  <c r="O311" i="4" s="1"/>
  <c r="L305" i="4"/>
  <c r="O305" i="4" s="1"/>
  <c r="L329" i="2"/>
  <c r="O329" i="2" s="1"/>
  <c r="L317" i="1"/>
  <c r="O317" i="1" s="1"/>
  <c r="L128" i="2"/>
  <c r="O128" i="2" s="1"/>
  <c r="L212" i="1"/>
  <c r="O212" i="1" s="1"/>
  <c r="L221" i="2"/>
  <c r="O221" i="2" s="1"/>
  <c r="L299" i="4"/>
  <c r="O299" i="4" s="1"/>
  <c r="L296" i="4"/>
  <c r="O296" i="4" s="1"/>
  <c r="L317" i="2"/>
  <c r="O317" i="2" s="1"/>
  <c r="L320" i="2"/>
  <c r="O320" i="2" s="1"/>
  <c r="L281" i="2"/>
  <c r="O281" i="2" s="1"/>
  <c r="L230" i="2"/>
  <c r="O230" i="2" s="1"/>
  <c r="L275" i="2"/>
  <c r="O275" i="2" s="1"/>
  <c r="L320" i="1"/>
  <c r="O320" i="1" s="1"/>
  <c r="L218" i="1"/>
  <c r="O218" i="1" s="1"/>
  <c r="L245" i="1"/>
  <c r="O245" i="1" s="1"/>
  <c r="L194" i="2"/>
  <c r="O194" i="2" s="1"/>
  <c r="L272" i="1"/>
  <c r="O272" i="1" s="1"/>
  <c r="L164" i="2"/>
  <c r="O164" i="2" s="1"/>
  <c r="L215" i="4"/>
  <c r="O215" i="4" s="1"/>
  <c r="L254" i="4"/>
  <c r="O254" i="4" s="1"/>
  <c r="L251" i="3"/>
  <c r="O251" i="3" s="1"/>
  <c r="L224" i="3"/>
  <c r="O224" i="3" s="1"/>
  <c r="M248" i="3"/>
  <c r="J248" i="3"/>
  <c r="L218" i="3"/>
  <c r="O218" i="3" s="1"/>
  <c r="L170" i="4"/>
  <c r="O170" i="4" s="1"/>
  <c r="L242" i="2"/>
  <c r="O242" i="2" s="1"/>
  <c r="L185" i="3"/>
  <c r="O185" i="3" s="1"/>
  <c r="L308" i="2"/>
  <c r="O308" i="2" s="1"/>
  <c r="L170" i="2"/>
  <c r="O170" i="2" s="1"/>
  <c r="L272" i="2"/>
  <c r="O272" i="2" s="1"/>
  <c r="L149" i="1"/>
  <c r="O149" i="1" s="1"/>
  <c r="L137" i="1"/>
  <c r="O137" i="1" s="1"/>
  <c r="L119" i="3"/>
  <c r="O119" i="3" s="1"/>
  <c r="L281" i="4"/>
  <c r="O281" i="4" s="1"/>
  <c r="L140" i="1"/>
  <c r="O140" i="1" s="1"/>
  <c r="L326" i="4"/>
  <c r="O326" i="4" s="1"/>
  <c r="L242" i="4"/>
  <c r="O242" i="4" s="1"/>
  <c r="L278" i="4"/>
  <c r="O278" i="4" s="1"/>
  <c r="M233" i="3"/>
  <c r="J233" i="3"/>
  <c r="M209" i="3"/>
  <c r="J209" i="3"/>
  <c r="P11" i="4"/>
  <c r="L239" i="2"/>
  <c r="O239" i="2" s="1"/>
  <c r="L305" i="2"/>
  <c r="O305" i="2" s="1"/>
  <c r="L287" i="1"/>
  <c r="O287" i="1" s="1"/>
  <c r="L188" i="1"/>
  <c r="O188" i="1" s="1"/>
  <c r="L278" i="2"/>
  <c r="O278" i="2" s="1"/>
  <c r="L218" i="2"/>
  <c r="O218" i="2" s="1"/>
  <c r="L143" i="1"/>
  <c r="O143" i="1" s="1"/>
  <c r="L173" i="2"/>
  <c r="O173" i="2" s="1"/>
  <c r="J260" i="1"/>
  <c r="M260" i="1"/>
  <c r="L332" i="4"/>
  <c r="O332" i="4" s="1"/>
  <c r="L137" i="2"/>
  <c r="O137" i="2" s="1"/>
  <c r="L236" i="4"/>
  <c r="O236" i="4" s="1"/>
  <c r="L215" i="2"/>
  <c r="O215" i="2" s="1"/>
  <c r="L116" i="2"/>
  <c r="O116" i="2" s="1"/>
  <c r="L248" i="2"/>
  <c r="O248" i="2" s="1"/>
  <c r="L275" i="3"/>
  <c r="O275" i="3" s="1"/>
  <c r="L197" i="1"/>
  <c r="O197" i="1" s="1"/>
  <c r="L125" i="1"/>
  <c r="O125" i="1" s="1"/>
  <c r="L164" i="1"/>
  <c r="O164" i="1" s="1"/>
  <c r="L323" i="1"/>
  <c r="O323" i="1" s="1"/>
  <c r="L143" i="2"/>
  <c r="O143" i="2" s="1"/>
  <c r="L215" i="3"/>
  <c r="O215" i="3" s="1"/>
  <c r="L278" i="3"/>
  <c r="O278" i="3" s="1"/>
  <c r="L329" i="4"/>
  <c r="O329" i="4" s="1"/>
  <c r="L194" i="4"/>
  <c r="O194" i="4" s="1"/>
  <c r="L167" i="4"/>
  <c r="O167" i="4" s="1"/>
  <c r="L272" i="3"/>
  <c r="O272" i="3" s="1"/>
  <c r="L317" i="4"/>
  <c r="O317" i="4" s="1"/>
  <c r="L230" i="3"/>
  <c r="O230" i="3" s="1"/>
  <c r="L269" i="3"/>
  <c r="O269" i="3" s="1"/>
  <c r="M152" i="2"/>
  <c r="J152" i="2"/>
  <c r="L236" i="3"/>
  <c r="O236" i="3" s="1"/>
  <c r="L266" i="2"/>
  <c r="O266" i="2" s="1"/>
  <c r="L188" i="2"/>
  <c r="O188" i="2" s="1"/>
  <c r="L116" i="1"/>
  <c r="O116" i="1" s="1"/>
  <c r="L119" i="2"/>
  <c r="O119" i="2" s="1"/>
  <c r="L308" i="4"/>
  <c r="O308" i="4" s="1"/>
  <c r="L188" i="3"/>
  <c r="O188" i="3" s="1"/>
  <c r="L146" i="3"/>
  <c r="O146" i="3" s="1"/>
  <c r="L170" i="1"/>
  <c r="O170" i="1" s="1"/>
  <c r="L335" i="4"/>
  <c r="O335" i="4" s="1"/>
  <c r="M263" i="4"/>
  <c r="J263" i="4"/>
  <c r="M257" i="4"/>
  <c r="J257" i="4"/>
  <c r="L323" i="4"/>
  <c r="O323" i="4" s="1"/>
  <c r="L341" i="4"/>
  <c r="O341" i="4" s="1"/>
  <c r="L143" i="4"/>
  <c r="O143" i="4" s="1"/>
  <c r="J269" i="4"/>
  <c r="M269" i="4"/>
  <c r="L206" i="4"/>
  <c r="O206" i="4" s="1"/>
  <c r="L263" i="3"/>
  <c r="O263" i="3" s="1"/>
  <c r="L176" i="4"/>
  <c r="O176" i="4" s="1"/>
  <c r="J167" i="3"/>
  <c r="M167" i="3"/>
  <c r="L221" i="3"/>
  <c r="O221" i="3" s="1"/>
  <c r="L332" i="2"/>
  <c r="O332" i="2" s="1"/>
  <c r="L155" i="3"/>
  <c r="O155" i="3" s="1"/>
  <c r="L284" i="1"/>
  <c r="O284" i="1" s="1"/>
  <c r="L206" i="2"/>
  <c r="O206" i="2" s="1"/>
  <c r="L284" i="2"/>
  <c r="O284" i="2" s="1"/>
  <c r="L191" i="1"/>
  <c r="O191" i="1" s="1"/>
  <c r="P11" i="1"/>
  <c r="P14" i="1" s="1"/>
  <c r="P17" i="1" s="1"/>
  <c r="P20" i="1" s="1"/>
  <c r="L134" i="2" l="1"/>
  <c r="O134" i="2" s="1"/>
  <c r="P23" i="2"/>
  <c r="P26" i="2" s="1"/>
  <c r="B404" i="1"/>
  <c r="B407" i="1" s="1"/>
  <c r="B410" i="1" s="1"/>
  <c r="B413" i="1" s="1"/>
  <c r="B416" i="1" s="1"/>
  <c r="B419" i="1" s="1"/>
  <c r="B422" i="1" s="1"/>
  <c r="B425" i="1" s="1"/>
  <c r="B428" i="1" s="1"/>
  <c r="B431" i="1" s="1"/>
  <c r="B434" i="1" s="1"/>
  <c r="B437" i="1" s="1"/>
  <c r="B440" i="1" s="1"/>
  <c r="B443" i="1" s="1"/>
  <c r="B446" i="1" s="1"/>
  <c r="B449" i="1" s="1"/>
  <c r="B452" i="1" s="1"/>
  <c r="B455" i="1" s="1"/>
  <c r="B458" i="1" s="1"/>
  <c r="B461" i="1" s="1"/>
  <c r="B464" i="1" s="1"/>
  <c r="B467" i="1" s="1"/>
  <c r="B470" i="1" s="1"/>
  <c r="B473" i="1" s="1"/>
  <c r="B476" i="1" s="1"/>
  <c r="B479" i="1" s="1"/>
  <c r="B482" i="1" s="1"/>
  <c r="B485" i="1" s="1"/>
  <c r="B488" i="1" s="1"/>
  <c r="B491" i="1" s="1"/>
  <c r="B494" i="1" s="1"/>
  <c r="B497" i="1" s="1"/>
  <c r="L239" i="3"/>
  <c r="O239" i="3" s="1"/>
  <c r="L269" i="4"/>
  <c r="O269" i="4" s="1"/>
  <c r="L209" i="3"/>
  <c r="O209" i="3" s="1"/>
  <c r="L248" i="3"/>
  <c r="O248" i="3" s="1"/>
  <c r="P14" i="4"/>
  <c r="P11" i="3"/>
  <c r="L167" i="3"/>
  <c r="O167" i="3" s="1"/>
  <c r="L257" i="4"/>
  <c r="O257" i="4" s="1"/>
  <c r="L152" i="2"/>
  <c r="O152" i="2" s="1"/>
  <c r="L233" i="3"/>
  <c r="O233" i="3" s="1"/>
  <c r="L260" i="1"/>
  <c r="O260" i="1" s="1"/>
  <c r="P23" i="1"/>
  <c r="P26" i="1" s="1"/>
  <c r="P29" i="1" s="1"/>
  <c r="P32" i="1" s="1"/>
  <c r="P35" i="1" s="1"/>
  <c r="P38" i="1" s="1"/>
  <c r="P41" i="1" s="1"/>
  <c r="P44" i="1" s="1"/>
  <c r="P47" i="1" s="1"/>
  <c r="P50" i="1" s="1"/>
  <c r="L263" i="4"/>
  <c r="O263" i="4" s="1"/>
  <c r="P29" i="2" l="1"/>
  <c r="P17" i="4"/>
  <c r="P53" i="1"/>
  <c r="P14" i="3"/>
  <c r="P32" i="2" l="1"/>
  <c r="P17" i="3"/>
  <c r="P56" i="1"/>
  <c r="P20" i="4"/>
  <c r="P23" i="4" l="1"/>
  <c r="P35" i="2"/>
  <c r="P20" i="3"/>
  <c r="P59" i="1"/>
  <c r="P38" i="2" l="1"/>
  <c r="P23" i="3"/>
  <c r="P26" i="3" s="1"/>
  <c r="P29" i="3" s="1"/>
  <c r="P32" i="3" s="1"/>
  <c r="P35" i="3" s="1"/>
  <c r="P38" i="3" s="1"/>
  <c r="P41" i="3" s="1"/>
  <c r="P44" i="3" s="1"/>
  <c r="P47" i="3" s="1"/>
  <c r="P62" i="1"/>
  <c r="P26" i="4"/>
  <c r="P65" i="1" l="1"/>
  <c r="P50" i="3"/>
  <c r="P29" i="4"/>
  <c r="P41" i="2"/>
  <c r="P44" i="2" l="1"/>
  <c r="P32" i="4"/>
  <c r="P53" i="3"/>
  <c r="P68" i="1"/>
  <c r="P71" i="1" l="1"/>
  <c r="P56" i="3"/>
  <c r="P47" i="2"/>
  <c r="P35" i="4"/>
  <c r="P38" i="4" l="1"/>
  <c r="P50" i="2"/>
  <c r="P59" i="3"/>
  <c r="P74" i="1"/>
  <c r="P41" i="4" l="1"/>
  <c r="P77" i="1"/>
  <c r="P62" i="3"/>
  <c r="P53" i="2"/>
  <c r="P56" i="2" l="1"/>
  <c r="P65" i="3"/>
  <c r="P80" i="1"/>
  <c r="P44" i="4"/>
  <c r="P47" i="4" l="1"/>
  <c r="P83" i="1"/>
  <c r="P68" i="3"/>
  <c r="P59" i="2"/>
  <c r="P50" i="4" l="1"/>
  <c r="P62" i="2"/>
  <c r="P71" i="3"/>
  <c r="P86" i="1"/>
  <c r="P53" i="4" l="1"/>
  <c r="P89" i="1"/>
  <c r="P74" i="3"/>
  <c r="P65" i="2"/>
  <c r="P77" i="3" l="1"/>
  <c r="P56" i="4"/>
  <c r="P68" i="2"/>
  <c r="P92" i="1"/>
  <c r="P95" i="1" l="1"/>
  <c r="P71" i="2"/>
  <c r="P59" i="4"/>
  <c r="P80" i="3"/>
  <c r="P62" i="4" l="1"/>
  <c r="P98" i="1"/>
  <c r="P83" i="3"/>
  <c r="P74" i="2"/>
  <c r="P65" i="4" l="1"/>
  <c r="P77" i="2"/>
  <c r="P86" i="3"/>
  <c r="P101" i="1"/>
  <c r="P89" i="3" l="1"/>
  <c r="P104" i="1"/>
  <c r="P107" i="1" s="1"/>
  <c r="P110" i="1" s="1"/>
  <c r="P113" i="1" s="1"/>
  <c r="P116" i="1" s="1"/>
  <c r="P119" i="1" s="1"/>
  <c r="P122" i="1" s="1"/>
  <c r="P125" i="1" s="1"/>
  <c r="P128" i="1" s="1"/>
  <c r="P131" i="1" s="1"/>
  <c r="P134" i="1" s="1"/>
  <c r="P137" i="1" s="1"/>
  <c r="P140" i="1" s="1"/>
  <c r="P143" i="1" s="1"/>
  <c r="P146" i="1" s="1"/>
  <c r="P149" i="1" s="1"/>
  <c r="P152" i="1" s="1"/>
  <c r="P155" i="1" s="1"/>
  <c r="P158" i="1" s="1"/>
  <c r="P161" i="1" s="1"/>
  <c r="P164" i="1" s="1"/>
  <c r="P167" i="1" s="1"/>
  <c r="P170" i="1" s="1"/>
  <c r="P173" i="1" s="1"/>
  <c r="P176" i="1" s="1"/>
  <c r="P179" i="1" s="1"/>
  <c r="P182" i="1" s="1"/>
  <c r="P185" i="1" s="1"/>
  <c r="P188" i="1" s="1"/>
  <c r="P191" i="1" s="1"/>
  <c r="P194" i="1" s="1"/>
  <c r="P197" i="1" s="1"/>
  <c r="P200" i="1" s="1"/>
  <c r="P203" i="1" s="1"/>
  <c r="P206" i="1" s="1"/>
  <c r="P209" i="1" s="1"/>
  <c r="P212" i="1" s="1"/>
  <c r="P215" i="1" s="1"/>
  <c r="P218" i="1" s="1"/>
  <c r="P221" i="1" s="1"/>
  <c r="P224" i="1" s="1"/>
  <c r="P227" i="1" s="1"/>
  <c r="P230" i="1" s="1"/>
  <c r="P233" i="1" s="1"/>
  <c r="P236" i="1" s="1"/>
  <c r="P239" i="1" s="1"/>
  <c r="P242" i="1" s="1"/>
  <c r="P245" i="1" s="1"/>
  <c r="P248" i="1" s="1"/>
  <c r="P251" i="1" s="1"/>
  <c r="P254" i="1" s="1"/>
  <c r="P257" i="1" s="1"/>
  <c r="P260" i="1" s="1"/>
  <c r="P263" i="1" s="1"/>
  <c r="P266" i="1" s="1"/>
  <c r="P269" i="1" s="1"/>
  <c r="P272" i="1" s="1"/>
  <c r="P275" i="1" s="1"/>
  <c r="P278" i="1" s="1"/>
  <c r="P281" i="1" s="1"/>
  <c r="P80" i="2"/>
  <c r="P68" i="4"/>
  <c r="P92" i="3" l="1"/>
  <c r="P71" i="4"/>
  <c r="P83" i="2"/>
  <c r="P98" i="3" l="1"/>
  <c r="P95" i="3"/>
  <c r="P86" i="2"/>
  <c r="P74" i="4"/>
  <c r="P104" i="3" l="1"/>
  <c r="P77" i="4"/>
  <c r="P89" i="2"/>
  <c r="P101" i="3"/>
  <c r="P107" i="3" l="1"/>
  <c r="P92" i="2"/>
  <c r="P80" i="4"/>
  <c r="P95" i="2" l="1"/>
  <c r="P110" i="3"/>
  <c r="P83" i="4"/>
  <c r="P86" i="4" l="1"/>
  <c r="P113" i="3"/>
  <c r="P98" i="2"/>
  <c r="P101" i="2" l="1"/>
  <c r="P116" i="3"/>
  <c r="P89" i="4"/>
  <c r="P92" i="4" l="1"/>
  <c r="P119" i="3"/>
  <c r="P104" i="2"/>
  <c r="P107" i="2" l="1"/>
  <c r="P95" i="4"/>
  <c r="P122" i="3"/>
  <c r="P125" i="3" l="1"/>
  <c r="P110" i="2"/>
  <c r="P98" i="4"/>
  <c r="P101" i="4" l="1"/>
  <c r="P113" i="2"/>
  <c r="P128" i="3"/>
  <c r="P116" i="2" l="1"/>
  <c r="P104" i="4"/>
  <c r="P131" i="3"/>
  <c r="P134" i="3" l="1"/>
  <c r="P119" i="2"/>
  <c r="P107" i="4"/>
  <c r="P110" i="4" l="1"/>
  <c r="P122" i="2"/>
  <c r="P137" i="3"/>
  <c r="P125" i="2" l="1"/>
  <c r="P113" i="4"/>
  <c r="P140" i="3"/>
  <c r="P116" i="4" l="1"/>
  <c r="P143" i="3"/>
  <c r="P128" i="2"/>
  <c r="P146" i="3" l="1"/>
  <c r="P119" i="4"/>
  <c r="P131" i="2"/>
  <c r="P134" i="2" l="1"/>
  <c r="P149" i="3"/>
  <c r="P122" i="4"/>
  <c r="P125" i="4" l="1"/>
  <c r="P152" i="3"/>
  <c r="P137" i="2"/>
  <c r="P140" i="2" l="1"/>
  <c r="P155" i="3"/>
  <c r="P128" i="4"/>
  <c r="P131" i="4" l="1"/>
  <c r="P158" i="3"/>
  <c r="P143" i="2"/>
  <c r="P146" i="2" l="1"/>
  <c r="P161" i="3"/>
  <c r="P134" i="4"/>
  <c r="P137" i="4" l="1"/>
  <c r="P164" i="3"/>
  <c r="P149" i="2"/>
  <c r="P152" i="2" l="1"/>
  <c r="P167" i="3"/>
  <c r="P140" i="4"/>
  <c r="P143" i="4" l="1"/>
  <c r="P170" i="3"/>
  <c r="P155" i="2"/>
  <c r="P158" i="2" l="1"/>
  <c r="P173" i="3"/>
  <c r="P146" i="4"/>
  <c r="P149" i="4" l="1"/>
  <c r="P176" i="3"/>
  <c r="P161" i="2"/>
  <c r="P164" i="2" l="1"/>
  <c r="P179" i="3"/>
  <c r="P152" i="4"/>
  <c r="P155" i="4" l="1"/>
  <c r="P182" i="3"/>
  <c r="P167" i="2"/>
  <c r="P170" i="2" l="1"/>
  <c r="P185" i="3"/>
  <c r="P158" i="4"/>
  <c r="P188" i="3" l="1"/>
  <c r="P161" i="4"/>
  <c r="P173" i="2"/>
  <c r="P164" i="4" l="1"/>
  <c r="P191" i="3"/>
  <c r="P176" i="2"/>
  <c r="P179" i="2" l="1"/>
  <c r="P194" i="3"/>
  <c r="P167" i="4"/>
  <c r="P182" i="2" l="1"/>
  <c r="P170" i="4"/>
  <c r="P197" i="3"/>
  <c r="P173" i="4" l="1"/>
  <c r="P200" i="3"/>
  <c r="P185" i="2"/>
  <c r="P188" i="2" l="1"/>
  <c r="P203" i="3"/>
  <c r="P176" i="4"/>
  <c r="P206" i="3" l="1"/>
  <c r="P179" i="4"/>
  <c r="P191" i="2"/>
  <c r="P194" i="2" l="1"/>
  <c r="P182" i="4"/>
  <c r="P209" i="3"/>
  <c r="P185" i="4" l="1"/>
  <c r="P212" i="3"/>
  <c r="P197" i="2"/>
  <c r="P215" i="3" l="1"/>
  <c r="P200" i="2"/>
  <c r="P188" i="4"/>
  <c r="P191" i="4" l="1"/>
  <c r="P203" i="2"/>
  <c r="P218" i="3"/>
  <c r="P221" i="3" l="1"/>
  <c r="P206" i="2"/>
  <c r="P194" i="4"/>
  <c r="P209" i="2" l="1"/>
  <c r="P224" i="3"/>
  <c r="P197" i="4"/>
  <c r="P212" i="2" l="1"/>
  <c r="P200" i="4"/>
  <c r="P227" i="3"/>
  <c r="P203" i="4" l="1"/>
  <c r="P215" i="2"/>
  <c r="P230" i="3"/>
  <c r="P233" i="3" l="1"/>
  <c r="P218" i="2"/>
  <c r="P206" i="4"/>
  <c r="P236" i="3" l="1"/>
  <c r="P221" i="2"/>
  <c r="P209" i="4"/>
  <c r="P224" i="2" l="1"/>
  <c r="P239" i="3"/>
  <c r="P212" i="4"/>
  <c r="P227" i="2" l="1"/>
  <c r="P215" i="4"/>
  <c r="P242" i="3"/>
  <c r="P218" i="4" l="1"/>
  <c r="P230" i="2"/>
  <c r="P233" i="2" s="1"/>
  <c r="P245" i="3"/>
  <c r="P248" i="3" l="1"/>
  <c r="P221" i="4"/>
  <c r="P236" i="2" l="1"/>
  <c r="P251" i="3"/>
  <c r="P224" i="4"/>
  <c r="P254" i="3" l="1"/>
  <c r="P227" i="4"/>
  <c r="P239" i="2"/>
  <c r="P230" i="4" l="1"/>
  <c r="P257" i="3"/>
  <c r="P242" i="2"/>
  <c r="P245" i="2" l="1"/>
  <c r="P233" i="4"/>
  <c r="P260" i="3"/>
  <c r="P263" i="3" l="1"/>
  <c r="P248" i="2"/>
  <c r="P236" i="4"/>
  <c r="P239" i="4" l="1"/>
  <c r="P251" i="2"/>
  <c r="P266" i="3"/>
  <c r="P254" i="2" l="1"/>
  <c r="P269" i="3"/>
  <c r="P242" i="4"/>
  <c r="P245" i="4" l="1"/>
  <c r="P272" i="3"/>
  <c r="P257" i="2"/>
  <c r="P260" i="2" l="1"/>
  <c r="P248" i="4"/>
  <c r="P275" i="3"/>
  <c r="P284" i="1"/>
  <c r="P278" i="3" l="1"/>
  <c r="P263" i="2"/>
  <c r="P287" i="1"/>
  <c r="P251" i="4"/>
  <c r="P254" i="4" l="1"/>
  <c r="P290" i="1"/>
  <c r="P266" i="2"/>
  <c r="P281" i="3"/>
  <c r="P269" i="2" l="1"/>
  <c r="P293" i="1"/>
  <c r="P284" i="3"/>
  <c r="P257" i="4"/>
  <c r="P287" i="3" l="1"/>
  <c r="P272" i="2"/>
  <c r="P260" i="4"/>
  <c r="P296" i="1"/>
  <c r="P263" i="4" l="1"/>
  <c r="P290" i="3"/>
  <c r="P299" i="1"/>
  <c r="P275" i="2"/>
  <c r="P302" i="1" l="1"/>
  <c r="P278" i="2"/>
  <c r="P293" i="3"/>
  <c r="P266" i="4"/>
  <c r="P269" i="4" l="1"/>
  <c r="P296" i="3"/>
  <c r="P305" i="1"/>
  <c r="P281" i="2"/>
  <c r="P284" i="2" l="1"/>
  <c r="P308" i="1"/>
  <c r="P299" i="3"/>
  <c r="P272" i="4"/>
  <c r="P275" i="4" l="1"/>
  <c r="P302" i="3"/>
  <c r="P311" i="1"/>
  <c r="P287" i="2"/>
  <c r="P314" i="1" l="1"/>
  <c r="P290" i="2"/>
  <c r="P305" i="3"/>
  <c r="P278" i="4"/>
  <c r="P293" i="2" l="1"/>
  <c r="P317" i="1"/>
  <c r="P281" i="4"/>
  <c r="P308" i="3"/>
  <c r="P311" i="3" l="1"/>
  <c r="P296" i="2"/>
  <c r="P284" i="4"/>
  <c r="P320" i="1"/>
  <c r="P323" i="1" l="1"/>
  <c r="P299" i="2"/>
  <c r="P314" i="3"/>
  <c r="P287" i="4"/>
  <c r="P290" i="4" l="1"/>
  <c r="P326" i="1"/>
  <c r="P317" i="3"/>
  <c r="P302" i="2"/>
  <c r="P305" i="2" l="1"/>
  <c r="P320" i="3"/>
  <c r="P293" i="4"/>
  <c r="P329" i="1"/>
  <c r="P332" i="1" l="1"/>
  <c r="P296" i="4"/>
  <c r="P323" i="3"/>
  <c r="P308" i="2"/>
  <c r="P335" i="1" l="1"/>
  <c r="P311" i="2"/>
  <c r="P326" i="3"/>
  <c r="P299" i="4"/>
  <c r="P338" i="1" l="1"/>
  <c r="P302" i="4"/>
  <c r="P329" i="3"/>
  <c r="P314" i="2"/>
  <c r="P341" i="1" l="1"/>
  <c r="P332" i="3"/>
  <c r="P305" i="4"/>
  <c r="P317" i="2"/>
  <c r="P344" i="1" l="1"/>
  <c r="P320" i="2"/>
  <c r="P308" i="4"/>
  <c r="P335" i="3"/>
  <c r="P347" i="1" l="1"/>
  <c r="P338" i="3"/>
  <c r="P311" i="4"/>
  <c r="P323" i="2"/>
  <c r="P350" i="1" l="1"/>
  <c r="P326" i="2"/>
  <c r="P341" i="3"/>
  <c r="P314" i="4"/>
  <c r="P353" i="1" l="1"/>
  <c r="P344" i="3"/>
  <c r="P317" i="4"/>
  <c r="P329" i="2"/>
  <c r="P347" i="3" l="1"/>
  <c r="P356" i="1"/>
  <c r="P332" i="2"/>
  <c r="P320" i="4"/>
  <c r="P350" i="3" l="1"/>
  <c r="P335" i="2"/>
  <c r="P359" i="1"/>
  <c r="P323" i="4"/>
  <c r="P353" i="3" l="1"/>
  <c r="P338" i="2"/>
  <c r="P362" i="1"/>
  <c r="P326" i="4"/>
  <c r="P356" i="3" l="1"/>
  <c r="P341" i="2"/>
  <c r="P365" i="1"/>
  <c r="P329" i="4"/>
  <c r="P359" i="3" l="1"/>
  <c r="P344" i="2"/>
  <c r="P368" i="1"/>
  <c r="P332" i="4"/>
  <c r="P362" i="3" l="1"/>
  <c r="P371" i="1"/>
  <c r="P347" i="2"/>
  <c r="P335" i="4"/>
  <c r="P365" i="3" l="1"/>
  <c r="P374" i="1"/>
  <c r="P350" i="2"/>
  <c r="P338" i="4"/>
  <c r="P368" i="3" l="1"/>
  <c r="P377" i="1"/>
  <c r="P380" i="1" s="1"/>
  <c r="P383" i="1" s="1"/>
  <c r="P386" i="1" s="1"/>
  <c r="P389" i="1" s="1"/>
  <c r="P392" i="1" s="1"/>
  <c r="P395" i="1" s="1"/>
  <c r="P398" i="1" s="1"/>
  <c r="P401" i="1" s="1"/>
  <c r="P404" i="1" s="1"/>
  <c r="P407" i="1" s="1"/>
  <c r="P410" i="1" s="1"/>
  <c r="P413" i="1" s="1"/>
  <c r="P416" i="1" s="1"/>
  <c r="P419" i="1" s="1"/>
  <c r="P422" i="1" s="1"/>
  <c r="P425" i="1" s="1"/>
  <c r="P428" i="1" s="1"/>
  <c r="P431" i="1" s="1"/>
  <c r="P434" i="1" s="1"/>
  <c r="P437" i="1" s="1"/>
  <c r="P440" i="1" s="1"/>
  <c r="P443" i="1" s="1"/>
  <c r="P446" i="1" s="1"/>
  <c r="P449" i="1" s="1"/>
  <c r="P452" i="1" s="1"/>
  <c r="P455" i="1" s="1"/>
  <c r="P458" i="1" s="1"/>
  <c r="P461" i="1" s="1"/>
  <c r="P464" i="1" s="1"/>
  <c r="P467" i="1" s="1"/>
  <c r="P470" i="1" s="1"/>
  <c r="P473" i="1" s="1"/>
  <c r="P476" i="1" s="1"/>
  <c r="P479" i="1" s="1"/>
  <c r="P482" i="1" s="1"/>
  <c r="P485" i="1" s="1"/>
  <c r="P488" i="1" s="1"/>
  <c r="P491" i="1" s="1"/>
  <c r="P494" i="1" s="1"/>
  <c r="P497" i="1" s="1"/>
  <c r="P353" i="2"/>
  <c r="P341" i="4"/>
  <c r="P371" i="3" l="1"/>
  <c r="P356" i="2"/>
  <c r="P344" i="4"/>
  <c r="P374" i="3" l="1"/>
  <c r="P359" i="2"/>
  <c r="P347" i="4"/>
  <c r="P377" i="3" l="1"/>
  <c r="P362" i="2"/>
  <c r="P350" i="4"/>
  <c r="P380" i="3" l="1"/>
  <c r="P365" i="2"/>
  <c r="P353" i="4"/>
  <c r="P383" i="3" l="1"/>
  <c r="P386" i="3" s="1"/>
  <c r="P389" i="3" s="1"/>
  <c r="P392" i="3" s="1"/>
  <c r="P395" i="3" s="1"/>
  <c r="P398" i="3" s="1"/>
  <c r="P401" i="3" s="1"/>
  <c r="P404" i="3" s="1"/>
  <c r="P407" i="3" s="1"/>
  <c r="P410" i="3" s="1"/>
  <c r="P413" i="3" s="1"/>
  <c r="P416" i="3" s="1"/>
  <c r="P419" i="3" s="1"/>
  <c r="P422" i="3" s="1"/>
  <c r="P425" i="3" s="1"/>
  <c r="P428" i="3" s="1"/>
  <c r="P431" i="3" s="1"/>
  <c r="P434" i="3" s="1"/>
  <c r="P437" i="3" s="1"/>
  <c r="P440" i="3" s="1"/>
  <c r="P443" i="3" s="1"/>
  <c r="P446" i="3" s="1"/>
  <c r="P449" i="3" s="1"/>
  <c r="P452" i="3" s="1"/>
  <c r="P455" i="3" s="1"/>
  <c r="P458" i="3" s="1"/>
  <c r="P461" i="3" s="1"/>
  <c r="P464" i="3" s="1"/>
  <c r="P467" i="3" s="1"/>
  <c r="P470" i="3" s="1"/>
  <c r="P473" i="3" s="1"/>
  <c r="P476" i="3" s="1"/>
  <c r="P479" i="3" s="1"/>
  <c r="P482" i="3" s="1"/>
  <c r="P485" i="3" s="1"/>
  <c r="P488" i="3" s="1"/>
  <c r="P491" i="3" s="1"/>
  <c r="P494" i="3" s="1"/>
  <c r="P497" i="3" s="1"/>
  <c r="P500" i="3" s="1"/>
  <c r="P503" i="3" s="1"/>
  <c r="P506" i="3" s="1"/>
  <c r="P368" i="2"/>
  <c r="P356" i="4"/>
  <c r="P371" i="2" l="1"/>
  <c r="P359" i="4"/>
  <c r="P362" i="4" l="1"/>
  <c r="P374" i="2"/>
  <c r="P365" i="4" l="1"/>
  <c r="P377" i="2"/>
  <c r="P380" i="2" s="1"/>
  <c r="P383" i="2" s="1"/>
  <c r="P386" i="2" s="1"/>
  <c r="P389" i="2" s="1"/>
  <c r="P392" i="2" s="1"/>
  <c r="P395" i="2" s="1"/>
  <c r="P398" i="2" s="1"/>
  <c r="P401" i="2" s="1"/>
  <c r="P404" i="2" s="1"/>
  <c r="P407" i="2" s="1"/>
  <c r="P410" i="2" s="1"/>
  <c r="P413" i="2" s="1"/>
  <c r="P416" i="2" s="1"/>
  <c r="P419" i="2" s="1"/>
  <c r="P422" i="2" s="1"/>
  <c r="P425" i="2" s="1"/>
  <c r="P428" i="2" s="1"/>
  <c r="P431" i="2" s="1"/>
  <c r="P434" i="2" s="1"/>
  <c r="P437" i="2" s="1"/>
  <c r="P440" i="2" s="1"/>
  <c r="P443" i="2" s="1"/>
  <c r="P446" i="2" s="1"/>
  <c r="P449" i="2" s="1"/>
  <c r="P452" i="2" s="1"/>
  <c r="P455" i="2" s="1"/>
  <c r="P458" i="2" s="1"/>
  <c r="P461" i="2" s="1"/>
  <c r="P464" i="2" s="1"/>
  <c r="P467" i="2" s="1"/>
  <c r="P470" i="2" s="1"/>
  <c r="P473" i="2" s="1"/>
  <c r="P476" i="2" s="1"/>
  <c r="P479" i="2" s="1"/>
  <c r="P482" i="2" s="1"/>
  <c r="P485" i="2" s="1"/>
  <c r="P488" i="2" s="1"/>
  <c r="P491" i="2" s="1"/>
  <c r="P494" i="2" s="1"/>
  <c r="P497" i="2" s="1"/>
  <c r="P368" i="4" l="1"/>
  <c r="P371" i="4" l="1"/>
  <c r="P374" i="4" l="1"/>
  <c r="P377" i="4" l="1"/>
  <c r="P380" i="4" l="1"/>
  <c r="P383" i="4" s="1"/>
  <c r="P386" i="4" s="1"/>
  <c r="P389" i="4" s="1"/>
  <c r="P392" i="4" s="1"/>
  <c r="P395" i="4" s="1"/>
  <c r="P398" i="4" s="1"/>
  <c r="P401" i="4" s="1"/>
  <c r="P404" i="4" s="1"/>
  <c r="P407" i="4" s="1"/>
  <c r="P410" i="4" s="1"/>
  <c r="P413" i="4" s="1"/>
  <c r="P416" i="4" s="1"/>
  <c r="P419" i="4" s="1"/>
  <c r="P422" i="4" s="1"/>
  <c r="P425" i="4" s="1"/>
  <c r="P428" i="4" s="1"/>
  <c r="P431" i="4" s="1"/>
  <c r="P434" i="4" s="1"/>
  <c r="P437" i="4" s="1"/>
  <c r="P440" i="4" s="1"/>
  <c r="P443" i="4" s="1"/>
  <c r="P446" i="4" s="1"/>
  <c r="P449" i="4" s="1"/>
  <c r="P452" i="4" s="1"/>
  <c r="P455" i="4" s="1"/>
  <c r="P458" i="4" s="1"/>
  <c r="P461" i="4" s="1"/>
  <c r="P464" i="4" s="1"/>
  <c r="P467" i="4" s="1"/>
  <c r="P470" i="4" s="1"/>
  <c r="P473" i="4" s="1"/>
  <c r="P476" i="4" s="1"/>
  <c r="P479" i="4" s="1"/>
  <c r="P482" i="4" s="1"/>
  <c r="P485" i="4" s="1"/>
  <c r="P488" i="4" s="1"/>
  <c r="P491" i="4" s="1"/>
  <c r="P494" i="4" s="1"/>
  <c r="P497" i="4" s="1"/>
  <c r="P500" i="4" s="1"/>
</calcChain>
</file>

<file path=xl/sharedStrings.xml><?xml version="1.0" encoding="utf-8"?>
<sst xmlns="http://schemas.openxmlformats.org/spreadsheetml/2006/main" count="2434" uniqueCount="81">
  <si>
    <t>Date</t>
  </si>
  <si>
    <t>Cells/ml</t>
  </si>
  <si>
    <t>Pop doubling</t>
  </si>
  <si>
    <t>June 4 2021</t>
  </si>
  <si>
    <t>3% FBS R3</t>
  </si>
  <si>
    <t>June 8 2021</t>
  </si>
  <si>
    <t>June 11 2021</t>
  </si>
  <si>
    <t>June 15 2021</t>
  </si>
  <si>
    <t>June 22 2021</t>
  </si>
  <si>
    <t>June 29 2021</t>
  </si>
  <si>
    <t>July 6 2021</t>
  </si>
  <si>
    <t>July 13 2021</t>
  </si>
  <si>
    <t>July 20 2021</t>
  </si>
  <si>
    <t>July 27 2021</t>
  </si>
  <si>
    <t>Aug 3 2021</t>
  </si>
  <si>
    <t>Aug 10 2021</t>
  </si>
  <si>
    <t>Aug 17 2021</t>
  </si>
  <si>
    <t>Aug 26 2021</t>
  </si>
  <si>
    <t>Sept 7 2021</t>
  </si>
  <si>
    <t>Sept 14 2021</t>
  </si>
  <si>
    <t>Sept 21 2021</t>
  </si>
  <si>
    <t>Sept 28 2021</t>
  </si>
  <si>
    <t>Oct 5 2021</t>
  </si>
  <si>
    <t>Oct 12 2021</t>
  </si>
  <si>
    <t>Oct 19 2021</t>
  </si>
  <si>
    <t>Oct 26 2021</t>
  </si>
  <si>
    <t>Nov 2 2021</t>
  </si>
  <si>
    <t>Nov 9 2021</t>
  </si>
  <si>
    <t>Nov 17 2021</t>
  </si>
  <si>
    <t>Nov 23 2021</t>
  </si>
  <si>
    <t>Nov 30 2021</t>
  </si>
  <si>
    <t>Dec 7 2021</t>
  </si>
  <si>
    <t>Dec 14 2021</t>
  </si>
  <si>
    <t>Dec 21 2021</t>
  </si>
  <si>
    <t>Dec 28 2021</t>
  </si>
  <si>
    <t>Jan 3 2022</t>
  </si>
  <si>
    <t>Jan 10 2022</t>
  </si>
  <si>
    <t>Jan 18 2022</t>
  </si>
  <si>
    <t>Jan 24 2022</t>
  </si>
  <si>
    <t>Feb 1 2022</t>
  </si>
  <si>
    <t>Feb 7 2022</t>
  </si>
  <si>
    <t>5% FBS R2</t>
  </si>
  <si>
    <t>10% FBS R1</t>
  </si>
  <si>
    <t>15% FBS R1</t>
  </si>
  <si>
    <t>3% FBS</t>
  </si>
  <si>
    <t>5% FBS</t>
  </si>
  <si>
    <t>10% FBS</t>
  </si>
  <si>
    <t>15% FBS</t>
  </si>
  <si>
    <t>Day</t>
  </si>
  <si>
    <t>reseeded 6 million cells on 2 flasks</t>
  </si>
  <si>
    <t>reseeded all cells on 2 flasks</t>
  </si>
  <si>
    <t>Note that we changed to a 2X dilution instead of a 5X dilution for cell counting</t>
  </si>
  <si>
    <t>Note that the dilution for cell counting was changed to 5X instead of 2X due to vigorous growth of cells</t>
  </si>
  <si>
    <t>Experiment Day</t>
  </si>
  <si>
    <t>Media</t>
  </si>
  <si>
    <t>Cell state</t>
  </si>
  <si>
    <t>Cell Counts (hemocytometer)</t>
  </si>
  <si>
    <t>Average cell counts</t>
  </si>
  <si>
    <t>Number cells seeded</t>
  </si>
  <si>
    <t>Total cells</t>
  </si>
  <si>
    <t>Viability % live cells</t>
  </si>
  <si>
    <t>Ch1</t>
  </si>
  <si>
    <t>Ch2</t>
  </si>
  <si>
    <t>Ch3</t>
  </si>
  <si>
    <t>Ch4</t>
  </si>
  <si>
    <t>Live</t>
  </si>
  <si>
    <t>Dead</t>
  </si>
  <si>
    <t>Red</t>
  </si>
  <si>
    <t>Cumulative population doubling</t>
  </si>
  <si>
    <t>% Red cells</t>
  </si>
  <si>
    <t>Lv Blastula Cell Culture in Urchin Media (UM) with 3% FBS</t>
  </si>
  <si>
    <t>Lv Blastula Cell Culture in Urchin Media (UM) with 5% FBS</t>
  </si>
  <si>
    <t>Lv Blastula Cell Culture in Urchin Media (UM) with 10% FBS</t>
  </si>
  <si>
    <t>Lv Blastula Cell Culture in Urchin Media (UM) with 15% FBS</t>
  </si>
  <si>
    <r>
      <t xml:space="preserve">Table S4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cultured in Urchin Media with 3% FBS</t>
    </r>
  </si>
  <si>
    <r>
      <t xml:space="preserve">Table S4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cultured in Urchin Media with 5% FBS</t>
    </r>
  </si>
  <si>
    <r>
      <t xml:space="preserve">Table S4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cultured in Urchin Media with 10% FBS</t>
    </r>
  </si>
  <si>
    <r>
      <t xml:space="preserve">Table S4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cultured in Urchin Media with 15% FBS</t>
    </r>
  </si>
  <si>
    <r>
      <t xml:space="preserve">Table S4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summary of growth in all media conditions</t>
    </r>
  </si>
  <si>
    <r>
      <t xml:space="preserve">Table S4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summary of viability in all media conditions</t>
    </r>
  </si>
  <si>
    <r>
      <t xml:space="preserve">Table S4 – Growth and viability of </t>
    </r>
    <r>
      <rPr>
        <b/>
        <i/>
        <sz val="11"/>
        <color theme="1"/>
        <rFont val="Arial"/>
        <family val="2"/>
      </rPr>
      <t>L. variegatus</t>
    </r>
    <r>
      <rPr>
        <b/>
        <sz val="11"/>
        <color theme="1"/>
        <rFont val="Arial"/>
        <family val="2"/>
      </rPr>
      <t xml:space="preserve"> embryonic cells - percent of red cells in all media conditions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</si>
</sst>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19C3FF"/>
        <bgColor indexed="64"/>
      </patternFill>
    </fill>
    <fill>
      <patternFill patternType="solid">
        <fgColor rgb="FFCAA5E5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rgb="FFFF898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6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43" fontId="3" fillId="0" borderId="1" xfId="0" applyNumberFormat="1" applyFont="1" applyBorder="1"/>
    <xf numFmtId="0" fontId="3" fillId="0" borderId="1" xfId="0" applyFont="1" applyBorder="1" applyAlignment="1">
      <alignment horizontal="right" wrapText="1"/>
    </xf>
    <xf numFmtId="11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11" fontId="5" fillId="0" borderId="0" xfId="0" applyNumberFormat="1" applyFont="1"/>
    <xf numFmtId="0" fontId="3" fillId="0" borderId="4" xfId="0" applyFont="1" applyBorder="1" applyAlignment="1">
      <alignment horizontal="right" wrapText="1"/>
    </xf>
    <xf numFmtId="49" fontId="5" fillId="0" borderId="0" xfId="0" applyNumberFormat="1" applyFont="1"/>
    <xf numFmtId="0" fontId="3" fillId="2" borderId="1" xfId="0" applyFont="1" applyFill="1" applyBorder="1"/>
    <xf numFmtId="0" fontId="3" fillId="2" borderId="6" xfId="0" applyFont="1" applyFill="1" applyBorder="1"/>
    <xf numFmtId="14" fontId="3" fillId="0" borderId="1" xfId="0" applyNumberFormat="1" applyFont="1" applyBorder="1"/>
    <xf numFmtId="2" fontId="0" fillId="0" borderId="0" xfId="0" applyNumberFormat="1"/>
    <xf numFmtId="3" fontId="3" fillId="0" borderId="1" xfId="0" applyNumberFormat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16" fontId="3" fillId="0" borderId="7" xfId="0" applyNumberFormat="1" applyFont="1" applyBorder="1"/>
    <xf numFmtId="0" fontId="3" fillId="0" borderId="7" xfId="0" applyFont="1" applyBorder="1"/>
    <xf numFmtId="0" fontId="3" fillId="0" borderId="7" xfId="0" applyFont="1" applyBorder="1" applyAlignment="1">
      <alignment horizontal="right" wrapText="1"/>
    </xf>
    <xf numFmtId="164" fontId="3" fillId="0" borderId="7" xfId="0" applyNumberFormat="1" applyFont="1" applyBorder="1"/>
    <xf numFmtId="43" fontId="3" fillId="0" borderId="7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14" fontId="3" fillId="0" borderId="7" xfId="0" applyNumberFormat="1" applyFont="1" applyBorder="1"/>
    <xf numFmtId="0" fontId="4" fillId="0" borderId="7" xfId="0" applyFont="1" applyBorder="1" applyAlignment="1">
      <alignment horizontal="right"/>
    </xf>
    <xf numFmtId="16" fontId="3" fillId="0" borderId="8" xfId="0" applyNumberFormat="1" applyFont="1" applyBorder="1"/>
    <xf numFmtId="0" fontId="3" fillId="0" borderId="8" xfId="0" applyFont="1" applyBorder="1"/>
    <xf numFmtId="164" fontId="3" fillId="0" borderId="8" xfId="0" applyNumberFormat="1" applyFont="1" applyBorder="1"/>
    <xf numFmtId="43" fontId="3" fillId="0" borderId="8" xfId="0" applyNumberFormat="1" applyFont="1" applyBorder="1"/>
    <xf numFmtId="0" fontId="0" fillId="0" borderId="2" xfId="0" applyBorder="1"/>
    <xf numFmtId="0" fontId="2" fillId="0" borderId="2" xfId="0" applyFont="1" applyBorder="1"/>
    <xf numFmtId="4" fontId="3" fillId="0" borderId="2" xfId="0" applyNumberFormat="1" applyFont="1" applyBorder="1" applyAlignment="1">
      <alignment horizontal="right"/>
    </xf>
    <xf numFmtId="11" fontId="3" fillId="0" borderId="2" xfId="0" applyNumberFormat="1" applyFont="1" applyBorder="1" applyAlignment="1">
      <alignment horizontal="right"/>
    </xf>
    <xf numFmtId="11" fontId="3" fillId="0" borderId="2" xfId="0" applyNumberFormat="1" applyFont="1" applyBorder="1"/>
    <xf numFmtId="0" fontId="4" fillId="0" borderId="2" xfId="0" applyFont="1" applyBorder="1"/>
    <xf numFmtId="0" fontId="5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readingOrder="1"/>
    </xf>
    <xf numFmtId="0" fontId="5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8" xfId="0" applyFont="1" applyBorder="1" applyAlignment="1">
      <alignment horizontal="right"/>
    </xf>
    <xf numFmtId="3" fontId="3" fillId="0" borderId="6" xfId="0" applyNumberFormat="1" applyFont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readingOrder="1"/>
    </xf>
    <xf numFmtId="0" fontId="6" fillId="0" borderId="1" xfId="0" applyFont="1" applyBorder="1" applyAlignment="1">
      <alignment horizontal="right" wrapText="1"/>
    </xf>
    <xf numFmtId="164" fontId="3" fillId="0" borderId="1" xfId="0" applyNumberFormat="1" applyFont="1" applyBorder="1"/>
    <xf numFmtId="0" fontId="6" fillId="0" borderId="1" xfId="0" applyFont="1" applyBorder="1"/>
    <xf numFmtId="0" fontId="6" fillId="0" borderId="5" xfId="0" applyFont="1" applyBorder="1"/>
    <xf numFmtId="0" fontId="7" fillId="0" borderId="1" xfId="0" applyFont="1" applyBorder="1" applyAlignment="1">
      <alignment horizontal="right" wrapText="1"/>
    </xf>
    <xf numFmtId="0" fontId="6" fillId="0" borderId="6" xfId="0" applyFont="1" applyBorder="1"/>
    <xf numFmtId="164" fontId="6" fillId="0" borderId="1" xfId="0" applyNumberFormat="1" applyFont="1" applyBorder="1"/>
    <xf numFmtId="43" fontId="6" fillId="0" borderId="1" xfId="0" applyNumberFormat="1" applyFont="1" applyBorder="1"/>
    <xf numFmtId="0" fontId="1" fillId="0" borderId="0" xfId="0" applyFont="1"/>
    <xf numFmtId="14" fontId="6" fillId="0" borderId="1" xfId="0" applyNumberFormat="1" applyFont="1" applyBorder="1"/>
    <xf numFmtId="0" fontId="6" fillId="0" borderId="7" xfId="0" applyFont="1" applyBorder="1"/>
    <xf numFmtId="164" fontId="6" fillId="0" borderId="7" xfId="0" applyNumberFormat="1" applyFont="1" applyBorder="1"/>
    <xf numFmtId="43" fontId="6" fillId="0" borderId="7" xfId="0" applyNumberFormat="1" applyFont="1" applyBorder="1"/>
    <xf numFmtId="0" fontId="5" fillId="0" borderId="2" xfId="0" applyFont="1" applyBorder="1"/>
    <xf numFmtId="4" fontId="6" fillId="0" borderId="2" xfId="0" applyNumberFormat="1" applyFont="1" applyBorder="1" applyAlignment="1">
      <alignment horizontal="right"/>
    </xf>
    <xf numFmtId="11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0" fontId="8" fillId="0" borderId="2" xfId="0" applyFont="1" applyBorder="1"/>
    <xf numFmtId="0" fontId="1" fillId="0" borderId="2" xfId="0" applyFont="1" applyBorder="1"/>
    <xf numFmtId="0" fontId="6" fillId="3" borderId="6" xfId="0" applyFont="1" applyFill="1" applyBorder="1"/>
    <xf numFmtId="3" fontId="6" fillId="0" borderId="1" xfId="0" applyNumberFormat="1" applyFont="1" applyBorder="1"/>
    <xf numFmtId="2" fontId="3" fillId="0" borderId="5" xfId="0" applyNumberFormat="1" applyFont="1" applyBorder="1"/>
    <xf numFmtId="2" fontId="6" fillId="0" borderId="5" xfId="0" applyNumberFormat="1" applyFont="1" applyBorder="1"/>
    <xf numFmtId="164" fontId="3" fillId="0" borderId="9" xfId="0" applyNumberFormat="1" applyFont="1" applyBorder="1"/>
    <xf numFmtId="43" fontId="3" fillId="0" borderId="4" xfId="0" applyNumberFormat="1" applyFont="1" applyBorder="1"/>
    <xf numFmtId="1" fontId="3" fillId="0" borderId="1" xfId="0" applyNumberFormat="1" applyFont="1" applyBorder="1"/>
    <xf numFmtId="0" fontId="7" fillId="0" borderId="1" xfId="0" applyFont="1" applyBorder="1"/>
    <xf numFmtId="0" fontId="7" fillId="0" borderId="6" xfId="0" applyFont="1" applyBorder="1"/>
    <xf numFmtId="14" fontId="7" fillId="0" borderId="1" xfId="0" applyNumberFormat="1" applyFont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6" fillId="0" borderId="7" xfId="0" applyNumberFormat="1" applyFont="1" applyBorder="1"/>
    <xf numFmtId="14" fontId="3" fillId="0" borderId="3" xfId="0" applyNumberFormat="1" applyFont="1" applyBorder="1"/>
    <xf numFmtId="0" fontId="3" fillId="0" borderId="3" xfId="0" applyFont="1" applyBorder="1" applyAlignment="1">
      <alignment horizontal="right"/>
    </xf>
    <xf numFmtId="2" fontId="3" fillId="0" borderId="3" xfId="0" applyNumberFormat="1" applyFont="1" applyBorder="1"/>
    <xf numFmtId="43" fontId="3" fillId="0" borderId="3" xfId="0" applyNumberFormat="1" applyFont="1" applyBorder="1"/>
    <xf numFmtId="16" fontId="3" fillId="0" borderId="3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6" xfId="0" applyFont="1" applyBorder="1" applyAlignment="1">
      <alignment horizontal="right" wrapText="1"/>
    </xf>
    <xf numFmtId="0" fontId="6" fillId="0" borderId="4" xfId="0" applyFont="1" applyBorder="1"/>
    <xf numFmtId="0" fontId="6" fillId="0" borderId="18" xfId="0" applyFont="1" applyBorder="1"/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/>
    <xf numFmtId="0" fontId="10" fillId="0" borderId="7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7" xfId="0" applyFont="1" applyBorder="1"/>
    <xf numFmtId="0" fontId="11" fillId="0" borderId="7" xfId="0" applyFont="1" applyBorder="1"/>
    <xf numFmtId="0" fontId="0" fillId="4" borderId="29" xfId="0" applyFill="1" applyBorder="1"/>
    <xf numFmtId="0" fontId="0" fillId="4" borderId="30" xfId="0" applyFill="1" applyBorder="1"/>
    <xf numFmtId="0" fontId="0" fillId="4" borderId="29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12" fillId="5" borderId="29" xfId="0" applyFont="1" applyFill="1" applyBorder="1"/>
    <xf numFmtId="0" fontId="12" fillId="0" borderId="0" xfId="0" applyFo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6" fillId="0" borderId="7" xfId="0" applyFont="1" applyBorder="1" applyAlignment="1">
      <alignment horizontal="center"/>
    </xf>
    <xf numFmtId="0" fontId="2" fillId="5" borderId="28" xfId="0" applyFont="1" applyFill="1" applyBorder="1"/>
    <xf numFmtId="0" fontId="2" fillId="4" borderId="28" xfId="0" applyFont="1" applyFill="1" applyBorder="1"/>
    <xf numFmtId="0" fontId="2" fillId="6" borderId="28" xfId="0" applyFont="1" applyFill="1" applyBorder="1"/>
    <xf numFmtId="0" fontId="0" fillId="6" borderId="29" xfId="0" applyFill="1" applyBorder="1" applyAlignment="1">
      <alignment horizontal="center"/>
    </xf>
    <xf numFmtId="0" fontId="0" fillId="6" borderId="29" xfId="0" applyFill="1" applyBorder="1"/>
    <xf numFmtId="0" fontId="0" fillId="6" borderId="30" xfId="0" applyFill="1" applyBorder="1"/>
    <xf numFmtId="0" fontId="10" fillId="6" borderId="29" xfId="0" applyFont="1" applyFill="1" applyBorder="1"/>
    <xf numFmtId="0" fontId="10" fillId="0" borderId="3" xfId="0" applyFont="1" applyBorder="1"/>
    <xf numFmtId="0" fontId="10" fillId="0" borderId="1" xfId="0" applyFont="1" applyBorder="1"/>
    <xf numFmtId="0" fontId="10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7" borderId="28" xfId="0" applyFont="1" applyFill="1" applyBorder="1"/>
    <xf numFmtId="0" fontId="0" fillId="7" borderId="29" xfId="0" applyFill="1" applyBorder="1" applyAlignment="1">
      <alignment horizontal="center"/>
    </xf>
    <xf numFmtId="0" fontId="10" fillId="7" borderId="29" xfId="0" applyFont="1" applyFill="1" applyBorder="1"/>
    <xf numFmtId="0" fontId="0" fillId="7" borderId="29" xfId="0" applyFill="1" applyBorder="1"/>
    <xf numFmtId="0" fontId="0" fillId="7" borderId="30" xfId="0" applyFill="1" applyBorder="1"/>
    <xf numFmtId="0" fontId="13" fillId="0" borderId="5" xfId="0" applyFont="1" applyBorder="1"/>
    <xf numFmtId="0" fontId="7" fillId="0" borderId="1" xfId="0" applyFont="1" applyBorder="1" applyAlignment="1">
      <alignment horizontal="center"/>
    </xf>
    <xf numFmtId="0" fontId="2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B6DF89"/>
      <color rgb="FFCAA5E5"/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2.5428331875182269E-2"/>
          <c:w val="0.72597462817147862"/>
          <c:h val="0.73577136191309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'Growth Summary'!$B$2</c:f>
              <c:strCache>
                <c:ptCount val="1"/>
                <c:pt idx="0">
                  <c:v>3% FBS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'Growth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'Growth Summary'!$B$3:$B$168</c:f>
              <c:numCache>
                <c:formatCode>0.00</c:formatCode>
                <c:ptCount val="166"/>
                <c:pt idx="0" formatCode="General">
                  <c:v>0</c:v>
                </c:pt>
                <c:pt idx="1">
                  <c:v>2.2799999999999998</c:v>
                </c:pt>
                <c:pt idx="2">
                  <c:v>3.3382790919130487</c:v>
                </c:pt>
                <c:pt idx="3">
                  <c:v>3.4973852856060965</c:v>
                </c:pt>
                <c:pt idx="4">
                  <c:v>3.5446635434666032</c:v>
                </c:pt>
                <c:pt idx="5">
                  <c:v>3.9229554731253016</c:v>
                </c:pt>
                <c:pt idx="6">
                  <c:v>4.3556635845287204</c:v>
                </c:pt>
                <c:pt idx="7">
                  <c:v>5.1278046663557086</c:v>
                </c:pt>
                <c:pt idx="8">
                  <c:v>5.1278046663557086</c:v>
                </c:pt>
                <c:pt idx="9">
                  <c:v>5.2663294561096432</c:v>
                </c:pt>
                <c:pt idx="10">
                  <c:v>5.2663294561096432</c:v>
                </c:pt>
                <c:pt idx="11">
                  <c:v>5.5343699021755839</c:v>
                </c:pt>
                <c:pt idx="12">
                  <c:v>5.5343699021755839</c:v>
                </c:pt>
                <c:pt idx="13">
                  <c:v>6.1014090340714162</c:v>
                </c:pt>
                <c:pt idx="14">
                  <c:v>6.4327307622066243</c:v>
                </c:pt>
                <c:pt idx="15">
                  <c:v>6.4327307622066243</c:v>
                </c:pt>
                <c:pt idx="16">
                  <c:v>6.8587481067087612</c:v>
                </c:pt>
                <c:pt idx="17">
                  <c:v>7.4109684269736249</c:v>
                </c:pt>
                <c:pt idx="18">
                  <c:v>7.6434941441113704</c:v>
                </c:pt>
                <c:pt idx="19">
                  <c:v>8.3060743623966466</c:v>
                </c:pt>
                <c:pt idx="20">
                  <c:v>8.3649338687052772</c:v>
                </c:pt>
                <c:pt idx="21">
                  <c:v>8.4466804854009396</c:v>
                </c:pt>
                <c:pt idx="22">
                  <c:v>8.4466804854009396</c:v>
                </c:pt>
                <c:pt idx="23">
                  <c:v>8.6666785355739453</c:v>
                </c:pt>
                <c:pt idx="24">
                  <c:v>8.6666785355739453</c:v>
                </c:pt>
                <c:pt idx="25">
                  <c:v>9.0669839871773661</c:v>
                </c:pt>
                <c:pt idx="26">
                  <c:v>9.0669839871773661</c:v>
                </c:pt>
                <c:pt idx="27">
                  <c:v>9.5354813898377309</c:v>
                </c:pt>
                <c:pt idx="28">
                  <c:v>10.079485974598112</c:v>
                </c:pt>
                <c:pt idx="29">
                  <c:v>10.281002804572104</c:v>
                </c:pt>
                <c:pt idx="30">
                  <c:v>10.281002804572104</c:v>
                </c:pt>
                <c:pt idx="31">
                  <c:v>10.673092520671046</c:v>
                </c:pt>
                <c:pt idx="32">
                  <c:v>11.831618299968509</c:v>
                </c:pt>
                <c:pt idx="33">
                  <c:v>12.94089177984015</c:v>
                </c:pt>
                <c:pt idx="34">
                  <c:v>14.512868520454518</c:v>
                </c:pt>
                <c:pt idx="35">
                  <c:v>16.193716405544627</c:v>
                </c:pt>
                <c:pt idx="36">
                  <c:v>19.048380326476085</c:v>
                </c:pt>
                <c:pt idx="37">
                  <c:v>21.530217356559024</c:v>
                </c:pt>
                <c:pt idx="38">
                  <c:v>23.20731528458111</c:v>
                </c:pt>
                <c:pt idx="39">
                  <c:v>24.392493535878305</c:v>
                </c:pt>
                <c:pt idx="40">
                  <c:v>24.594010365852295</c:v>
                </c:pt>
                <c:pt idx="41">
                  <c:v>24.846844273358187</c:v>
                </c:pt>
                <c:pt idx="42">
                  <c:v>25.532012802385882</c:v>
                </c:pt>
                <c:pt idx="43">
                  <c:v>26.092402309828962</c:v>
                </c:pt>
                <c:pt idx="44">
                  <c:v>26.461421810876217</c:v>
                </c:pt>
                <c:pt idx="45">
                  <c:v>26.461421810876217</c:v>
                </c:pt>
                <c:pt idx="46">
                  <c:v>26.93717364646534</c:v>
                </c:pt>
                <c:pt idx="47">
                  <c:v>27.900088556188901</c:v>
                </c:pt>
                <c:pt idx="48">
                  <c:v>28.975566949614503</c:v>
                </c:pt>
                <c:pt idx="49">
                  <c:v>30.371646327029492</c:v>
                </c:pt>
                <c:pt idx="50">
                  <c:v>33.347198194402132</c:v>
                </c:pt>
                <c:pt idx="51">
                  <c:v>34.462027972787133</c:v>
                </c:pt>
                <c:pt idx="52">
                  <c:v>36.93956094689819</c:v>
                </c:pt>
                <c:pt idx="53">
                  <c:v>39.608549160491364</c:v>
                </c:pt>
                <c:pt idx="54">
                  <c:v>39.920645834741997</c:v>
                </c:pt>
                <c:pt idx="55">
                  <c:v>42.955972383115956</c:v>
                </c:pt>
                <c:pt idx="56">
                  <c:v>43.188498100253703</c:v>
                </c:pt>
                <c:pt idx="57">
                  <c:v>44.71951021968129</c:v>
                </c:pt>
                <c:pt idx="58">
                  <c:v>48.243115185689931</c:v>
                </c:pt>
                <c:pt idx="59">
                  <c:v>49.417691494514841</c:v>
                </c:pt>
                <c:pt idx="60">
                  <c:v>52.572363899551618</c:v>
                </c:pt>
                <c:pt idx="61">
                  <c:v>53.099795225061108</c:v>
                </c:pt>
                <c:pt idx="62">
                  <c:v>54.391826625151353</c:v>
                </c:pt>
                <c:pt idx="63">
                  <c:v>57.735659526113402</c:v>
                </c:pt>
                <c:pt idx="64">
                  <c:v>57.905485900638709</c:v>
                </c:pt>
                <c:pt idx="65">
                  <c:v>58.605519073484153</c:v>
                </c:pt>
                <c:pt idx="66">
                  <c:v>59.055918912124397</c:v>
                </c:pt>
                <c:pt idx="67">
                  <c:v>59.348530726610228</c:v>
                </c:pt>
                <c:pt idx="68">
                  <c:v>61.05535873224003</c:v>
                </c:pt>
                <c:pt idx="69">
                  <c:v>62.005897105199701</c:v>
                </c:pt>
                <c:pt idx="70">
                  <c:v>62.873289829590782</c:v>
                </c:pt>
                <c:pt idx="71">
                  <c:v>63.314870939333808</c:v>
                </c:pt>
                <c:pt idx="72">
                  <c:v>63.915426210566139</c:v>
                </c:pt>
                <c:pt idx="73">
                  <c:v>65.152475439628674</c:v>
                </c:pt>
                <c:pt idx="74">
                  <c:v>67.597311827187127</c:v>
                </c:pt>
                <c:pt idx="75">
                  <c:v>68.884430589884659</c:v>
                </c:pt>
                <c:pt idx="76">
                  <c:v>69.378132712323946</c:v>
                </c:pt>
                <c:pt idx="77">
                  <c:v>69.448481185236147</c:v>
                </c:pt>
                <c:pt idx="78">
                  <c:v>70.601616836088425</c:v>
                </c:pt>
                <c:pt idx="79">
                  <c:v>72.404485655458416</c:v>
                </c:pt>
                <c:pt idx="80">
                  <c:v>74.532532805888081</c:v>
                </c:pt>
                <c:pt idx="81">
                  <c:v>76.289957500486253</c:v>
                </c:pt>
                <c:pt idx="82">
                  <c:v>76.289957500486253</c:v>
                </c:pt>
                <c:pt idx="83">
                  <c:v>77.346676984156474</c:v>
                </c:pt>
                <c:pt idx="84">
                  <c:v>78.526564008671897</c:v>
                </c:pt>
                <c:pt idx="85">
                  <c:v>80.098540749286258</c:v>
                </c:pt>
                <c:pt idx="86">
                  <c:v>83.235587970268796</c:v>
                </c:pt>
                <c:pt idx="87">
                  <c:v>85.058957481157719</c:v>
                </c:pt>
                <c:pt idx="88">
                  <c:v>86.06437232562817</c:v>
                </c:pt>
                <c:pt idx="89">
                  <c:v>86.286635667201807</c:v>
                </c:pt>
                <c:pt idx="90">
                  <c:v>86.902949102715354</c:v>
                </c:pt>
                <c:pt idx="91">
                  <c:v>87.062055296408403</c:v>
                </c:pt>
                <c:pt idx="92">
                  <c:v>87.062055296408403</c:v>
                </c:pt>
                <c:pt idx="93">
                  <c:v>88.847802936412521</c:v>
                </c:pt>
                <c:pt idx="94">
                  <c:v>88.847802936412521</c:v>
                </c:pt>
                <c:pt idx="95">
                  <c:v>88.847802936412521</c:v>
                </c:pt>
                <c:pt idx="96">
                  <c:v>88.886599654052162</c:v>
                </c:pt>
                <c:pt idx="97">
                  <c:v>89.04360943147752</c:v>
                </c:pt>
                <c:pt idx="98">
                  <c:v>89.440269223288084</c:v>
                </c:pt>
                <c:pt idx="99">
                  <c:v>89.440269223288084</c:v>
                </c:pt>
                <c:pt idx="100">
                  <c:v>89.73649019530275</c:v>
                </c:pt>
                <c:pt idx="101">
                  <c:v>89.73649019530275</c:v>
                </c:pt>
                <c:pt idx="102">
                  <c:v>90.148148915643191</c:v>
                </c:pt>
                <c:pt idx="103">
                  <c:v>91.683310268667725</c:v>
                </c:pt>
                <c:pt idx="104">
                  <c:v>91.683310268667725</c:v>
                </c:pt>
                <c:pt idx="105">
                  <c:v>91.683310268667725</c:v>
                </c:pt>
                <c:pt idx="106">
                  <c:v>94.851395400006282</c:v>
                </c:pt>
                <c:pt idx="107">
                  <c:v>96.148322756175673</c:v>
                </c:pt>
                <c:pt idx="108">
                  <c:v>96.34983958614967</c:v>
                </c:pt>
                <c:pt idx="109">
                  <c:v>96.465249778930257</c:v>
                </c:pt>
                <c:pt idx="110">
                  <c:v>96.558305141283071</c:v>
                </c:pt>
                <c:pt idx="111">
                  <c:v>97.102309726043458</c:v>
                </c:pt>
                <c:pt idx="112">
                  <c:v>97.895398261241709</c:v>
                </c:pt>
                <c:pt idx="113">
                  <c:v>99.367031379604583</c:v>
                </c:pt>
                <c:pt idx="114">
                  <c:v>99.367031379604583</c:v>
                </c:pt>
                <c:pt idx="115">
                  <c:v>100.25609106718859</c:v>
                </c:pt>
                <c:pt idx="116">
                  <c:v>101.49822621926664</c:v>
                </c:pt>
                <c:pt idx="117">
                  <c:v>101.49822621926664</c:v>
                </c:pt>
                <c:pt idx="118">
                  <c:v>102.10098601306049</c:v>
                </c:pt>
                <c:pt idx="119">
                  <c:v>103.84054359328138</c:v>
                </c:pt>
                <c:pt idx="120">
                  <c:v>103.84054359328138</c:v>
                </c:pt>
                <c:pt idx="121">
                  <c:v>103.84054359328138</c:v>
                </c:pt>
                <c:pt idx="122">
                  <c:v>104.34504275668674</c:v>
                </c:pt>
                <c:pt idx="123">
                  <c:v>104.34504275668674</c:v>
                </c:pt>
                <c:pt idx="124">
                  <c:v>106.27816564723859</c:v>
                </c:pt>
                <c:pt idx="125">
                  <c:v>107.07816958024918</c:v>
                </c:pt>
                <c:pt idx="126">
                  <c:v>108.689979176688</c:v>
                </c:pt>
                <c:pt idx="127">
                  <c:v>110.1831008847317</c:v>
                </c:pt>
                <c:pt idx="128">
                  <c:v>111.47021964742923</c:v>
                </c:pt>
                <c:pt idx="129">
                  <c:v>112.97184791513141</c:v>
                </c:pt>
                <c:pt idx="130">
                  <c:v>114.43043245864787</c:v>
                </c:pt>
                <c:pt idx="131">
                  <c:v>116.18073685393696</c:v>
                </c:pt>
                <c:pt idx="132">
                  <c:v>118.1119285040317</c:v>
                </c:pt>
                <c:pt idx="133">
                  <c:v>119.91479732340169</c:v>
                </c:pt>
                <c:pt idx="134">
                  <c:v>121.22146699825672</c:v>
                </c:pt>
                <c:pt idx="135">
                  <c:v>121.96519617201463</c:v>
                </c:pt>
                <c:pt idx="136">
                  <c:v>123.90267043631934</c:v>
                </c:pt>
                <c:pt idx="137">
                  <c:v>126.14168445496567</c:v>
                </c:pt>
                <c:pt idx="138">
                  <c:v>128.14651888504054</c:v>
                </c:pt>
                <c:pt idx="139">
                  <c:v>130.03619238461911</c:v>
                </c:pt>
                <c:pt idx="140">
                  <c:v>131.96107392538693</c:v>
                </c:pt>
                <c:pt idx="141">
                  <c:v>133.93873117575833</c:v>
                </c:pt>
                <c:pt idx="142">
                  <c:v>135.87933651117385</c:v>
                </c:pt>
                <c:pt idx="143">
                  <c:v>137.97404442646697</c:v>
                </c:pt>
                <c:pt idx="144">
                  <c:v>139.13257020576444</c:v>
                </c:pt>
                <c:pt idx="145">
                  <c:v>140.88287460105354</c:v>
                </c:pt>
                <c:pt idx="146">
                  <c:v>142.69260942234985</c:v>
                </c:pt>
                <c:pt idx="147">
                  <c:v>144.18145895636457</c:v>
                </c:pt>
                <c:pt idx="148">
                  <c:v>146.09044333852128</c:v>
                </c:pt>
                <c:pt idx="149">
                  <c:v>148.66183966474006</c:v>
                </c:pt>
                <c:pt idx="150">
                  <c:v>150.90846244869462</c:v>
                </c:pt>
                <c:pt idx="151">
                  <c:v>153.05560733103607</c:v>
                </c:pt>
                <c:pt idx="152">
                  <c:v>154.36712359089111</c:v>
                </c:pt>
                <c:pt idx="153">
                  <c:v>156.71625657553625</c:v>
                </c:pt>
                <c:pt idx="154">
                  <c:v>158.66310372883774</c:v>
                </c:pt>
                <c:pt idx="155">
                  <c:v>160.87904753243239</c:v>
                </c:pt>
                <c:pt idx="156">
                  <c:v>162.41420888545693</c:v>
                </c:pt>
                <c:pt idx="157">
                  <c:v>164.11735398313309</c:v>
                </c:pt>
                <c:pt idx="158">
                  <c:v>166.29666059325294</c:v>
                </c:pt>
                <c:pt idx="159">
                  <c:v>168.09608411186795</c:v>
                </c:pt>
                <c:pt idx="160">
                  <c:v>169.36836372801437</c:v>
                </c:pt>
                <c:pt idx="161">
                  <c:v>170.85721326202909</c:v>
                </c:pt>
                <c:pt idx="162">
                  <c:v>172.65663678064411</c:v>
                </c:pt>
                <c:pt idx="163">
                  <c:v>173.62570034650815</c:v>
                </c:pt>
                <c:pt idx="164">
                  <c:v>174.5947639123722</c:v>
                </c:pt>
                <c:pt idx="165">
                  <c:v>176.21440971114217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7D-4566-8881-8CAD746B401A}"/>
            </c:ext>
          </c:extLst>
        </c:ser>
        <c:ser>
          <c:idx val="1"/>
          <c:order val="1"/>
          <c:tx>
            <c:strRef>
              <c:f>'Growth Summary'!$C$2</c:f>
              <c:strCache>
                <c:ptCount val="1"/>
                <c:pt idx="0">
                  <c:v>5% FBS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'Growth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'Growth Summary'!$C$3:$C$168</c:f>
              <c:numCache>
                <c:formatCode>0.00</c:formatCode>
                <c:ptCount val="166"/>
                <c:pt idx="0" formatCode="General">
                  <c:v>0</c:v>
                </c:pt>
                <c:pt idx="1">
                  <c:v>2.46</c:v>
                </c:pt>
                <c:pt idx="2">
                  <c:v>3.7618067438375613</c:v>
                </c:pt>
                <c:pt idx="3">
                  <c:v>4.0641939020707047</c:v>
                </c:pt>
                <c:pt idx="4">
                  <c:v>4.0641939020707047</c:v>
                </c:pt>
                <c:pt idx="5">
                  <c:v>5.0332574679347548</c:v>
                </c:pt>
                <c:pt idx="6">
                  <c:v>5.9523815769378059</c:v>
                </c:pt>
                <c:pt idx="7">
                  <c:v>6.5127710843808879</c:v>
                </c:pt>
                <c:pt idx="8">
                  <c:v>6.7955408287071037</c:v>
                </c:pt>
                <c:pt idx="9">
                  <c:v>6.9865713747882587</c:v>
                </c:pt>
                <c:pt idx="10">
                  <c:v>6.9865713747882587</c:v>
                </c:pt>
                <c:pt idx="11">
                  <c:v>6.9988425780473387</c:v>
                </c:pt>
                <c:pt idx="12">
                  <c:v>7.2158146928392037</c:v>
                </c:pt>
                <c:pt idx="13">
                  <c:v>7.8321281283527506</c:v>
                </c:pt>
                <c:pt idx="14">
                  <c:v>8.134515286585895</c:v>
                </c:pt>
                <c:pt idx="15">
                  <c:v>8.3464426865513754</c:v>
                </c:pt>
                <c:pt idx="16">
                  <c:v>8.6872816616499051</c:v>
                </c:pt>
                <c:pt idx="17">
                  <c:v>9.5347863785928801</c:v>
                </c:pt>
                <c:pt idx="18">
                  <c:v>9.5347863785928801</c:v>
                </c:pt>
                <c:pt idx="19">
                  <c:v>10.386358397753153</c:v>
                </c:pt>
                <c:pt idx="20">
                  <c:v>11.071526926780846</c:v>
                </c:pt>
                <c:pt idx="21">
                  <c:v>11.523201698082875</c:v>
                </c:pt>
                <c:pt idx="22">
                  <c:v>11.523201698082875</c:v>
                </c:pt>
                <c:pt idx="23">
                  <c:v>12.364015648124571</c:v>
                </c:pt>
                <c:pt idx="24">
                  <c:v>13.651134410822099</c:v>
                </c:pt>
                <c:pt idx="25">
                  <c:v>14.243745542509677</c:v>
                </c:pt>
                <c:pt idx="26">
                  <c:v>14.762818249364623</c:v>
                </c:pt>
                <c:pt idx="27">
                  <c:v>15.371274130391534</c:v>
                </c:pt>
                <c:pt idx="28">
                  <c:v>16.406296949096639</c:v>
                </c:pt>
                <c:pt idx="29">
                  <c:v>17.338069013586953</c:v>
                </c:pt>
                <c:pt idx="30">
                  <c:v>18.610348629733373</c:v>
                </c:pt>
                <c:pt idx="31">
                  <c:v>19.763484280585647</c:v>
                </c:pt>
                <c:pt idx="32">
                  <c:v>20.81018212405057</c:v>
                </c:pt>
                <c:pt idx="33">
                  <c:v>22.08246174019699</c:v>
                </c:pt>
                <c:pt idx="34">
                  <c:v>23.369580502894522</c:v>
                </c:pt>
                <c:pt idx="35">
                  <c:v>23.828745460806577</c:v>
                </c:pt>
                <c:pt idx="36">
                  <c:v>24.607902895554052</c:v>
                </c:pt>
                <c:pt idx="37">
                  <c:v>25.307936068399496</c:v>
                </c:pt>
                <c:pt idx="38">
                  <c:v>26.10102460359775</c:v>
                </c:pt>
                <c:pt idx="39">
                  <c:v>28.181610391502247</c:v>
                </c:pt>
                <c:pt idx="40">
                  <c:v>29.366788642799442</c:v>
                </c:pt>
                <c:pt idx="41">
                  <c:v>29.919008963064307</c:v>
                </c:pt>
                <c:pt idx="42">
                  <c:v>30.333805568603864</c:v>
                </c:pt>
                <c:pt idx="43">
                  <c:v>31.630732924773252</c:v>
                </c:pt>
                <c:pt idx="44">
                  <c:v>33.897451611451295</c:v>
                </c:pt>
                <c:pt idx="45">
                  <c:v>35.700320430821279</c:v>
                </c:pt>
                <c:pt idx="46">
                  <c:v>37.01666703918027</c:v>
                </c:pt>
                <c:pt idx="47">
                  <c:v>37.857480989221969</c:v>
                </c:pt>
                <c:pt idx="48">
                  <c:v>38.110314896727857</c:v>
                </c:pt>
                <c:pt idx="49">
                  <c:v>39.079378462591905</c:v>
                </c:pt>
                <c:pt idx="50">
                  <c:v>42.365336396498265</c:v>
                </c:pt>
                <c:pt idx="51">
                  <c:v>44.17164230374118</c:v>
                </c:pt>
                <c:pt idx="52">
                  <c:v>46.583023415948958</c:v>
                </c:pt>
                <c:pt idx="53">
                  <c:v>46.664770032644618</c:v>
                </c:pt>
                <c:pt idx="54">
                  <c:v>46.927651769522733</c:v>
                </c:pt>
                <c:pt idx="55">
                  <c:v>49.216648528786699</c:v>
                </c:pt>
                <c:pt idx="56">
                  <c:v>50.683945229805985</c:v>
                </c:pt>
                <c:pt idx="57">
                  <c:v>52.133764654050644</c:v>
                </c:pt>
                <c:pt idx="58">
                  <c:v>53.391050814329382</c:v>
                </c:pt>
                <c:pt idx="59">
                  <c:v>55.401855678110714</c:v>
                </c:pt>
                <c:pt idx="60">
                  <c:v>57.465310282154064</c:v>
                </c:pt>
                <c:pt idx="61">
                  <c:v>59.835492657862197</c:v>
                </c:pt>
                <c:pt idx="62">
                  <c:v>61.194599299765557</c:v>
                </c:pt>
                <c:pt idx="63">
                  <c:v>63.960294790575063</c:v>
                </c:pt>
                <c:pt idx="64">
                  <c:v>65.681761070969642</c:v>
                </c:pt>
                <c:pt idx="65">
                  <c:v>66.600885179972693</c:v>
                </c:pt>
                <c:pt idx="66">
                  <c:v>67.51364346106395</c:v>
                </c:pt>
                <c:pt idx="67">
                  <c:v>69.21678855874012</c:v>
                </c:pt>
                <c:pt idx="68">
                  <c:v>70.348159906847997</c:v>
                </c:pt>
                <c:pt idx="69">
                  <c:v>72.36491058392069</c:v>
                </c:pt>
                <c:pt idx="70">
                  <c:v>73.797038280928533</c:v>
                </c:pt>
                <c:pt idx="71">
                  <c:v>75.336336961554892</c:v>
                </c:pt>
                <c:pt idx="72">
                  <c:v>76.072874810281192</c:v>
                </c:pt>
                <c:pt idx="73">
                  <c:v>77.531459353797658</c:v>
                </c:pt>
                <c:pt idx="74">
                  <c:v>78.818578116495189</c:v>
                </c:pt>
                <c:pt idx="75">
                  <c:v>80.430387712934007</c:v>
                </c:pt>
                <c:pt idx="76">
                  <c:v>80.430387712934007</c:v>
                </c:pt>
                <c:pt idx="77">
                  <c:v>81.145133846912387</c:v>
                </c:pt>
                <c:pt idx="78">
                  <c:v>83.098195913628913</c:v>
                </c:pt>
                <c:pt idx="79">
                  <c:v>84.424154942122357</c:v>
                </c:pt>
                <c:pt idx="80">
                  <c:v>87.478386602318309</c:v>
                </c:pt>
                <c:pt idx="81">
                  <c:v>89.415860866623021</c:v>
                </c:pt>
                <c:pt idx="82">
                  <c:v>90.547232214730897</c:v>
                </c:pt>
                <c:pt idx="83">
                  <c:v>91.479004279221215</c:v>
                </c:pt>
                <c:pt idx="84">
                  <c:v>93.295572562028241</c:v>
                </c:pt>
                <c:pt idx="85">
                  <c:v>94.053577671021998</c:v>
                </c:pt>
                <c:pt idx="86">
                  <c:v>95.270101889012224</c:v>
                </c:pt>
                <c:pt idx="87">
                  <c:v>95.870657160244562</c:v>
                </c:pt>
                <c:pt idx="88">
                  <c:v>96.808711838944859</c:v>
                </c:pt>
                <c:pt idx="89">
                  <c:v>97.594851648983706</c:v>
                </c:pt>
                <c:pt idx="90">
                  <c:v>97.594851648983706</c:v>
                </c:pt>
                <c:pt idx="91">
                  <c:v>98.947702933223553</c:v>
                </c:pt>
                <c:pt idx="92">
                  <c:v>99.662449067201933</c:v>
                </c:pt>
                <c:pt idx="93">
                  <c:v>101.71147054091848</c:v>
                </c:pt>
                <c:pt idx="94">
                  <c:v>103.18742707385476</c:v>
                </c:pt>
                <c:pt idx="95">
                  <c:v>103.89483549388015</c:v>
                </c:pt>
                <c:pt idx="96">
                  <c:v>104.62414597068226</c:v>
                </c:pt>
                <c:pt idx="97">
                  <c:v>105.38215107967602</c:v>
                </c:pt>
                <c:pt idx="98">
                  <c:v>106.29490936076728</c:v>
                </c:pt>
                <c:pt idx="99">
                  <c:v>106.29490936076728</c:v>
                </c:pt>
                <c:pt idx="100">
                  <c:v>106.29490936076728</c:v>
                </c:pt>
                <c:pt idx="101">
                  <c:v>106.99111289608932</c:v>
                </c:pt>
                <c:pt idx="102">
                  <c:v>108.12795619641905</c:v>
                </c:pt>
                <c:pt idx="103">
                  <c:v>109.57337299837309</c:v>
                </c:pt>
                <c:pt idx="104">
                  <c:v>110.01495410811611</c:v>
                </c:pt>
                <c:pt idx="105">
                  <c:v>110.60756523980369</c:v>
                </c:pt>
                <c:pt idx="106">
                  <c:v>111.99448993452864</c:v>
                </c:pt>
                <c:pt idx="107">
                  <c:v>113.23153916359118</c:v>
                </c:pt>
                <c:pt idx="108">
                  <c:v>113.85566756501107</c:v>
                </c:pt>
                <c:pt idx="109">
                  <c:v>114.03613500392208</c:v>
                </c:pt>
                <c:pt idx="110">
                  <c:v>114.03613500392208</c:v>
                </c:pt>
                <c:pt idx="111">
                  <c:v>115.04289230347949</c:v>
                </c:pt>
                <c:pt idx="112">
                  <c:v>117.08900973254883</c:v>
                </c:pt>
                <c:pt idx="113">
                  <c:v>117.5568868479637</c:v>
                </c:pt>
                <c:pt idx="114">
                  <c:v>118.05909553006146</c:v>
                </c:pt>
                <c:pt idx="115">
                  <c:v>118.95258593850323</c:v>
                </c:pt>
                <c:pt idx="116">
                  <c:v>119.04564130085605</c:v>
                </c:pt>
                <c:pt idx="117">
                  <c:v>120.08066411956115</c:v>
                </c:pt>
                <c:pt idx="118">
                  <c:v>121.56093114204536</c:v>
                </c:pt>
                <c:pt idx="119">
                  <c:v>122.35401967724361</c:v>
                </c:pt>
                <c:pt idx="120">
                  <c:v>122.35401967724361</c:v>
                </c:pt>
                <c:pt idx="121">
                  <c:v>122.85795824278813</c:v>
                </c:pt>
                <c:pt idx="122">
                  <c:v>122.85795824278813</c:v>
                </c:pt>
                <c:pt idx="123">
                  <c:v>123.28273314199157</c:v>
                </c:pt>
                <c:pt idx="124">
                  <c:v>124.5649224719222</c:v>
                </c:pt>
                <c:pt idx="125">
                  <c:v>125.27233089194759</c:v>
                </c:pt>
                <c:pt idx="126">
                  <c:v>126.81575506231239</c:v>
                </c:pt>
                <c:pt idx="127">
                  <c:v>128.33424735477175</c:v>
                </c:pt>
                <c:pt idx="128">
                  <c:v>129.30943346775439</c:v>
                </c:pt>
                <c:pt idx="129">
                  <c:v>130.85285763811919</c:v>
                </c:pt>
                <c:pt idx="130">
                  <c:v>132.21663805293153</c:v>
                </c:pt>
                <c:pt idx="131">
                  <c:v>133.67522259644801</c:v>
                </c:pt>
                <c:pt idx="132">
                  <c:v>135.72424407016456</c:v>
                </c:pt>
                <c:pt idx="133">
                  <c:v>137.29622081077892</c:v>
                </c:pt>
                <c:pt idx="134">
                  <c:v>138.63647937148187</c:v>
                </c:pt>
                <c:pt idx="135">
                  <c:v>138.90933940202387</c:v>
                </c:pt>
                <c:pt idx="136">
                  <c:v>139.85987777498354</c:v>
                </c:pt>
                <c:pt idx="137">
                  <c:v>141.30087847033099</c:v>
                </c:pt>
                <c:pt idx="138">
                  <c:v>143.3814642582355</c:v>
                </c:pt>
                <c:pt idx="139">
                  <c:v>144.941273351283</c:v>
                </c:pt>
                <c:pt idx="140">
                  <c:v>145.88558338764682</c:v>
                </c:pt>
                <c:pt idx="141">
                  <c:v>147.5399744262283</c:v>
                </c:pt>
                <c:pt idx="142">
                  <c:v>149.79918993371976</c:v>
                </c:pt>
                <c:pt idx="143">
                  <c:v>151.73666419802447</c:v>
                </c:pt>
                <c:pt idx="144">
                  <c:v>154.72060448880882</c:v>
                </c:pt>
                <c:pt idx="145">
                  <c:v>156.82929755428486</c:v>
                </c:pt>
                <c:pt idx="146">
                  <c:v>158.1930779690972</c:v>
                </c:pt>
                <c:pt idx="147">
                  <c:v>159.70316290432547</c:v>
                </c:pt>
                <c:pt idx="148">
                  <c:v>161.6747105791153</c:v>
                </c:pt>
                <c:pt idx="149">
                  <c:v>164.10180080198086</c:v>
                </c:pt>
                <c:pt idx="150">
                  <c:v>166.13624320629037</c:v>
                </c:pt>
                <c:pt idx="151">
                  <c:v>167.91831564091152</c:v>
                </c:pt>
                <c:pt idx="152">
                  <c:v>170.37413348048551</c:v>
                </c:pt>
                <c:pt idx="153">
                  <c:v>171.90514559991308</c:v>
                </c:pt>
                <c:pt idx="154">
                  <c:v>173.90698551659608</c:v>
                </c:pt>
                <c:pt idx="155">
                  <c:v>175.38725253908029</c:v>
                </c:pt>
                <c:pt idx="156">
                  <c:v>177.35266464001626</c:v>
                </c:pt>
                <c:pt idx="157">
                  <c:v>179.35450455669925</c:v>
                </c:pt>
                <c:pt idx="158">
                  <c:v>181.61872651949818</c:v>
                </c:pt>
                <c:pt idx="159">
                  <c:v>183.08602322051746</c:v>
                </c:pt>
                <c:pt idx="160">
                  <c:v>184.54460776403394</c:v>
                </c:pt>
                <c:pt idx="161">
                  <c:v>185.8705667925274</c:v>
                </c:pt>
                <c:pt idx="162">
                  <c:v>187.11776999087755</c:v>
                </c:pt>
                <c:pt idx="163">
                  <c:v>187.11776999087755</c:v>
                </c:pt>
                <c:pt idx="164">
                  <c:v>188.3308447869357</c:v>
                </c:pt>
                <c:pt idx="165">
                  <c:v>190.7866626265097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7D-4566-8881-8CAD746B401A}"/>
            </c:ext>
          </c:extLst>
        </c:ser>
        <c:ser>
          <c:idx val="2"/>
          <c:order val="2"/>
          <c:tx>
            <c:strRef>
              <c:f>'Growth Summary'!$D$2</c:f>
              <c:strCache>
                <c:ptCount val="1"/>
                <c:pt idx="0">
                  <c:v>10% FBS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'Growth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'Growth Summary'!$D$3:$D$168</c:f>
              <c:numCache>
                <c:formatCode>0.00</c:formatCode>
                <c:ptCount val="166"/>
                <c:pt idx="0" formatCode="General">
                  <c:v>0</c:v>
                </c:pt>
                <c:pt idx="1">
                  <c:v>2.6</c:v>
                </c:pt>
                <c:pt idx="2">
                  <c:v>4.0759565329362788</c:v>
                </c:pt>
                <c:pt idx="3">
                  <c:v>4.1232347907967855</c:v>
                </c:pt>
                <c:pt idx="4">
                  <c:v>4.3760686983026771</c:v>
                </c:pt>
                <c:pt idx="5">
                  <c:v>5.0761018711481221</c:v>
                </c:pt>
                <c:pt idx="6">
                  <c:v>6.1169740190920976</c:v>
                </c:pt>
                <c:pt idx="7">
                  <c:v>6.7642963417693984</c:v>
                </c:pt>
                <c:pt idx="8">
                  <c:v>6.7642963417693984</c:v>
                </c:pt>
                <c:pt idx="9">
                  <c:v>6.8685724430847888</c:v>
                </c:pt>
                <c:pt idx="10">
                  <c:v>7.0908357846584238</c:v>
                </c:pt>
                <c:pt idx="11">
                  <c:v>7.7458072376354776</c:v>
                </c:pt>
                <c:pt idx="12">
                  <c:v>8.3542631186623897</c:v>
                </c:pt>
                <c:pt idx="13">
                  <c:v>8.6760043618491363</c:v>
                </c:pt>
                <c:pt idx="14">
                  <c:v>9.0168433369476659</c:v>
                </c:pt>
                <c:pt idx="15">
                  <c:v>9.3576823120461956</c:v>
                </c:pt>
                <c:pt idx="16">
                  <c:v>9.5381497509572029</c:v>
                </c:pt>
                <c:pt idx="17">
                  <c:v>10.983566552911238</c:v>
                </c:pt>
                <c:pt idx="18">
                  <c:v>12.543375645958738</c:v>
                </c:pt>
                <c:pt idx="19">
                  <c:v>13.624541848258819</c:v>
                </c:pt>
                <c:pt idx="20">
                  <c:v>14.256443086184184</c:v>
                </c:pt>
                <c:pt idx="21">
                  <c:v>14.499158652657817</c:v>
                </c:pt>
                <c:pt idx="22">
                  <c:v>14.569507125570013</c:v>
                </c:pt>
                <c:pt idx="23">
                  <c:v>14.910346100668542</c:v>
                </c:pt>
                <c:pt idx="24">
                  <c:v>15.710350033679127</c:v>
                </c:pt>
                <c:pt idx="25">
                  <c:v>17.257887923467546</c:v>
                </c:pt>
                <c:pt idx="26">
                  <c:v>18.304585766932469</c:v>
                </c:pt>
                <c:pt idx="27">
                  <c:v>19.069676185908339</c:v>
                </c:pt>
                <c:pt idx="28">
                  <c:v>19.883412200618565</c:v>
                </c:pt>
                <c:pt idx="29">
                  <c:v>20.737576780117571</c:v>
                </c:pt>
                <c:pt idx="30">
                  <c:v>22.276875460743931</c:v>
                </c:pt>
                <c:pt idx="31">
                  <c:v>23.335154552656981</c:v>
                </c:pt>
                <c:pt idx="32">
                  <c:v>23.300127947310397</c:v>
                </c:pt>
                <c:pt idx="33">
                  <c:v>24.911164464236528</c:v>
                </c:pt>
                <c:pt idx="34">
                  <c:v>24.97346614000811</c:v>
                </c:pt>
                <c:pt idx="35">
                  <c:v>26.270393496177498</c:v>
                </c:pt>
                <c:pt idx="36">
                  <c:v>27.552582826108132</c:v>
                </c:pt>
                <c:pt idx="37">
                  <c:v>29.477464366875942</c:v>
                </c:pt>
                <c:pt idx="38">
                  <c:v>30.970586074919641</c:v>
                </c:pt>
                <c:pt idx="39">
                  <c:v>32.301327388659267</c:v>
                </c:pt>
                <c:pt idx="40">
                  <c:v>33.023374083449433</c:v>
                </c:pt>
                <c:pt idx="41">
                  <c:v>34.197950392274343</c:v>
                </c:pt>
                <c:pt idx="42">
                  <c:v>37.243487406948098</c:v>
                </c:pt>
                <c:pt idx="43">
                  <c:v>40.592039977197665</c:v>
                </c:pt>
                <c:pt idx="44">
                  <c:v>42.683934510759308</c:v>
                </c:pt>
                <c:pt idx="45">
                  <c:v>44.700685187832008</c:v>
                </c:pt>
                <c:pt idx="46">
                  <c:v>46.268617444223835</c:v>
                </c:pt>
                <c:pt idx="47">
                  <c:v>49.354288277595288</c:v>
                </c:pt>
                <c:pt idx="48">
                  <c:v>52.346526743073824</c:v>
                </c:pt>
                <c:pt idx="49">
                  <c:v>56.487080064479166</c:v>
                </c:pt>
                <c:pt idx="50">
                  <c:v>64.532086325536412</c:v>
                </c:pt>
                <c:pt idx="51">
                  <c:v>67.421179410719404</c:v>
                </c:pt>
                <c:pt idx="52">
                  <c:v>71.232747028431461</c:v>
                </c:pt>
                <c:pt idx="53">
                  <c:v>75.027556165275058</c:v>
                </c:pt>
                <c:pt idx="54">
                  <c:v>79.451251852194872</c:v>
                </c:pt>
                <c:pt idx="55">
                  <c:v>87.121994525371363</c:v>
                </c:pt>
                <c:pt idx="56">
                  <c:v>89.607051186892406</c:v>
                </c:pt>
                <c:pt idx="57">
                  <c:v>92.113390266980772</c:v>
                </c:pt>
                <c:pt idx="58">
                  <c:v>97.180121283291143</c:v>
                </c:pt>
                <c:pt idx="59">
                  <c:v>102.25399022348573</c:v>
                </c:pt>
                <c:pt idx="60">
                  <c:v>106.47875149195309</c:v>
                </c:pt>
                <c:pt idx="61">
                  <c:v>109.66342895460794</c:v>
                </c:pt>
                <c:pt idx="62">
                  <c:v>111.99597506157602</c:v>
                </c:pt>
                <c:pt idx="63">
                  <c:v>114.08927697219417</c:v>
                </c:pt>
                <c:pt idx="64">
                  <c:v>117.05333987296325</c:v>
                </c:pt>
                <c:pt idx="65">
                  <c:v>120.27063994167433</c:v>
                </c:pt>
                <c:pt idx="66">
                  <c:v>123.90756696442891</c:v>
                </c:pt>
                <c:pt idx="67">
                  <c:v>128.83544243106024</c:v>
                </c:pt>
                <c:pt idx="68">
                  <c:v>133.21947744949918</c:v>
                </c:pt>
                <c:pt idx="69">
                  <c:v>137.70069075553917</c:v>
                </c:pt>
                <c:pt idx="70">
                  <c:v>142.62462132865656</c:v>
                </c:pt>
                <c:pt idx="71">
                  <c:v>147.28961505840977</c:v>
                </c:pt>
                <c:pt idx="72">
                  <c:v>151.93077588720092</c:v>
                </c:pt>
                <c:pt idx="73">
                  <c:v>156.31911282135198</c:v>
                </c:pt>
                <c:pt idx="74">
                  <c:v>161.42467221699525</c:v>
                </c:pt>
                <c:pt idx="75">
                  <c:v>166.64403348659098</c:v>
                </c:pt>
                <c:pt idx="76">
                  <c:v>171.84068786674609</c:v>
                </c:pt>
                <c:pt idx="77">
                  <c:v>176.16610271121655</c:v>
                </c:pt>
                <c:pt idx="78">
                  <c:v>180.29298903285505</c:v>
                </c:pt>
                <c:pt idx="79">
                  <c:v>185.24818061758177</c:v>
                </c:pt>
                <c:pt idx="80">
                  <c:v>190.24151881027947</c:v>
                </c:pt>
                <c:pt idx="81">
                  <c:v>194.42561585853875</c:v>
                </c:pt>
                <c:pt idx="82">
                  <c:v>197.61358899732542</c:v>
                </c:pt>
                <c:pt idx="83">
                  <c:v>200.53472468295334</c:v>
                </c:pt>
                <c:pt idx="84">
                  <c:v>205.57254530355507</c:v>
                </c:pt>
                <c:pt idx="85">
                  <c:v>209.93924314701999</c:v>
                </c:pt>
                <c:pt idx="86">
                  <c:v>220.40306241724596</c:v>
                </c:pt>
                <c:pt idx="87">
                  <c:v>225.67302037581004</c:v>
                </c:pt>
                <c:pt idx="88">
                  <c:v>230.23515552788808</c:v>
                </c:pt>
                <c:pt idx="89">
                  <c:v>234.53034164087072</c:v>
                </c:pt>
                <c:pt idx="90">
                  <c:v>238.17208288405746</c:v>
                </c:pt>
                <c:pt idx="91">
                  <c:v>241.97508074293157</c:v>
                </c:pt>
                <c:pt idx="92">
                  <c:v>243.79845025382048</c:v>
                </c:pt>
                <c:pt idx="93">
                  <c:v>247.51693402775908</c:v>
                </c:pt>
                <c:pt idx="94">
                  <c:v>250.18969180606121</c:v>
                </c:pt>
                <c:pt idx="95">
                  <c:v>252.68436444921778</c:v>
                </c:pt>
                <c:pt idx="96">
                  <c:v>255.30733202184652</c:v>
                </c:pt>
                <c:pt idx="97">
                  <c:v>257.99320620477727</c:v>
                </c:pt>
                <c:pt idx="98">
                  <c:v>260.38184461077742</c:v>
                </c:pt>
                <c:pt idx="99">
                  <c:v>262.13926930537559</c:v>
                </c:pt>
                <c:pt idx="100">
                  <c:v>264.44049563481758</c:v>
                </c:pt>
                <c:pt idx="101">
                  <c:v>266.45130049859893</c:v>
                </c:pt>
                <c:pt idx="102">
                  <c:v>268.69539148615246</c:v>
                </c:pt>
                <c:pt idx="103">
                  <c:v>270.5187609970414</c:v>
                </c:pt>
                <c:pt idx="104">
                  <c:v>273.04919270207341</c:v>
                </c:pt>
                <c:pt idx="105">
                  <c:v>275.3673680155278</c:v>
                </c:pt>
                <c:pt idx="106">
                  <c:v>277.21095081558332</c:v>
                </c:pt>
                <c:pt idx="107">
                  <c:v>280.6463610083639</c:v>
                </c:pt>
                <c:pt idx="108">
                  <c:v>282.82566761848375</c:v>
                </c:pt>
                <c:pt idx="109">
                  <c:v>284.73784548517943</c:v>
                </c:pt>
                <c:pt idx="110">
                  <c:v>286.68157510714764</c:v>
                </c:pt>
                <c:pt idx="111">
                  <c:v>288.64390960247562</c:v>
                </c:pt>
                <c:pt idx="112">
                  <c:v>292.14437704138663</c:v>
                </c:pt>
                <c:pt idx="113">
                  <c:v>294.37574192973324</c:v>
                </c:pt>
                <c:pt idx="114">
                  <c:v>296.87254277649379</c:v>
                </c:pt>
                <c:pt idx="115">
                  <c:v>299.28617855324217</c:v>
                </c:pt>
                <c:pt idx="116">
                  <c:v>300.56836788317281</c:v>
                </c:pt>
                <c:pt idx="117">
                  <c:v>302.73703342890695</c:v>
                </c:pt>
                <c:pt idx="118">
                  <c:v>305.34038358762876</c:v>
                </c:pt>
                <c:pt idx="119">
                  <c:v>308.3235442203096</c:v>
                </c:pt>
                <c:pt idx="120">
                  <c:v>309.85870557333413</c:v>
                </c:pt>
                <c:pt idx="121">
                  <c:v>311.85152445320824</c:v>
                </c:pt>
                <c:pt idx="122">
                  <c:v>312.65841077484674</c:v>
                </c:pt>
                <c:pt idx="123">
                  <c:v>313.19415254226686</c:v>
                </c:pt>
                <c:pt idx="124">
                  <c:v>315.58049682259622</c:v>
                </c:pt>
                <c:pt idx="125">
                  <c:v>316.55568293557883</c:v>
                </c:pt>
                <c:pt idx="126">
                  <c:v>318.2771492159734</c:v>
                </c:pt>
                <c:pt idx="127">
                  <c:v>320.19251350977788</c:v>
                </c:pt>
                <c:pt idx="128">
                  <c:v>322.09829731863391</c:v>
                </c:pt>
                <c:pt idx="129">
                  <c:v>323.4989323323187</c:v>
                </c:pt>
                <c:pt idx="130">
                  <c:v>324.65745811161617</c:v>
                </c:pt>
                <c:pt idx="131">
                  <c:v>325.83203442044106</c:v>
                </c:pt>
                <c:pt idx="132">
                  <c:v>328.59419594457967</c:v>
                </c:pt>
                <c:pt idx="133">
                  <c:v>330.57489830205952</c:v>
                </c:pt>
                <c:pt idx="134">
                  <c:v>332.66397395362867</c:v>
                </c:pt>
                <c:pt idx="135">
                  <c:v>334.82996691717051</c:v>
                </c:pt>
                <c:pt idx="136">
                  <c:v>336.50706484519259</c:v>
                </c:pt>
                <c:pt idx="137">
                  <c:v>337.5995397931498</c:v>
                </c:pt>
                <c:pt idx="138">
                  <c:v>340.15876847180169</c:v>
                </c:pt>
                <c:pt idx="139">
                  <c:v>341.31190412265397</c:v>
                </c:pt>
                <c:pt idx="140">
                  <c:v>342.89594668832325</c:v>
                </c:pt>
                <c:pt idx="141">
                  <c:v>345.05926210665757</c:v>
                </c:pt>
                <c:pt idx="142">
                  <c:v>347.81255063245658</c:v>
                </c:pt>
                <c:pt idx="143">
                  <c:v>349.81138980366541</c:v>
                </c:pt>
                <c:pt idx="144">
                  <c:v>352.30207518551151</c:v>
                </c:pt>
                <c:pt idx="145">
                  <c:v>354.63700256086548</c:v>
                </c:pt>
                <c:pt idx="146">
                  <c:v>357.10588868639366</c:v>
                </c:pt>
                <c:pt idx="147">
                  <c:v>359.30101107863641</c:v>
                </c:pt>
                <c:pt idx="148">
                  <c:v>361.9605320377313</c:v>
                </c:pt>
                <c:pt idx="149">
                  <c:v>364.04111782563581</c:v>
                </c:pt>
                <c:pt idx="150">
                  <c:v>366.16641596154369</c:v>
                </c:pt>
                <c:pt idx="151">
                  <c:v>368.13489911301218</c:v>
                </c:pt>
                <c:pt idx="152">
                  <c:v>370.62957175616873</c:v>
                </c:pt>
                <c:pt idx="153">
                  <c:v>372.66694179129104</c:v>
                </c:pt>
                <c:pt idx="154">
                  <c:v>375.60069775600107</c:v>
                </c:pt>
                <c:pt idx="155">
                  <c:v>377.88969451526503</c:v>
                </c:pt>
                <c:pt idx="156">
                  <c:v>380.42427545389398</c:v>
                </c:pt>
                <c:pt idx="157">
                  <c:v>382.88446256250819</c:v>
                </c:pt>
                <c:pt idx="158">
                  <c:v>385.86458450559246</c:v>
                </c:pt>
                <c:pt idx="159">
                  <c:v>388.65651221199954</c:v>
                </c:pt>
                <c:pt idx="160">
                  <c:v>391.01971221241627</c:v>
                </c:pt>
                <c:pt idx="161">
                  <c:v>393.17226744887296</c:v>
                </c:pt>
                <c:pt idx="162">
                  <c:v>395.49524895904392</c:v>
                </c:pt>
                <c:pt idx="163">
                  <c:v>398.5609925181559</c:v>
                </c:pt>
                <c:pt idx="164">
                  <c:v>400.23056114614468</c:v>
                </c:pt>
                <c:pt idx="165">
                  <c:v>402.25323321831559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7D-4566-8881-8CAD746B401A}"/>
            </c:ext>
          </c:extLst>
        </c:ser>
        <c:ser>
          <c:idx val="3"/>
          <c:order val="3"/>
          <c:tx>
            <c:strRef>
              <c:f>'Growth Summary'!$E$2</c:f>
              <c:strCache>
                <c:ptCount val="1"/>
                <c:pt idx="0">
                  <c:v>15% FBS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'Growth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'Growth Summary'!$E$3:$E$168</c:f>
              <c:numCache>
                <c:formatCode>0.00</c:formatCode>
                <c:ptCount val="166"/>
                <c:pt idx="0" formatCode="General">
                  <c:v>0</c:v>
                </c:pt>
                <c:pt idx="1">
                  <c:v>2.42</c:v>
                </c:pt>
                <c:pt idx="2">
                  <c:v>3.6922796161464202</c:v>
                </c:pt>
                <c:pt idx="3">
                  <c:v>4.1944882982441749</c:v>
                </c:pt>
                <c:pt idx="4">
                  <c:v>4.5065849724948093</c:v>
                </c:pt>
                <c:pt idx="5">
                  <c:v>5.5416077911999135</c:v>
                </c:pt>
                <c:pt idx="6">
                  <c:v>6.6784510915296362</c:v>
                </c:pt>
                <c:pt idx="7">
                  <c:v>7.3025794929495262</c:v>
                </c:pt>
                <c:pt idx="8">
                  <c:v>7.9344807308748919</c:v>
                </c:pt>
                <c:pt idx="9">
                  <c:v>8.6271007373651276</c:v>
                </c:pt>
                <c:pt idx="10">
                  <c:v>8.9773945508014421</c:v>
                </c:pt>
                <c:pt idx="11">
                  <c:v>9.6625630798291358</c:v>
                </c:pt>
                <c:pt idx="12">
                  <c:v>10.198304847249251</c:v>
                </c:pt>
                <c:pt idx="13">
                  <c:v>10.845627169926551</c:v>
                </c:pt>
                <c:pt idx="14">
                  <c:v>13.651352662773885</c:v>
                </c:pt>
                <c:pt idx="15">
                  <c:v>14.195357247534266</c:v>
                </c:pt>
                <c:pt idx="16">
                  <c:v>14.739361832294648</c:v>
                </c:pt>
                <c:pt idx="17">
                  <c:v>15.986565030644787</c:v>
                </c:pt>
                <c:pt idx="18">
                  <c:v>16.847358852533961</c:v>
                </c:pt>
                <c:pt idx="19">
                  <c:v>17.747300536525266</c:v>
                </c:pt>
                <c:pt idx="20">
                  <c:v>18.215177651940134</c:v>
                </c:pt>
                <c:pt idx="21">
                  <c:v>18.8470788898655</c:v>
                </c:pt>
                <c:pt idx="22">
                  <c:v>19.079604607003244</c:v>
                </c:pt>
                <c:pt idx="23">
                  <c:v>20.572726315046943</c:v>
                </c:pt>
                <c:pt idx="24">
                  <c:v>22.242294943035699</c:v>
                </c:pt>
                <c:pt idx="25">
                  <c:v>23.31206300155231</c:v>
                </c:pt>
                <c:pt idx="26">
                  <c:v>24.437941551855751</c:v>
                </c:pt>
                <c:pt idx="27">
                  <c:v>25.100521770141029</c:v>
                </c:pt>
                <c:pt idx="28">
                  <c:v>26.242816334733117</c:v>
                </c:pt>
                <c:pt idx="29">
                  <c:v>27.625141798509212</c:v>
                </c:pt>
                <c:pt idx="30">
                  <c:v>29.346608078903795</c:v>
                </c:pt>
                <c:pt idx="31">
                  <c:v>30.970156065928101</c:v>
                </c:pt>
                <c:pt idx="32">
                  <c:v>31.522376386192967</c:v>
                </c:pt>
                <c:pt idx="33">
                  <c:v>33.574296067277118</c:v>
                </c:pt>
                <c:pt idx="34">
                  <c:v>35.585100931058449</c:v>
                </c:pt>
                <c:pt idx="35">
                  <c:v>36.78603734663686</c:v>
                </c:pt>
                <c:pt idx="36">
                  <c:v>38.557598014068269</c:v>
                </c:pt>
                <c:pt idx="37">
                  <c:v>40.586167262884821</c:v>
                </c:pt>
                <c:pt idx="38">
                  <c:v>42.581999430543057</c:v>
                </c:pt>
                <c:pt idx="39">
                  <c:v>44.598750107615757</c:v>
                </c:pt>
                <c:pt idx="40">
                  <c:v>46.529941757710489</c:v>
                </c:pt>
                <c:pt idx="41">
                  <c:v>48.168993740137971</c:v>
                </c:pt>
                <c:pt idx="42">
                  <c:v>50.382351251236635</c:v>
                </c:pt>
                <c:pt idx="43">
                  <c:v>52.745551251653389</c:v>
                </c:pt>
                <c:pt idx="44">
                  <c:v>55.969930305563317</c:v>
                </c:pt>
                <c:pt idx="45">
                  <c:v>57.720234700852409</c:v>
                </c:pt>
                <c:pt idx="46">
                  <c:v>59.284111096117208</c:v>
                </c:pt>
                <c:pt idx="47">
                  <c:v>61.814542801149209</c:v>
                </c:pt>
                <c:pt idx="48">
                  <c:v>63.816382717832212</c:v>
                </c:pt>
                <c:pt idx="49">
                  <c:v>66.811634471094862</c:v>
                </c:pt>
                <c:pt idx="50">
                  <c:v>69.174834471511616</c:v>
                </c:pt>
                <c:pt idx="51">
                  <c:v>70.67646273921379</c:v>
                </c:pt>
                <c:pt idx="52">
                  <c:v>72.787936630392551</c:v>
                </c:pt>
                <c:pt idx="53">
                  <c:v>75.280477924040667</c:v>
                </c:pt>
                <c:pt idx="54">
                  <c:v>76.481414339619079</c:v>
                </c:pt>
                <c:pt idx="55">
                  <c:v>78.093223936057896</c:v>
                </c:pt>
                <c:pt idx="56">
                  <c:v>79.024996000548214</c:v>
                </c:pt>
                <c:pt idx="57">
                  <c:v>80.750098746123641</c:v>
                </c:pt>
                <c:pt idx="58">
                  <c:v>84.403328955913949</c:v>
                </c:pt>
                <c:pt idx="59">
                  <c:v>86.428952631326254</c:v>
                </c:pt>
                <c:pt idx="60">
                  <c:v>88.071854703304169</c:v>
                </c:pt>
                <c:pt idx="61">
                  <c:v>88.815583877062082</c:v>
                </c:pt>
                <c:pt idx="62">
                  <c:v>89.741045832225467</c:v>
                </c:pt>
                <c:pt idx="63">
                  <c:v>92.054398874696858</c:v>
                </c:pt>
                <c:pt idx="64">
                  <c:v>94.151914692883054</c:v>
                </c:pt>
                <c:pt idx="65">
                  <c:v>94.992728642924746</c:v>
                </c:pt>
                <c:pt idx="66">
                  <c:v>97.139873525266196</c:v>
                </c:pt>
                <c:pt idx="67">
                  <c:v>99.481921199929232</c:v>
                </c:pt>
                <c:pt idx="68">
                  <c:v>101.13249274573435</c:v>
                </c:pt>
                <c:pt idx="69">
                  <c:v>102.98275082474942</c:v>
                </c:pt>
                <c:pt idx="70">
                  <c:v>104.40146579545548</c:v>
                </c:pt>
                <c:pt idx="71">
                  <c:v>106.69046255471945</c:v>
                </c:pt>
                <c:pt idx="72">
                  <c:v>107.26705288069458</c:v>
                </c:pt>
                <c:pt idx="73">
                  <c:v>109.16962899594749</c:v>
                </c:pt>
                <c:pt idx="74">
                  <c:v>111.43884009064446</c:v>
                </c:pt>
                <c:pt idx="75">
                  <c:v>113.02688226409313</c:v>
                </c:pt>
                <c:pt idx="76">
                  <c:v>114.59075865935793</c:v>
                </c:pt>
                <c:pt idx="77">
                  <c:v>115.91671768785137</c:v>
                </c:pt>
                <c:pt idx="78">
                  <c:v>117.93643210220584</c:v>
                </c:pt>
                <c:pt idx="79">
                  <c:v>120.87332595211497</c:v>
                </c:pt>
                <c:pt idx="80">
                  <c:v>123.47469960925253</c:v>
                </c:pt>
                <c:pt idx="81">
                  <c:v>125.40273965660631</c:v>
                </c:pt>
                <c:pt idx="82">
                  <c:v>127.42541172877721</c:v>
                </c:pt>
                <c:pt idx="83">
                  <c:v>128.40669450065263</c:v>
                </c:pt>
                <c:pt idx="84">
                  <c:v>132.42228434893417</c:v>
                </c:pt>
                <c:pt idx="85">
                  <c:v>135.67840968042174</c:v>
                </c:pt>
                <c:pt idx="86">
                  <c:v>143.33035491027587</c:v>
                </c:pt>
                <c:pt idx="87">
                  <c:v>145.65333642044686</c:v>
                </c:pt>
                <c:pt idx="88">
                  <c:v>148.76144907152735</c:v>
                </c:pt>
                <c:pt idx="89">
                  <c:v>150.74215142900721</c:v>
                </c:pt>
                <c:pt idx="90">
                  <c:v>152.47088149141373</c:v>
                </c:pt>
                <c:pt idx="91">
                  <c:v>155.20625851134886</c:v>
                </c:pt>
                <c:pt idx="92">
                  <c:v>156.95656290663797</c:v>
                </c:pt>
                <c:pt idx="93">
                  <c:v>160.80232638039419</c:v>
                </c:pt>
                <c:pt idx="94">
                  <c:v>162.90264464393283</c:v>
                </c:pt>
                <c:pt idx="95">
                  <c:v>165.6052093272134</c:v>
                </c:pt>
                <c:pt idx="96">
                  <c:v>167.79770777390959</c:v>
                </c:pt>
                <c:pt idx="97">
                  <c:v>170.38716518404931</c:v>
                </c:pt>
                <c:pt idx="98">
                  <c:v>172.78266414706872</c:v>
                </c:pt>
                <c:pt idx="99">
                  <c:v>174.59581974738336</c:v>
                </c:pt>
                <c:pt idx="100">
                  <c:v>176.69893501990759</c:v>
                </c:pt>
                <c:pt idx="101">
                  <c:v>178.75085470099174</c:v>
                </c:pt>
                <c:pt idx="102">
                  <c:v>180.61106810848534</c:v>
                </c:pt>
                <c:pt idx="103">
                  <c:v>181.51100979247664</c:v>
                </c:pt>
                <c:pt idx="104">
                  <c:v>183.47642189341261</c:v>
                </c:pt>
                <c:pt idx="105">
                  <c:v>185.47526106462144</c:v>
                </c:pt>
                <c:pt idx="106">
                  <c:v>186.75745039455208</c:v>
                </c:pt>
                <c:pt idx="107">
                  <c:v>189.53894241477764</c:v>
                </c:pt>
                <c:pt idx="108">
                  <c:v>191.99257064469785</c:v>
                </c:pt>
                <c:pt idx="109">
                  <c:v>194.3534356524101</c:v>
                </c:pt>
                <c:pt idx="110">
                  <c:v>196.83741990207068</c:v>
                </c:pt>
                <c:pt idx="111">
                  <c:v>199.28225628962912</c:v>
                </c:pt>
                <c:pt idx="112">
                  <c:v>203.17562098186539</c:v>
                </c:pt>
                <c:pt idx="113">
                  <c:v>206.44673976922064</c:v>
                </c:pt>
                <c:pt idx="114">
                  <c:v>209.19646375011416</c:v>
                </c:pt>
                <c:pt idx="115">
                  <c:v>211.93544091593947</c:v>
                </c:pt>
                <c:pt idx="116">
                  <c:v>214.53483535838063</c:v>
                </c:pt>
                <c:pt idx="117">
                  <c:v>217.21135287200713</c:v>
                </c:pt>
                <c:pt idx="118">
                  <c:v>220.44978647625788</c:v>
                </c:pt>
                <c:pt idx="119">
                  <c:v>223.92673903597336</c:v>
                </c:pt>
                <c:pt idx="120">
                  <c:v>226.90381587194921</c:v>
                </c:pt>
                <c:pt idx="121">
                  <c:v>229.93180470637017</c:v>
                </c:pt>
                <c:pt idx="122">
                  <c:v>232.05158903945957</c:v>
                </c:pt>
                <c:pt idx="123">
                  <c:v>234.03836238561348</c:v>
                </c:pt>
                <c:pt idx="124">
                  <c:v>235.2906158787238</c:v>
                </c:pt>
                <c:pt idx="125">
                  <c:v>237.19960026088052</c:v>
                </c:pt>
                <c:pt idx="126">
                  <c:v>239.94396084682373</c:v>
                </c:pt>
                <c:pt idx="127">
                  <c:v>241.92161809719514</c:v>
                </c:pt>
                <c:pt idx="128">
                  <c:v>243.99651607622516</c:v>
                </c:pt>
                <c:pt idx="129">
                  <c:v>246.50179846320657</c:v>
                </c:pt>
                <c:pt idx="130">
                  <c:v>248.65165106029667</c:v>
                </c:pt>
                <c:pt idx="131">
                  <c:v>251.94619515633426</c:v>
                </c:pt>
                <c:pt idx="132">
                  <c:v>254.76558764894844</c:v>
                </c:pt>
                <c:pt idx="133">
                  <c:v>257.48647351494742</c:v>
                </c:pt>
                <c:pt idx="134">
                  <c:v>259.6444188798493</c:v>
                </c:pt>
                <c:pt idx="135">
                  <c:v>261.79156376219072</c:v>
                </c:pt>
                <c:pt idx="136">
                  <c:v>263.92509326781828</c:v>
                </c:pt>
                <c:pt idx="137">
                  <c:v>266.47410321000598</c:v>
                </c:pt>
                <c:pt idx="138">
                  <c:v>269.24508346304179</c:v>
                </c:pt>
                <c:pt idx="139">
                  <c:v>272.06277464846164</c:v>
                </c:pt>
                <c:pt idx="140">
                  <c:v>274.48315334169195</c:v>
                </c:pt>
                <c:pt idx="141">
                  <c:v>277.25061257300263</c:v>
                </c:pt>
                <c:pt idx="142">
                  <c:v>280.04427224079507</c:v>
                </c:pt>
                <c:pt idx="143">
                  <c:v>282.73201049338417</c:v>
                </c:pt>
                <c:pt idx="144">
                  <c:v>285.98687930393828</c:v>
                </c:pt>
                <c:pt idx="145">
                  <c:v>288.40276622506263</c:v>
                </c:pt>
                <c:pt idx="146">
                  <c:v>290.86948251168633</c:v>
                </c:pt>
                <c:pt idx="147">
                  <c:v>293.45294466296002</c:v>
                </c:pt>
                <c:pt idx="148">
                  <c:v>296.27403645769181</c:v>
                </c:pt>
                <c:pt idx="149">
                  <c:v>299.1919997379037</c:v>
                </c:pt>
                <c:pt idx="150">
                  <c:v>302.14912505826396</c:v>
                </c:pt>
                <c:pt idx="151">
                  <c:v>304.97021685299575</c:v>
                </c:pt>
                <c:pt idx="152">
                  <c:v>307.16008657028573</c:v>
                </c:pt>
                <c:pt idx="153">
                  <c:v>309.79662923143474</c:v>
                </c:pt>
                <c:pt idx="154">
                  <c:v>312.501036544589</c:v>
                </c:pt>
                <c:pt idx="155">
                  <c:v>315.12789577323724</c:v>
                </c:pt>
                <c:pt idx="156">
                  <c:v>318.09579851031015</c:v>
                </c:pt>
                <c:pt idx="157">
                  <c:v>321.00899005639332</c:v>
                </c:pt>
                <c:pt idx="158">
                  <c:v>324.04431660476729</c:v>
                </c:pt>
                <c:pt idx="159">
                  <c:v>327.04407651494876</c:v>
                </c:pt>
                <c:pt idx="160">
                  <c:v>329.85151748411971</c:v>
                </c:pt>
                <c:pt idx="161">
                  <c:v>331.82306515890951</c:v>
                </c:pt>
                <c:pt idx="162">
                  <c:v>333.75425680900423</c:v>
                </c:pt>
                <c:pt idx="163">
                  <c:v>335.15489182268902</c:v>
                </c:pt>
                <c:pt idx="164">
                  <c:v>337.25521008622763</c:v>
                </c:pt>
                <c:pt idx="165">
                  <c:v>340.22311282330054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7D-4566-8881-8CAD746B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696288"/>
        <c:axId val="870693888"/>
      </c:scatterChart>
      <c:valAx>
        <c:axId val="870696288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0693888"/>
        <c:crosses val="autoZero"/>
        <c:crossBetween val="midCat"/>
      </c:valAx>
      <c:valAx>
        <c:axId val="8706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0696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54899387576549"/>
          <c:y val="5.1159594634004095E-2"/>
          <c:w val="0.21023512685914261"/>
          <c:h val="0.35161818314377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93963254593169E-2"/>
          <c:y val="5.0925925925925923E-2"/>
          <c:w val="0.71616212984022842"/>
          <c:h val="0.733394211140274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'Viability Summary'!$B$2</c:f>
              <c:strCache>
                <c:ptCount val="1"/>
                <c:pt idx="0">
                  <c:v>3% FBS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'Viability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'Viability Summary'!$B$3:$B$168</c:f>
              <c:numCache>
                <c:formatCode>0.00</c:formatCode>
                <c:ptCount val="166"/>
                <c:pt idx="0" formatCode="General">
                  <c:v>100</c:v>
                </c:pt>
                <c:pt idx="1">
                  <c:v>98.046875</c:v>
                </c:pt>
                <c:pt idx="2">
                  <c:v>98.814229249011859</c:v>
                </c:pt>
                <c:pt idx="3">
                  <c:v>99.259259259259252</c:v>
                </c:pt>
                <c:pt idx="4">
                  <c:v>96.875</c:v>
                </c:pt>
                <c:pt idx="5">
                  <c:v>73.584905660377359</c:v>
                </c:pt>
                <c:pt idx="6">
                  <c:v>84.375</c:v>
                </c:pt>
                <c:pt idx="7">
                  <c:v>87.606837606837601</c:v>
                </c:pt>
                <c:pt idx="8">
                  <c:v>74.842767295597483</c:v>
                </c:pt>
                <c:pt idx="9">
                  <c:v>87.333333333333329</c:v>
                </c:pt>
                <c:pt idx="10">
                  <c:v>68.382352941176478</c:v>
                </c:pt>
                <c:pt idx="11">
                  <c:v>56.281407035175882</c:v>
                </c:pt>
                <c:pt idx="12">
                  <c:v>68.75</c:v>
                </c:pt>
                <c:pt idx="13">
                  <c:v>74.090909090909093</c:v>
                </c:pt>
                <c:pt idx="14">
                  <c:v>72.59615384615384</c:v>
                </c:pt>
                <c:pt idx="15">
                  <c:v>59.627329192546583</c:v>
                </c:pt>
                <c:pt idx="16">
                  <c:v>55.844155844155843</c:v>
                </c:pt>
                <c:pt idx="17">
                  <c:v>67.692307692307693</c:v>
                </c:pt>
                <c:pt idx="18">
                  <c:v>52.80898876404494</c:v>
                </c:pt>
                <c:pt idx="19">
                  <c:v>67.857142857142861</c:v>
                </c:pt>
                <c:pt idx="20">
                  <c:v>64.766839378238345</c:v>
                </c:pt>
                <c:pt idx="21">
                  <c:v>65.128205128205124</c:v>
                </c:pt>
                <c:pt idx="22">
                  <c:v>58.333333333333336</c:v>
                </c:pt>
                <c:pt idx="23">
                  <c:v>69.73684210526315</c:v>
                </c:pt>
                <c:pt idx="24">
                  <c:v>66.666666666666657</c:v>
                </c:pt>
                <c:pt idx="25">
                  <c:v>74.157303370786522</c:v>
                </c:pt>
                <c:pt idx="26">
                  <c:v>68.711656441717793</c:v>
                </c:pt>
                <c:pt idx="27">
                  <c:v>84.699453551912569</c:v>
                </c:pt>
                <c:pt idx="28">
                  <c:v>90.673575129533674</c:v>
                </c:pt>
                <c:pt idx="29">
                  <c:v>92.617449664429529</c:v>
                </c:pt>
                <c:pt idx="30">
                  <c:v>92.307692307692307</c:v>
                </c:pt>
                <c:pt idx="31">
                  <c:v>91.970802919708035</c:v>
                </c:pt>
                <c:pt idx="32">
                  <c:v>93.706293706293707</c:v>
                </c:pt>
                <c:pt idx="33">
                  <c:v>93.165467625899282</c:v>
                </c:pt>
                <c:pt idx="34">
                  <c:v>98.89196675900277</c:v>
                </c:pt>
                <c:pt idx="35">
                  <c:v>98.465473145780052</c:v>
                </c:pt>
                <c:pt idx="36">
                  <c:v>99.427917620137293</c:v>
                </c:pt>
                <c:pt idx="37">
                  <c:v>99.260355029585796</c:v>
                </c:pt>
                <c:pt idx="38">
                  <c:v>100</c:v>
                </c:pt>
                <c:pt idx="39">
                  <c:v>90.397350993377472</c:v>
                </c:pt>
                <c:pt idx="40">
                  <c:v>96.503496503496507</c:v>
                </c:pt>
                <c:pt idx="41">
                  <c:v>97.278911564625844</c:v>
                </c:pt>
                <c:pt idx="42">
                  <c:v>98.469387755102048</c:v>
                </c:pt>
                <c:pt idx="43">
                  <c:v>99.438202247191015</c:v>
                </c:pt>
                <c:pt idx="44">
                  <c:v>95.092024539877301</c:v>
                </c:pt>
                <c:pt idx="45">
                  <c:v>95.652173913043484</c:v>
                </c:pt>
                <c:pt idx="46">
                  <c:v>100</c:v>
                </c:pt>
                <c:pt idx="47">
                  <c:v>99.574468085106389</c:v>
                </c:pt>
                <c:pt idx="48">
                  <c:v>97.307692307692307</c:v>
                </c:pt>
                <c:pt idx="49">
                  <c:v>98.75</c:v>
                </c:pt>
                <c:pt idx="50">
                  <c:v>98.84937238493724</c:v>
                </c:pt>
                <c:pt idx="51">
                  <c:v>99.616858237547888</c:v>
                </c:pt>
                <c:pt idx="52">
                  <c:v>99.553571428571431</c:v>
                </c:pt>
                <c:pt idx="53">
                  <c:v>99.092088197146566</c:v>
                </c:pt>
                <c:pt idx="54">
                  <c:v>100</c:v>
                </c:pt>
                <c:pt idx="55">
                  <c:v>99.494949494949495</c:v>
                </c:pt>
                <c:pt idx="56">
                  <c:v>99.295774647887328</c:v>
                </c:pt>
                <c:pt idx="57">
                  <c:v>99.712643678160916</c:v>
                </c:pt>
                <c:pt idx="58">
                  <c:v>99.567723342939487</c:v>
                </c:pt>
                <c:pt idx="59">
                  <c:v>90.939597315436231</c:v>
                </c:pt>
                <c:pt idx="60">
                  <c:v>99.534883720930239</c:v>
                </c:pt>
                <c:pt idx="61">
                  <c:v>99.425287356321832</c:v>
                </c:pt>
                <c:pt idx="62">
                  <c:v>99.661016949152554</c:v>
                </c:pt>
                <c:pt idx="63">
                  <c:v>99.348534201954394</c:v>
                </c:pt>
                <c:pt idx="64">
                  <c:v>100</c:v>
                </c:pt>
                <c:pt idx="65">
                  <c:v>99.489795918367349</c:v>
                </c:pt>
                <c:pt idx="66">
                  <c:v>99.393939393939391</c:v>
                </c:pt>
                <c:pt idx="67">
                  <c:v>97.350993377483448</c:v>
                </c:pt>
                <c:pt idx="68">
                  <c:v>97.512437810945272</c:v>
                </c:pt>
                <c:pt idx="69">
                  <c:v>98.305084745762713</c:v>
                </c:pt>
                <c:pt idx="70">
                  <c:v>98.648648648648646</c:v>
                </c:pt>
                <c:pt idx="71">
                  <c:v>99.390243902439025</c:v>
                </c:pt>
                <c:pt idx="72">
                  <c:v>97.326203208556151</c:v>
                </c:pt>
                <c:pt idx="73">
                  <c:v>96.258503401360542</c:v>
                </c:pt>
                <c:pt idx="74">
                  <c:v>99.695121951219505</c:v>
                </c:pt>
                <c:pt idx="75">
                  <c:v>97.666666666666671</c:v>
                </c:pt>
                <c:pt idx="76">
                  <c:v>99.411764705882348</c:v>
                </c:pt>
                <c:pt idx="77">
                  <c:v>96.92307692307692</c:v>
                </c:pt>
                <c:pt idx="78">
                  <c:v>98.161764705882348</c:v>
                </c:pt>
                <c:pt idx="79">
                  <c:v>98.820754716981128</c:v>
                </c:pt>
                <c:pt idx="80">
                  <c:v>99.243856332703217</c:v>
                </c:pt>
                <c:pt idx="81">
                  <c:v>99.509803921568633</c:v>
                </c:pt>
                <c:pt idx="82">
                  <c:v>100</c:v>
                </c:pt>
                <c:pt idx="83">
                  <c:v>95.652173913043484</c:v>
                </c:pt>
                <c:pt idx="84">
                  <c:v>98.550724637681171</c:v>
                </c:pt>
                <c:pt idx="85">
                  <c:v>96.747967479674799</c:v>
                </c:pt>
                <c:pt idx="86">
                  <c:v>95.91651542649727</c:v>
                </c:pt>
                <c:pt idx="87">
                  <c:v>97.031963470319639</c:v>
                </c:pt>
                <c:pt idx="88">
                  <c:v>97.967479674796749</c:v>
                </c:pt>
                <c:pt idx="89">
                  <c:v>100</c:v>
                </c:pt>
                <c:pt idx="90">
                  <c:v>97.872340425531917</c:v>
                </c:pt>
                <c:pt idx="91">
                  <c:v>97.810218978102199</c:v>
                </c:pt>
                <c:pt idx="92">
                  <c:v>95.689655172413794</c:v>
                </c:pt>
                <c:pt idx="93">
                  <c:v>98.966408268733858</c:v>
                </c:pt>
                <c:pt idx="94">
                  <c:v>96.721311475409834</c:v>
                </c:pt>
                <c:pt idx="95">
                  <c:v>99.099099099099092</c:v>
                </c:pt>
                <c:pt idx="96">
                  <c:v>93.388429752066116</c:v>
                </c:pt>
                <c:pt idx="97">
                  <c:v>94.029850746268664</c:v>
                </c:pt>
                <c:pt idx="98">
                  <c:v>100</c:v>
                </c:pt>
                <c:pt idx="99">
                  <c:v>98.275862068965509</c:v>
                </c:pt>
                <c:pt idx="100">
                  <c:v>100</c:v>
                </c:pt>
                <c:pt idx="101">
                  <c:v>95.833333333333343</c:v>
                </c:pt>
                <c:pt idx="102">
                  <c:v>97.452229299363054</c:v>
                </c:pt>
                <c:pt idx="103">
                  <c:v>95.867768595041326</c:v>
                </c:pt>
                <c:pt idx="104">
                  <c:v>98.888888888888886</c:v>
                </c:pt>
                <c:pt idx="105">
                  <c:v>100</c:v>
                </c:pt>
                <c:pt idx="106">
                  <c:v>98.214285714285708</c:v>
                </c:pt>
                <c:pt idx="107">
                  <c:v>98.993288590604024</c:v>
                </c:pt>
                <c:pt idx="108">
                  <c:v>98.571428571428584</c:v>
                </c:pt>
                <c:pt idx="109">
                  <c:v>99.236641221374043</c:v>
                </c:pt>
                <c:pt idx="110">
                  <c:v>98.461538461538467</c:v>
                </c:pt>
                <c:pt idx="111">
                  <c:v>97.765363128491629</c:v>
                </c:pt>
                <c:pt idx="112">
                  <c:v>97.652582159624416</c:v>
                </c:pt>
                <c:pt idx="113">
                  <c:v>90.735694822888277</c:v>
                </c:pt>
                <c:pt idx="114">
                  <c:v>97.9381443298969</c:v>
                </c:pt>
                <c:pt idx="115">
                  <c:v>97.237569060773481</c:v>
                </c:pt>
                <c:pt idx="116">
                  <c:v>97.594501718213053</c:v>
                </c:pt>
                <c:pt idx="117">
                  <c:v>96.341463414634148</c:v>
                </c:pt>
                <c:pt idx="118">
                  <c:v>92.307692307692307</c:v>
                </c:pt>
                <c:pt idx="119">
                  <c:v>95.023696682464447</c:v>
                </c:pt>
                <c:pt idx="120">
                  <c:v>96.385542168674704</c:v>
                </c:pt>
                <c:pt idx="121">
                  <c:v>96.103896103896105</c:v>
                </c:pt>
                <c:pt idx="122">
                  <c:v>93.75</c:v>
                </c:pt>
                <c:pt idx="123">
                  <c:v>98.05825242718447</c:v>
                </c:pt>
                <c:pt idx="124">
                  <c:v>96.741854636591469</c:v>
                </c:pt>
                <c:pt idx="125">
                  <c:v>97.20930232558139</c:v>
                </c:pt>
                <c:pt idx="126">
                  <c:v>98.128342245989302</c:v>
                </c:pt>
                <c:pt idx="127">
                  <c:v>98.255813953488371</c:v>
                </c:pt>
                <c:pt idx="128">
                  <c:v>98.986486486486484</c:v>
                </c:pt>
                <c:pt idx="129">
                  <c:v>97.982708933717575</c:v>
                </c:pt>
                <c:pt idx="130">
                  <c:v>98.214285714285708</c:v>
                </c:pt>
                <c:pt idx="131">
                  <c:v>98.296836982968372</c:v>
                </c:pt>
                <c:pt idx="132">
                  <c:v>98.283261802575112</c:v>
                </c:pt>
                <c:pt idx="133">
                  <c:v>96.100917431192656</c:v>
                </c:pt>
                <c:pt idx="134">
                  <c:v>97.058823529411768</c:v>
                </c:pt>
                <c:pt idx="135">
                  <c:v>98.048780487804876</c:v>
                </c:pt>
                <c:pt idx="136">
                  <c:v>97.457627118644069</c:v>
                </c:pt>
                <c:pt idx="137">
                  <c:v>95.939086294416242</c:v>
                </c:pt>
                <c:pt idx="138">
                  <c:v>96.981891348088539</c:v>
                </c:pt>
                <c:pt idx="139">
                  <c:v>96.320346320346317</c:v>
                </c:pt>
                <c:pt idx="140">
                  <c:v>96</c:v>
                </c:pt>
                <c:pt idx="141">
                  <c:v>95.943204868154154</c:v>
                </c:pt>
                <c:pt idx="142">
                  <c:v>96.443514644351467</c:v>
                </c:pt>
                <c:pt idx="143">
                  <c:v>96.975425330812854</c:v>
                </c:pt>
                <c:pt idx="144">
                  <c:v>97.101449275362313</c:v>
                </c:pt>
                <c:pt idx="145">
                  <c:v>96.650717703349287</c:v>
                </c:pt>
                <c:pt idx="146">
                  <c:v>95.681818181818173</c:v>
                </c:pt>
                <c:pt idx="147">
                  <c:v>95.197740112994353</c:v>
                </c:pt>
                <c:pt idx="148">
                  <c:v>97.830802603036886</c:v>
                </c:pt>
                <c:pt idx="149">
                  <c:v>97.540983606557376</c:v>
                </c:pt>
                <c:pt idx="150">
                  <c:v>97.9381443298969</c:v>
                </c:pt>
                <c:pt idx="151">
                  <c:v>97.614678899082577</c:v>
                </c:pt>
                <c:pt idx="152">
                  <c:v>96.753246753246756</c:v>
                </c:pt>
                <c:pt idx="153">
                  <c:v>94.444444444444443</c:v>
                </c:pt>
                <c:pt idx="154">
                  <c:v>97.064989517819711</c:v>
                </c:pt>
                <c:pt idx="155">
                  <c:v>97.382198952879577</c:v>
                </c:pt>
                <c:pt idx="156">
                  <c:v>97.47899159663865</c:v>
                </c:pt>
                <c:pt idx="157">
                  <c:v>96.068796068796075</c:v>
                </c:pt>
                <c:pt idx="158">
                  <c:v>93.955094991364419</c:v>
                </c:pt>
                <c:pt idx="159">
                  <c:v>94.14414414414415</c:v>
                </c:pt>
                <c:pt idx="160">
                  <c:v>94.155844155844164</c:v>
                </c:pt>
                <c:pt idx="161">
                  <c:v>96.839080459770116</c:v>
                </c:pt>
                <c:pt idx="162">
                  <c:v>98.122065727699521</c:v>
                </c:pt>
                <c:pt idx="163">
                  <c:v>98.326359832635973</c:v>
                </c:pt>
                <c:pt idx="164">
                  <c:v>95.141700404858298</c:v>
                </c:pt>
                <c:pt idx="165">
                  <c:v>94.85861182519281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8B-4EBA-BE9C-664B45868DD9}"/>
            </c:ext>
          </c:extLst>
        </c:ser>
        <c:ser>
          <c:idx val="1"/>
          <c:order val="1"/>
          <c:tx>
            <c:strRef>
              <c:f>'Viability Summary'!$C$2</c:f>
              <c:strCache>
                <c:ptCount val="1"/>
                <c:pt idx="0">
                  <c:v>5% FBS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'Viability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'Viability Summary'!$C$3:$C$168</c:f>
              <c:numCache>
                <c:formatCode>0.00</c:formatCode>
                <c:ptCount val="166"/>
                <c:pt idx="0" formatCode="General">
                  <c:v>100</c:v>
                </c:pt>
                <c:pt idx="1">
                  <c:v>99.650349650349639</c:v>
                </c:pt>
                <c:pt idx="2">
                  <c:v>99.663299663299668</c:v>
                </c:pt>
                <c:pt idx="3">
                  <c:v>98.013245033112582</c:v>
                </c:pt>
                <c:pt idx="4">
                  <c:v>97.345132743362825</c:v>
                </c:pt>
                <c:pt idx="5">
                  <c:v>93.253968253968253</c:v>
                </c:pt>
                <c:pt idx="6">
                  <c:v>90.8</c:v>
                </c:pt>
                <c:pt idx="7">
                  <c:v>91.709844559585491</c:v>
                </c:pt>
                <c:pt idx="8">
                  <c:v>83.908045977011497</c:v>
                </c:pt>
                <c:pt idx="9">
                  <c:v>91.946308724832221</c:v>
                </c:pt>
                <c:pt idx="10">
                  <c:v>85.40145985401459</c:v>
                </c:pt>
                <c:pt idx="11">
                  <c:v>75.159235668789819</c:v>
                </c:pt>
                <c:pt idx="12">
                  <c:v>80</c:v>
                </c:pt>
                <c:pt idx="13">
                  <c:v>84.792626728110605</c:v>
                </c:pt>
                <c:pt idx="14">
                  <c:v>76.683937823834185</c:v>
                </c:pt>
                <c:pt idx="15">
                  <c:v>81.764705882352942</c:v>
                </c:pt>
                <c:pt idx="16">
                  <c:v>82.162162162162161</c:v>
                </c:pt>
                <c:pt idx="17">
                  <c:v>91.914893617021278</c:v>
                </c:pt>
                <c:pt idx="18">
                  <c:v>83.687943262411352</c:v>
                </c:pt>
                <c:pt idx="19">
                  <c:v>86.938775510204081</c:v>
                </c:pt>
                <c:pt idx="20">
                  <c:v>87.727272727272734</c:v>
                </c:pt>
                <c:pt idx="21">
                  <c:v>95.652173913043484</c:v>
                </c:pt>
                <c:pt idx="22">
                  <c:v>86.956521739130437</c:v>
                </c:pt>
                <c:pt idx="23">
                  <c:v>95.13274336283186</c:v>
                </c:pt>
                <c:pt idx="24">
                  <c:v>94.822006472491907</c:v>
                </c:pt>
                <c:pt idx="25">
                  <c:v>97.311827956989248</c:v>
                </c:pt>
                <c:pt idx="26">
                  <c:v>96.089385474860336</c:v>
                </c:pt>
                <c:pt idx="27">
                  <c:v>94.818652849740943</c:v>
                </c:pt>
                <c:pt idx="28">
                  <c:v>96.09375</c:v>
                </c:pt>
                <c:pt idx="29">
                  <c:v>97.033898305084747</c:v>
                </c:pt>
                <c:pt idx="30">
                  <c:v>96.666666666666671</c:v>
                </c:pt>
                <c:pt idx="31">
                  <c:v>95.017793594306056</c:v>
                </c:pt>
                <c:pt idx="32">
                  <c:v>99.2</c:v>
                </c:pt>
                <c:pt idx="33">
                  <c:v>98.976109215017061</c:v>
                </c:pt>
                <c:pt idx="34">
                  <c:v>98.986486486486484</c:v>
                </c:pt>
                <c:pt idx="35">
                  <c:v>99.397590361445793</c:v>
                </c:pt>
                <c:pt idx="36">
                  <c:v>98.095238095238088</c:v>
                </c:pt>
                <c:pt idx="37">
                  <c:v>100</c:v>
                </c:pt>
                <c:pt idx="38">
                  <c:v>99.047619047619051</c:v>
                </c:pt>
                <c:pt idx="39">
                  <c:v>99.21875</c:v>
                </c:pt>
                <c:pt idx="40">
                  <c:v>98.201438848920859</c:v>
                </c:pt>
                <c:pt idx="41">
                  <c:v>98.876404494382015</c:v>
                </c:pt>
                <c:pt idx="42">
                  <c:v>99.378881987577643</c:v>
                </c:pt>
                <c:pt idx="43">
                  <c:v>100</c:v>
                </c:pt>
                <c:pt idx="44">
                  <c:v>96.817420435510897</c:v>
                </c:pt>
                <c:pt idx="45">
                  <c:v>97.89719626168224</c:v>
                </c:pt>
                <c:pt idx="46">
                  <c:v>99.006622516556291</c:v>
                </c:pt>
                <c:pt idx="47">
                  <c:v>98.623853211009177</c:v>
                </c:pt>
                <c:pt idx="48">
                  <c:v>92.857142857142861</c:v>
                </c:pt>
                <c:pt idx="49">
                  <c:v>99.576271186440678</c:v>
                </c:pt>
                <c:pt idx="50">
                  <c:v>99.15397631133672</c:v>
                </c:pt>
                <c:pt idx="51">
                  <c:v>99.290780141843967</c:v>
                </c:pt>
                <c:pt idx="52">
                  <c:v>98.611111111111114</c:v>
                </c:pt>
                <c:pt idx="53">
                  <c:v>96.946564885496173</c:v>
                </c:pt>
                <c:pt idx="54">
                  <c:v>97.959183673469383</c:v>
                </c:pt>
                <c:pt idx="55">
                  <c:v>98.988195615514329</c:v>
                </c:pt>
                <c:pt idx="56">
                  <c:v>95.128939828080235</c:v>
                </c:pt>
                <c:pt idx="57">
                  <c:v>98.795180722891558</c:v>
                </c:pt>
                <c:pt idx="58">
                  <c:v>99.307958477508649</c:v>
                </c:pt>
                <c:pt idx="59">
                  <c:v>96.8</c:v>
                </c:pt>
                <c:pt idx="60">
                  <c:v>98.431372549019599</c:v>
                </c:pt>
                <c:pt idx="61">
                  <c:v>99.201277955271564</c:v>
                </c:pt>
                <c:pt idx="62">
                  <c:v>99.676375404530745</c:v>
                </c:pt>
                <c:pt idx="63">
                  <c:v>97.961630695443645</c:v>
                </c:pt>
                <c:pt idx="64">
                  <c:v>100</c:v>
                </c:pt>
                <c:pt idx="65">
                  <c:v>99.561403508771932</c:v>
                </c:pt>
                <c:pt idx="66">
                  <c:v>97.835497835497833</c:v>
                </c:pt>
                <c:pt idx="67">
                  <c:v>98.73737373737373</c:v>
                </c:pt>
                <c:pt idx="68">
                  <c:v>97.407407407407405</c:v>
                </c:pt>
                <c:pt idx="69">
                  <c:v>97.786720321931583</c:v>
                </c:pt>
                <c:pt idx="70">
                  <c:v>98.780487804878049</c:v>
                </c:pt>
                <c:pt idx="71">
                  <c:v>96.67590027700831</c:v>
                </c:pt>
                <c:pt idx="72">
                  <c:v>100</c:v>
                </c:pt>
                <c:pt idx="73">
                  <c:v>98.214285714285708</c:v>
                </c:pt>
                <c:pt idx="74">
                  <c:v>98.986486486486484</c:v>
                </c:pt>
                <c:pt idx="75">
                  <c:v>97.089947089947088</c:v>
                </c:pt>
                <c:pt idx="76">
                  <c:v>98.290598290598282</c:v>
                </c:pt>
                <c:pt idx="77">
                  <c:v>97.044334975369466</c:v>
                </c:pt>
                <c:pt idx="78">
                  <c:v>97.280334728033466</c:v>
                </c:pt>
                <c:pt idx="79">
                  <c:v>99.668874172185426</c:v>
                </c:pt>
                <c:pt idx="80">
                  <c:v>97.843137254901961</c:v>
                </c:pt>
                <c:pt idx="81">
                  <c:v>99.137931034482762</c:v>
                </c:pt>
                <c:pt idx="82">
                  <c:v>98.872180451127818</c:v>
                </c:pt>
                <c:pt idx="83">
                  <c:v>95.020746887966794</c:v>
                </c:pt>
                <c:pt idx="84">
                  <c:v>98.6013986013986</c:v>
                </c:pt>
                <c:pt idx="85">
                  <c:v>96.666666666666671</c:v>
                </c:pt>
                <c:pt idx="86">
                  <c:v>97.894736842105274</c:v>
                </c:pt>
                <c:pt idx="87">
                  <c:v>96.808510638297875</c:v>
                </c:pt>
                <c:pt idx="88">
                  <c:v>97.046413502109701</c:v>
                </c:pt>
                <c:pt idx="89">
                  <c:v>98.104265402843609</c:v>
                </c:pt>
                <c:pt idx="90">
                  <c:v>100</c:v>
                </c:pt>
                <c:pt idx="91">
                  <c:v>97.354497354497354</c:v>
                </c:pt>
                <c:pt idx="92">
                  <c:v>96.097560975609753</c:v>
                </c:pt>
                <c:pt idx="93">
                  <c:v>99.599198396793582</c:v>
                </c:pt>
                <c:pt idx="94">
                  <c:v>97.94721407624634</c:v>
                </c:pt>
                <c:pt idx="95">
                  <c:v>93.779904306220089</c:v>
                </c:pt>
                <c:pt idx="96">
                  <c:v>94.761904761904759</c:v>
                </c:pt>
                <c:pt idx="97">
                  <c:v>97.129186602870803</c:v>
                </c:pt>
                <c:pt idx="98">
                  <c:v>94.560669456066947</c:v>
                </c:pt>
                <c:pt idx="99">
                  <c:v>99.107142857142861</c:v>
                </c:pt>
                <c:pt idx="100">
                  <c:v>100</c:v>
                </c:pt>
                <c:pt idx="101">
                  <c:v>99.295774647887328</c:v>
                </c:pt>
                <c:pt idx="102">
                  <c:v>99.248120300751879</c:v>
                </c:pt>
                <c:pt idx="103">
                  <c:v>94.236311239193085</c:v>
                </c:pt>
                <c:pt idx="104">
                  <c:v>99.390243902439025</c:v>
                </c:pt>
                <c:pt idx="105">
                  <c:v>97.837837837837839</c:v>
                </c:pt>
                <c:pt idx="106">
                  <c:v>97.819314641744555</c:v>
                </c:pt>
                <c:pt idx="107">
                  <c:v>97.250859106529205</c:v>
                </c:pt>
                <c:pt idx="108">
                  <c:v>98.40425531914893</c:v>
                </c:pt>
                <c:pt idx="109">
                  <c:v>97.841726618705039</c:v>
                </c:pt>
                <c:pt idx="110">
                  <c:v>98</c:v>
                </c:pt>
                <c:pt idx="111">
                  <c:v>98.5</c:v>
                </c:pt>
                <c:pt idx="112">
                  <c:v>98.608349900596423</c:v>
                </c:pt>
                <c:pt idx="113">
                  <c:v>95.95375722543352</c:v>
                </c:pt>
                <c:pt idx="114">
                  <c:v>100</c:v>
                </c:pt>
                <c:pt idx="115">
                  <c:v>96.956521739130437</c:v>
                </c:pt>
                <c:pt idx="116">
                  <c:v>99.224806201550393</c:v>
                </c:pt>
                <c:pt idx="117">
                  <c:v>96.09375</c:v>
                </c:pt>
                <c:pt idx="118">
                  <c:v>95.714285714285722</c:v>
                </c:pt>
                <c:pt idx="119">
                  <c:v>95.412844036697251</c:v>
                </c:pt>
                <c:pt idx="120">
                  <c:v>94.230769230769226</c:v>
                </c:pt>
                <c:pt idx="121">
                  <c:v>95.862068965517238</c:v>
                </c:pt>
                <c:pt idx="122">
                  <c:v>90.756302521008408</c:v>
                </c:pt>
                <c:pt idx="123">
                  <c:v>96.666666666666671</c:v>
                </c:pt>
                <c:pt idx="124">
                  <c:v>96.688741721854313</c:v>
                </c:pt>
                <c:pt idx="125">
                  <c:v>97.029702970297024</c:v>
                </c:pt>
                <c:pt idx="126">
                  <c:v>98.591549295774655</c:v>
                </c:pt>
                <c:pt idx="127">
                  <c:v>97.175141242937855</c:v>
                </c:pt>
                <c:pt idx="128">
                  <c:v>96.721311475409834</c:v>
                </c:pt>
                <c:pt idx="129">
                  <c:v>97.493036211699163</c:v>
                </c:pt>
                <c:pt idx="130">
                  <c:v>97.169811320754718</c:v>
                </c:pt>
                <c:pt idx="131">
                  <c:v>97.633136094674555</c:v>
                </c:pt>
                <c:pt idx="132">
                  <c:v>97.834645669291348</c:v>
                </c:pt>
                <c:pt idx="133">
                  <c:v>97.275204359673026</c:v>
                </c:pt>
                <c:pt idx="134">
                  <c:v>98.064516129032256</c:v>
                </c:pt>
                <c:pt idx="135">
                  <c:v>96.666666666666671</c:v>
                </c:pt>
                <c:pt idx="136">
                  <c:v>97.890295358649794</c:v>
                </c:pt>
                <c:pt idx="137">
                  <c:v>93.409742120343836</c:v>
                </c:pt>
                <c:pt idx="138">
                  <c:v>96.394686907020883</c:v>
                </c:pt>
                <c:pt idx="139">
                  <c:v>96.457765667574932</c:v>
                </c:pt>
                <c:pt idx="140">
                  <c:v>96.652719665271974</c:v>
                </c:pt>
                <c:pt idx="141">
                  <c:v>96.92307692307692</c:v>
                </c:pt>
                <c:pt idx="142">
                  <c:v>96.964586846543</c:v>
                </c:pt>
                <c:pt idx="143">
                  <c:v>97.25158562367865</c:v>
                </c:pt>
                <c:pt idx="144">
                  <c:v>93.191964285714292</c:v>
                </c:pt>
                <c:pt idx="145">
                  <c:v>96.103896103896105</c:v>
                </c:pt>
                <c:pt idx="146">
                  <c:v>97.476340694006311</c:v>
                </c:pt>
                <c:pt idx="147">
                  <c:v>97.714285714285708</c:v>
                </c:pt>
                <c:pt idx="148">
                  <c:v>97.515527950310556</c:v>
                </c:pt>
                <c:pt idx="149">
                  <c:v>97.142857142857139</c:v>
                </c:pt>
                <c:pt idx="150">
                  <c:v>98.203592814371248</c:v>
                </c:pt>
                <c:pt idx="151">
                  <c:v>98.099762470308789</c:v>
                </c:pt>
                <c:pt idx="152">
                  <c:v>97.485207100591722</c:v>
                </c:pt>
                <c:pt idx="153">
                  <c:v>96.927374301675968</c:v>
                </c:pt>
                <c:pt idx="154">
                  <c:v>97.171717171717177</c:v>
                </c:pt>
                <c:pt idx="155">
                  <c:v>97.383720930232556</c:v>
                </c:pt>
                <c:pt idx="156">
                  <c:v>96.701030927835049</c:v>
                </c:pt>
                <c:pt idx="157">
                  <c:v>96.586345381526101</c:v>
                </c:pt>
                <c:pt idx="158">
                  <c:v>94.281045751633982</c:v>
                </c:pt>
                <c:pt idx="159">
                  <c:v>94.318181818181827</c:v>
                </c:pt>
                <c:pt idx="160">
                  <c:v>96.774193548387103</c:v>
                </c:pt>
                <c:pt idx="161">
                  <c:v>96.166134185303505</c:v>
                </c:pt>
                <c:pt idx="162">
                  <c:v>97.269624573378849</c:v>
                </c:pt>
                <c:pt idx="163">
                  <c:v>96</c:v>
                </c:pt>
                <c:pt idx="164">
                  <c:v>98.816568047337284</c:v>
                </c:pt>
                <c:pt idx="165">
                  <c:v>97.629629629629633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8B-4EBA-BE9C-664B45868DD9}"/>
            </c:ext>
          </c:extLst>
        </c:ser>
        <c:ser>
          <c:idx val="2"/>
          <c:order val="2"/>
          <c:tx>
            <c:strRef>
              <c:f>'Viability Summary'!$D$2</c:f>
              <c:strCache>
                <c:ptCount val="1"/>
                <c:pt idx="0">
                  <c:v>10% FBS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'Viability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'Viability Summary'!$D$3:$D$168</c:f>
              <c:numCache>
                <c:formatCode>0.00</c:formatCode>
                <c:ptCount val="166"/>
                <c:pt idx="0" formatCode="General">
                  <c:v>100</c:v>
                </c:pt>
                <c:pt idx="1">
                  <c:v>99.050632911392398</c:v>
                </c:pt>
                <c:pt idx="2">
                  <c:v>99.404761904761912</c:v>
                </c:pt>
                <c:pt idx="3">
                  <c:v>99.2</c:v>
                </c:pt>
                <c:pt idx="4">
                  <c:v>97.278911564625844</c:v>
                </c:pt>
                <c:pt idx="5">
                  <c:v>96.534653465346537</c:v>
                </c:pt>
                <c:pt idx="6">
                  <c:v>95.366795366795358</c:v>
                </c:pt>
                <c:pt idx="7">
                  <c:v>95.918367346938766</c:v>
                </c:pt>
                <c:pt idx="8">
                  <c:v>87.786259541984734</c:v>
                </c:pt>
                <c:pt idx="9">
                  <c:v>96.268656716417908</c:v>
                </c:pt>
                <c:pt idx="10">
                  <c:v>90.909090909090907</c:v>
                </c:pt>
                <c:pt idx="11">
                  <c:v>95.939086294416242</c:v>
                </c:pt>
                <c:pt idx="12">
                  <c:v>93.84615384615384</c:v>
                </c:pt>
                <c:pt idx="13">
                  <c:v>98.039215686274503</c:v>
                </c:pt>
                <c:pt idx="14">
                  <c:v>96.202531645569621</c:v>
                </c:pt>
                <c:pt idx="15">
                  <c:v>91.566265060240966</c:v>
                </c:pt>
                <c:pt idx="16">
                  <c:v>88.888888888888886</c:v>
                </c:pt>
                <c:pt idx="17">
                  <c:v>98.198198198198199</c:v>
                </c:pt>
                <c:pt idx="18">
                  <c:v>97.52066115702479</c:v>
                </c:pt>
                <c:pt idx="19">
                  <c:v>97.692307692307693</c:v>
                </c:pt>
                <c:pt idx="20">
                  <c:v>98.412698412698404</c:v>
                </c:pt>
                <c:pt idx="21">
                  <c:v>97.931034482758619</c:v>
                </c:pt>
                <c:pt idx="22">
                  <c:v>94.73684210526315</c:v>
                </c:pt>
                <c:pt idx="23">
                  <c:v>98.064516129032256</c:v>
                </c:pt>
                <c:pt idx="24">
                  <c:v>96.759259259259252</c:v>
                </c:pt>
                <c:pt idx="25">
                  <c:v>98.319327731092429</c:v>
                </c:pt>
                <c:pt idx="26">
                  <c:v>98.804780876494021</c:v>
                </c:pt>
                <c:pt idx="27">
                  <c:v>98.550724637681171</c:v>
                </c:pt>
                <c:pt idx="28">
                  <c:v>97.68518518518519</c:v>
                </c:pt>
                <c:pt idx="29">
                  <c:v>98.19004524886877</c:v>
                </c:pt>
                <c:pt idx="30">
                  <c:v>98.587570621468927</c:v>
                </c:pt>
                <c:pt idx="31">
                  <c:v>98.039215686274503</c:v>
                </c:pt>
                <c:pt idx="32">
                  <c:v>97.211155378486055</c:v>
                </c:pt>
                <c:pt idx="33">
                  <c:v>99.721448467966582</c:v>
                </c:pt>
                <c:pt idx="34">
                  <c:v>100</c:v>
                </c:pt>
                <c:pt idx="35">
                  <c:v>99.662162162162161</c:v>
                </c:pt>
                <c:pt idx="36">
                  <c:v>100</c:v>
                </c:pt>
                <c:pt idx="37">
                  <c:v>100</c:v>
                </c:pt>
                <c:pt idx="38">
                  <c:v>99.411764705882348</c:v>
                </c:pt>
                <c:pt idx="39">
                  <c:v>99.669966996699671</c:v>
                </c:pt>
                <c:pt idx="40">
                  <c:v>99.497487437185924</c:v>
                </c:pt>
                <c:pt idx="41">
                  <c:v>98.905109489051085</c:v>
                </c:pt>
                <c:pt idx="42">
                  <c:v>98.412698412698404</c:v>
                </c:pt>
                <c:pt idx="43">
                  <c:v>98.39228295819936</c:v>
                </c:pt>
                <c:pt idx="44">
                  <c:v>96.786389413988658</c:v>
                </c:pt>
                <c:pt idx="45">
                  <c:v>98.181818181818187</c:v>
                </c:pt>
                <c:pt idx="46">
                  <c:v>97.534246575342465</c:v>
                </c:pt>
                <c:pt idx="47">
                  <c:v>91.72661870503596</c:v>
                </c:pt>
                <c:pt idx="48">
                  <c:v>86.281588447653434</c:v>
                </c:pt>
                <c:pt idx="49">
                  <c:v>84.546360917248251</c:v>
                </c:pt>
                <c:pt idx="50">
                  <c:v>94.818652849740943</c:v>
                </c:pt>
                <c:pt idx="51">
                  <c:v>95.442359249329755</c:v>
                </c:pt>
                <c:pt idx="52">
                  <c:v>97.262247838616716</c:v>
                </c:pt>
                <c:pt idx="53">
                  <c:v>94.88054607508532</c:v>
                </c:pt>
                <c:pt idx="54">
                  <c:v>91.489361702127653</c:v>
                </c:pt>
                <c:pt idx="55">
                  <c:v>90.186915887850475</c:v>
                </c:pt>
                <c:pt idx="56">
                  <c:v>97.818181818181813</c:v>
                </c:pt>
                <c:pt idx="57">
                  <c:v>98.91304347826086</c:v>
                </c:pt>
                <c:pt idx="58">
                  <c:v>94.600938967136145</c:v>
                </c:pt>
                <c:pt idx="59">
                  <c:v>87.662337662337663</c:v>
                </c:pt>
                <c:pt idx="60">
                  <c:v>81.950774840474011</c:v>
                </c:pt>
                <c:pt idx="61">
                  <c:v>87.225548902195598</c:v>
                </c:pt>
                <c:pt idx="62">
                  <c:v>100</c:v>
                </c:pt>
                <c:pt idx="63">
                  <c:v>97.61904761904762</c:v>
                </c:pt>
                <c:pt idx="64">
                  <c:v>98.167539267015698</c:v>
                </c:pt>
                <c:pt idx="65">
                  <c:v>98.026315789473685</c:v>
                </c:pt>
                <c:pt idx="66">
                  <c:v>97.235772357723576</c:v>
                </c:pt>
                <c:pt idx="67">
                  <c:v>95.064935064935057</c:v>
                </c:pt>
                <c:pt idx="68">
                  <c:v>94.538606403013176</c:v>
                </c:pt>
                <c:pt idx="69">
                  <c:v>92.746113989637308</c:v>
                </c:pt>
                <c:pt idx="70">
                  <c:v>92.171717171717177</c:v>
                </c:pt>
                <c:pt idx="71">
                  <c:v>89.970501474926252</c:v>
                </c:pt>
                <c:pt idx="72">
                  <c:v>91.743119266055047</c:v>
                </c:pt>
                <c:pt idx="73">
                  <c:v>93.240740740740748</c:v>
                </c:pt>
                <c:pt idx="74">
                  <c:v>90.789473684210535</c:v>
                </c:pt>
                <c:pt idx="75">
                  <c:v>89.065606361829026</c:v>
                </c:pt>
                <c:pt idx="76">
                  <c:v>85.964912280701753</c:v>
                </c:pt>
                <c:pt idx="77">
                  <c:v>88.278388278388277</c:v>
                </c:pt>
                <c:pt idx="78">
                  <c:v>91.304347826086953</c:v>
                </c:pt>
                <c:pt idx="79">
                  <c:v>96.382428940568474</c:v>
                </c:pt>
                <c:pt idx="80">
                  <c:v>98.520900321543408</c:v>
                </c:pt>
                <c:pt idx="81">
                  <c:v>94.691224268689055</c:v>
                </c:pt>
                <c:pt idx="82">
                  <c:v>90.871369294605813</c:v>
                </c:pt>
                <c:pt idx="83">
                  <c:v>94.05684754521964</c:v>
                </c:pt>
                <c:pt idx="84">
                  <c:v>93.712930011862397</c:v>
                </c:pt>
                <c:pt idx="85">
                  <c:v>91.17647058823529</c:v>
                </c:pt>
                <c:pt idx="86">
                  <c:v>93</c:v>
                </c:pt>
                <c:pt idx="87">
                  <c:v>89.402697495183048</c:v>
                </c:pt>
                <c:pt idx="88">
                  <c:v>86.58536585365853</c:v>
                </c:pt>
                <c:pt idx="89">
                  <c:v>93.650793650793645</c:v>
                </c:pt>
                <c:pt idx="90">
                  <c:v>93.023255813953483</c:v>
                </c:pt>
                <c:pt idx="91">
                  <c:v>97.105643994211292</c:v>
                </c:pt>
                <c:pt idx="92">
                  <c:v>98.607888631090489</c:v>
                </c:pt>
                <c:pt idx="93">
                  <c:v>99.87373737373737</c:v>
                </c:pt>
                <c:pt idx="94">
                  <c:v>98.205128205128204</c:v>
                </c:pt>
                <c:pt idx="95">
                  <c:v>97.9739507959479</c:v>
                </c:pt>
                <c:pt idx="96">
                  <c:v>95.854922279792746</c:v>
                </c:pt>
                <c:pt idx="97">
                  <c:v>96.867167919799499</c:v>
                </c:pt>
                <c:pt idx="98">
                  <c:v>96.324655436447173</c:v>
                </c:pt>
                <c:pt idx="99">
                  <c:v>97.831325301204814</c:v>
                </c:pt>
                <c:pt idx="100">
                  <c:v>96.574225122349105</c:v>
                </c:pt>
                <c:pt idx="101">
                  <c:v>95.652173913043484</c:v>
                </c:pt>
                <c:pt idx="102">
                  <c:v>95.7912457912458</c:v>
                </c:pt>
                <c:pt idx="103">
                  <c:v>95.72072072072072</c:v>
                </c:pt>
                <c:pt idx="104">
                  <c:v>94.293478260869563</c:v>
                </c:pt>
                <c:pt idx="105">
                  <c:v>94.330708661417319</c:v>
                </c:pt>
                <c:pt idx="106">
                  <c:v>96.853932584269671</c:v>
                </c:pt>
                <c:pt idx="107">
                  <c:v>93.659942363112393</c:v>
                </c:pt>
                <c:pt idx="108">
                  <c:v>79.069767441860463</c:v>
                </c:pt>
                <c:pt idx="109">
                  <c:v>95.762711864406782</c:v>
                </c:pt>
                <c:pt idx="110">
                  <c:v>98.297872340425528</c:v>
                </c:pt>
                <c:pt idx="111">
                  <c:v>95.901639344262293</c:v>
                </c:pt>
                <c:pt idx="112">
                  <c:v>96.317280453257794</c:v>
                </c:pt>
                <c:pt idx="113">
                  <c:v>92.76315789473685</c:v>
                </c:pt>
                <c:pt idx="114">
                  <c:v>89.445910290237464</c:v>
                </c:pt>
                <c:pt idx="115">
                  <c:v>88.1542699724518</c:v>
                </c:pt>
                <c:pt idx="116">
                  <c:v>86.390532544378701</c:v>
                </c:pt>
                <c:pt idx="117">
                  <c:v>86.816720257234721</c:v>
                </c:pt>
                <c:pt idx="118">
                  <c:v>87.740384615384613</c:v>
                </c:pt>
                <c:pt idx="119">
                  <c:v>90.476190476190482</c:v>
                </c:pt>
                <c:pt idx="120">
                  <c:v>91.099476439790578</c:v>
                </c:pt>
                <c:pt idx="121">
                  <c:v>94.094488188976371</c:v>
                </c:pt>
                <c:pt idx="122">
                  <c:v>95.02262443438913</c:v>
                </c:pt>
                <c:pt idx="123">
                  <c:v>91.099476439790578</c:v>
                </c:pt>
                <c:pt idx="124">
                  <c:v>96.764252696456083</c:v>
                </c:pt>
                <c:pt idx="125">
                  <c:v>95.934959349593498</c:v>
                </c:pt>
                <c:pt idx="126">
                  <c:v>97.297297297297305</c:v>
                </c:pt>
                <c:pt idx="127">
                  <c:v>97.002141327623121</c:v>
                </c:pt>
                <c:pt idx="128">
                  <c:v>96.359743040685217</c:v>
                </c:pt>
                <c:pt idx="129">
                  <c:v>97.239263803680984</c:v>
                </c:pt>
                <c:pt idx="130">
                  <c:v>98.168498168498161</c:v>
                </c:pt>
                <c:pt idx="131">
                  <c:v>96.785714285714292</c:v>
                </c:pt>
                <c:pt idx="132">
                  <c:v>96.90844233055887</c:v>
                </c:pt>
                <c:pt idx="133">
                  <c:v>91.153846153846146</c:v>
                </c:pt>
                <c:pt idx="134">
                  <c:v>91.25</c:v>
                </c:pt>
                <c:pt idx="135">
                  <c:v>88.505747126436788</c:v>
                </c:pt>
                <c:pt idx="136">
                  <c:v>94.814814814814824</c:v>
                </c:pt>
                <c:pt idx="137">
                  <c:v>97.338403041825089</c:v>
                </c:pt>
                <c:pt idx="138">
                  <c:v>92.549019607843135</c:v>
                </c:pt>
                <c:pt idx="139">
                  <c:v>95.6989247311828</c:v>
                </c:pt>
                <c:pt idx="140">
                  <c:v>94.986807387862797</c:v>
                </c:pt>
                <c:pt idx="141">
                  <c:v>91.341256366723258</c:v>
                </c:pt>
                <c:pt idx="142">
                  <c:v>96.085409252669038</c:v>
                </c:pt>
                <c:pt idx="143">
                  <c:v>96.969696969696969</c:v>
                </c:pt>
                <c:pt idx="144">
                  <c:v>88.02721088435375</c:v>
                </c:pt>
                <c:pt idx="145">
                  <c:v>93.518518518518519</c:v>
                </c:pt>
                <c:pt idx="146">
                  <c:v>92.361111111111114</c:v>
                </c:pt>
                <c:pt idx="147">
                  <c:v>94.827586206896555</c:v>
                </c:pt>
                <c:pt idx="148">
                  <c:v>94.756554307116104</c:v>
                </c:pt>
                <c:pt idx="149">
                  <c:v>96.212121212121218</c:v>
                </c:pt>
                <c:pt idx="150">
                  <c:v>93.238434163701072</c:v>
                </c:pt>
                <c:pt idx="151">
                  <c:v>90.211132437619952</c:v>
                </c:pt>
                <c:pt idx="152">
                  <c:v>94.421199442119942</c:v>
                </c:pt>
                <c:pt idx="153">
                  <c:v>95.728155339805824</c:v>
                </c:pt>
                <c:pt idx="154">
                  <c:v>93.387589013224826</c:v>
                </c:pt>
                <c:pt idx="155">
                  <c:v>91.575663026521056</c:v>
                </c:pt>
                <c:pt idx="156">
                  <c:v>89.345314505776642</c:v>
                </c:pt>
                <c:pt idx="157">
                  <c:v>87.318361955085862</c:v>
                </c:pt>
                <c:pt idx="158">
                  <c:v>84.117125110913932</c:v>
                </c:pt>
                <c:pt idx="159">
                  <c:v>74.285714285714292</c:v>
                </c:pt>
                <c:pt idx="160">
                  <c:v>89.306358381502889</c:v>
                </c:pt>
                <c:pt idx="161">
                  <c:v>96.389891696750908</c:v>
                </c:pt>
                <c:pt idx="162">
                  <c:v>97.406807131280388</c:v>
                </c:pt>
                <c:pt idx="163">
                  <c:v>93.407613741875579</c:v>
                </c:pt>
                <c:pt idx="164">
                  <c:v>95.739348370927317</c:v>
                </c:pt>
                <c:pt idx="165">
                  <c:v>95.3125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8B-4EBA-BE9C-664B45868DD9}"/>
            </c:ext>
          </c:extLst>
        </c:ser>
        <c:ser>
          <c:idx val="3"/>
          <c:order val="3"/>
          <c:tx>
            <c:strRef>
              <c:f>'Viability Summary'!$E$2</c:f>
              <c:strCache>
                <c:ptCount val="1"/>
                <c:pt idx="0">
                  <c:v>15% FBS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C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'Viability Summary'!$A$3:$A$168</c:f>
              <c:numCache>
                <c:formatCode>General</c:formatCode>
                <c:ptCount val="166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10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56</c:v>
                </c:pt>
                <c:pt idx="11">
                  <c:v>63</c:v>
                </c:pt>
                <c:pt idx="12">
                  <c:v>70</c:v>
                </c:pt>
                <c:pt idx="13">
                  <c:v>77</c:v>
                </c:pt>
                <c:pt idx="14">
                  <c:v>86</c:v>
                </c:pt>
                <c:pt idx="15">
                  <c:v>98</c:v>
                </c:pt>
                <c:pt idx="16">
                  <c:v>105</c:v>
                </c:pt>
                <c:pt idx="17">
                  <c:v>112</c:v>
                </c:pt>
                <c:pt idx="18">
                  <c:v>119</c:v>
                </c:pt>
                <c:pt idx="19">
                  <c:v>126</c:v>
                </c:pt>
                <c:pt idx="20">
                  <c:v>133</c:v>
                </c:pt>
                <c:pt idx="21">
                  <c:v>140</c:v>
                </c:pt>
                <c:pt idx="22">
                  <c:v>147</c:v>
                </c:pt>
                <c:pt idx="23">
                  <c:v>154</c:v>
                </c:pt>
                <c:pt idx="24">
                  <c:v>161</c:v>
                </c:pt>
                <c:pt idx="25">
                  <c:v>169</c:v>
                </c:pt>
                <c:pt idx="26">
                  <c:v>175</c:v>
                </c:pt>
                <c:pt idx="27">
                  <c:v>182</c:v>
                </c:pt>
                <c:pt idx="28">
                  <c:v>189</c:v>
                </c:pt>
                <c:pt idx="29">
                  <c:v>196</c:v>
                </c:pt>
                <c:pt idx="30">
                  <c:v>203</c:v>
                </c:pt>
                <c:pt idx="31">
                  <c:v>210</c:v>
                </c:pt>
                <c:pt idx="32">
                  <c:v>216</c:v>
                </c:pt>
                <c:pt idx="33">
                  <c:v>223</c:v>
                </c:pt>
                <c:pt idx="34">
                  <c:v>230</c:v>
                </c:pt>
                <c:pt idx="35">
                  <c:v>236</c:v>
                </c:pt>
                <c:pt idx="36">
                  <c:v>243</c:v>
                </c:pt>
                <c:pt idx="37">
                  <c:v>250</c:v>
                </c:pt>
                <c:pt idx="38">
                  <c:v>257</c:v>
                </c:pt>
                <c:pt idx="39">
                  <c:v>264</c:v>
                </c:pt>
                <c:pt idx="40">
                  <c:v>270</c:v>
                </c:pt>
                <c:pt idx="41">
                  <c:v>277</c:v>
                </c:pt>
                <c:pt idx="42">
                  <c:v>284</c:v>
                </c:pt>
                <c:pt idx="43">
                  <c:v>291</c:v>
                </c:pt>
                <c:pt idx="44">
                  <c:v>299</c:v>
                </c:pt>
                <c:pt idx="45">
                  <c:v>306</c:v>
                </c:pt>
                <c:pt idx="46">
                  <c:v>313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343</c:v>
                </c:pt>
                <c:pt idx="51">
                  <c:v>348</c:v>
                </c:pt>
                <c:pt idx="52">
                  <c:v>355</c:v>
                </c:pt>
                <c:pt idx="53">
                  <c:v>363</c:v>
                </c:pt>
                <c:pt idx="54">
                  <c:v>369</c:v>
                </c:pt>
                <c:pt idx="55">
                  <c:v>376</c:v>
                </c:pt>
                <c:pt idx="56">
                  <c:v>383</c:v>
                </c:pt>
                <c:pt idx="57">
                  <c:v>390</c:v>
                </c:pt>
                <c:pt idx="58">
                  <c:v>398</c:v>
                </c:pt>
                <c:pt idx="59">
                  <c:v>404</c:v>
                </c:pt>
                <c:pt idx="60">
                  <c:v>411</c:v>
                </c:pt>
                <c:pt idx="61">
                  <c:v>418</c:v>
                </c:pt>
                <c:pt idx="62">
                  <c:v>425</c:v>
                </c:pt>
                <c:pt idx="63">
                  <c:v>432</c:v>
                </c:pt>
                <c:pt idx="64">
                  <c:v>439</c:v>
                </c:pt>
                <c:pt idx="65">
                  <c:v>445</c:v>
                </c:pt>
                <c:pt idx="66">
                  <c:v>452</c:v>
                </c:pt>
                <c:pt idx="67">
                  <c:v>460</c:v>
                </c:pt>
                <c:pt idx="68">
                  <c:v>466</c:v>
                </c:pt>
                <c:pt idx="69">
                  <c:v>473</c:v>
                </c:pt>
                <c:pt idx="70">
                  <c:v>480</c:v>
                </c:pt>
                <c:pt idx="71">
                  <c:v>487</c:v>
                </c:pt>
                <c:pt idx="72">
                  <c:v>494</c:v>
                </c:pt>
                <c:pt idx="73">
                  <c:v>501</c:v>
                </c:pt>
                <c:pt idx="74">
                  <c:v>508</c:v>
                </c:pt>
                <c:pt idx="75">
                  <c:v>515</c:v>
                </c:pt>
                <c:pt idx="76">
                  <c:v>522</c:v>
                </c:pt>
                <c:pt idx="77">
                  <c:v>529</c:v>
                </c:pt>
                <c:pt idx="78">
                  <c:v>536</c:v>
                </c:pt>
                <c:pt idx="79">
                  <c:v>543</c:v>
                </c:pt>
                <c:pt idx="80">
                  <c:v>550</c:v>
                </c:pt>
                <c:pt idx="81">
                  <c:v>557</c:v>
                </c:pt>
                <c:pt idx="82">
                  <c:v>564</c:v>
                </c:pt>
                <c:pt idx="83">
                  <c:v>572</c:v>
                </c:pt>
                <c:pt idx="84">
                  <c:v>578</c:v>
                </c:pt>
                <c:pt idx="85">
                  <c:v>584</c:v>
                </c:pt>
                <c:pt idx="86">
                  <c:v>592</c:v>
                </c:pt>
                <c:pt idx="87">
                  <c:v>598</c:v>
                </c:pt>
                <c:pt idx="88">
                  <c:v>606</c:v>
                </c:pt>
                <c:pt idx="89">
                  <c:v>612</c:v>
                </c:pt>
                <c:pt idx="90">
                  <c:v>619</c:v>
                </c:pt>
                <c:pt idx="91">
                  <c:v>626</c:v>
                </c:pt>
                <c:pt idx="92">
                  <c:v>633</c:v>
                </c:pt>
                <c:pt idx="93">
                  <c:v>640</c:v>
                </c:pt>
                <c:pt idx="94">
                  <c:v>647</c:v>
                </c:pt>
                <c:pt idx="95">
                  <c:v>654</c:v>
                </c:pt>
                <c:pt idx="96">
                  <c:v>661</c:v>
                </c:pt>
                <c:pt idx="97">
                  <c:v>668</c:v>
                </c:pt>
                <c:pt idx="98">
                  <c:v>675</c:v>
                </c:pt>
                <c:pt idx="99">
                  <c:v>682</c:v>
                </c:pt>
                <c:pt idx="100">
                  <c:v>689</c:v>
                </c:pt>
                <c:pt idx="101">
                  <c:v>696</c:v>
                </c:pt>
                <c:pt idx="102">
                  <c:v>703</c:v>
                </c:pt>
                <c:pt idx="103">
                  <c:v>710</c:v>
                </c:pt>
                <c:pt idx="104">
                  <c:v>717</c:v>
                </c:pt>
                <c:pt idx="105">
                  <c:v>724</c:v>
                </c:pt>
                <c:pt idx="106">
                  <c:v>731</c:v>
                </c:pt>
                <c:pt idx="107">
                  <c:v>738</c:v>
                </c:pt>
                <c:pt idx="108">
                  <c:v>745</c:v>
                </c:pt>
                <c:pt idx="109">
                  <c:v>752</c:v>
                </c:pt>
                <c:pt idx="110">
                  <c:v>761</c:v>
                </c:pt>
                <c:pt idx="111">
                  <c:v>766</c:v>
                </c:pt>
                <c:pt idx="112">
                  <c:v>773</c:v>
                </c:pt>
                <c:pt idx="113">
                  <c:v>780</c:v>
                </c:pt>
                <c:pt idx="114">
                  <c:v>787</c:v>
                </c:pt>
                <c:pt idx="115">
                  <c:v>794</c:v>
                </c:pt>
                <c:pt idx="116">
                  <c:v>801</c:v>
                </c:pt>
                <c:pt idx="117">
                  <c:v>808</c:v>
                </c:pt>
                <c:pt idx="118">
                  <c:v>815</c:v>
                </c:pt>
                <c:pt idx="119">
                  <c:v>823</c:v>
                </c:pt>
                <c:pt idx="120">
                  <c:v>829</c:v>
                </c:pt>
                <c:pt idx="121">
                  <c:v>836</c:v>
                </c:pt>
                <c:pt idx="122">
                  <c:v>843</c:v>
                </c:pt>
                <c:pt idx="123">
                  <c:v>850</c:v>
                </c:pt>
                <c:pt idx="124">
                  <c:v>857</c:v>
                </c:pt>
                <c:pt idx="125">
                  <c:v>864</c:v>
                </c:pt>
                <c:pt idx="126">
                  <c:v>871</c:v>
                </c:pt>
                <c:pt idx="127">
                  <c:v>878</c:v>
                </c:pt>
                <c:pt idx="128">
                  <c:v>885</c:v>
                </c:pt>
                <c:pt idx="129">
                  <c:v>892</c:v>
                </c:pt>
                <c:pt idx="130">
                  <c:v>899</c:v>
                </c:pt>
                <c:pt idx="131">
                  <c:v>906</c:v>
                </c:pt>
                <c:pt idx="132">
                  <c:v>914</c:v>
                </c:pt>
                <c:pt idx="133">
                  <c:v>921</c:v>
                </c:pt>
                <c:pt idx="134">
                  <c:v>928</c:v>
                </c:pt>
                <c:pt idx="135">
                  <c:v>935</c:v>
                </c:pt>
                <c:pt idx="136">
                  <c:v>942</c:v>
                </c:pt>
                <c:pt idx="137">
                  <c:v>949</c:v>
                </c:pt>
                <c:pt idx="138">
                  <c:v>956</c:v>
                </c:pt>
                <c:pt idx="139">
                  <c:v>963</c:v>
                </c:pt>
                <c:pt idx="140">
                  <c:v>970</c:v>
                </c:pt>
                <c:pt idx="141">
                  <c:v>977</c:v>
                </c:pt>
                <c:pt idx="142">
                  <c:v>984</c:v>
                </c:pt>
                <c:pt idx="143">
                  <c:v>991</c:v>
                </c:pt>
                <c:pt idx="144">
                  <c:v>998</c:v>
                </c:pt>
                <c:pt idx="145">
                  <c:v>1005</c:v>
                </c:pt>
                <c:pt idx="146">
                  <c:v>1012</c:v>
                </c:pt>
                <c:pt idx="147">
                  <c:v>1019</c:v>
                </c:pt>
                <c:pt idx="148">
                  <c:v>1026</c:v>
                </c:pt>
                <c:pt idx="149">
                  <c:v>1033</c:v>
                </c:pt>
                <c:pt idx="150">
                  <c:v>1040</c:v>
                </c:pt>
                <c:pt idx="151">
                  <c:v>1047</c:v>
                </c:pt>
                <c:pt idx="152">
                  <c:v>1054</c:v>
                </c:pt>
                <c:pt idx="153">
                  <c:v>1061</c:v>
                </c:pt>
                <c:pt idx="154">
                  <c:v>1068</c:v>
                </c:pt>
                <c:pt idx="155">
                  <c:v>1075</c:v>
                </c:pt>
                <c:pt idx="156">
                  <c:v>1082</c:v>
                </c:pt>
                <c:pt idx="157">
                  <c:v>1089</c:v>
                </c:pt>
                <c:pt idx="158">
                  <c:v>1096</c:v>
                </c:pt>
                <c:pt idx="159">
                  <c:v>1103</c:v>
                </c:pt>
                <c:pt idx="160">
                  <c:v>1110</c:v>
                </c:pt>
                <c:pt idx="161">
                  <c:v>1117</c:v>
                </c:pt>
                <c:pt idx="162">
                  <c:v>1124</c:v>
                </c:pt>
                <c:pt idx="163">
                  <c:v>1131</c:v>
                </c:pt>
                <c:pt idx="164">
                  <c:v>1138</c:v>
                </c:pt>
                <c:pt idx="165">
                  <c:v>1145</c:v>
                </c:pt>
              </c:numCache>
            </c:numRef>
          </c:xVal>
          <c:yVal>
            <c:numRef>
              <c:f>'Viability Summary'!$E$3:$E$168</c:f>
              <c:numCache>
                <c:formatCode>0.00</c:formatCode>
                <c:ptCount val="166"/>
                <c:pt idx="0" formatCode="General">
                  <c:v>100</c:v>
                </c:pt>
                <c:pt idx="1">
                  <c:v>98.928571428571431</c:v>
                </c:pt>
                <c:pt idx="2">
                  <c:v>99.656357388316152</c:v>
                </c:pt>
                <c:pt idx="3">
                  <c:v>98.265895953757223</c:v>
                </c:pt>
                <c:pt idx="4">
                  <c:v>100</c:v>
                </c:pt>
                <c:pt idx="5">
                  <c:v>95.348837209302332</c:v>
                </c:pt>
                <c:pt idx="6">
                  <c:v>96.350364963503651</c:v>
                </c:pt>
                <c:pt idx="7">
                  <c:v>96.354166666666657</c:v>
                </c:pt>
                <c:pt idx="8">
                  <c:v>93.939393939393938</c:v>
                </c:pt>
                <c:pt idx="9">
                  <c:v>97</c:v>
                </c:pt>
                <c:pt idx="10">
                  <c:v>93.865030674846622</c:v>
                </c:pt>
                <c:pt idx="11">
                  <c:v>93.236714975845416</c:v>
                </c:pt>
                <c:pt idx="12">
                  <c:v>96.666666666666671</c:v>
                </c:pt>
                <c:pt idx="13">
                  <c:v>97.409326424870471</c:v>
                </c:pt>
                <c:pt idx="14">
                  <c:v>98.591549295774655</c:v>
                </c:pt>
                <c:pt idx="15">
                  <c:v>94.594594594594597</c:v>
                </c:pt>
                <c:pt idx="16">
                  <c:v>93.582887700534755</c:v>
                </c:pt>
                <c:pt idx="17">
                  <c:v>98.958333333333343</c:v>
                </c:pt>
                <c:pt idx="18">
                  <c:v>100</c:v>
                </c:pt>
                <c:pt idx="19">
                  <c:v>98.678414096916299</c:v>
                </c:pt>
                <c:pt idx="20">
                  <c:v>96.511627906976756</c:v>
                </c:pt>
                <c:pt idx="21">
                  <c:v>98.936170212765958</c:v>
                </c:pt>
                <c:pt idx="22">
                  <c:v>97.241379310344826</c:v>
                </c:pt>
                <c:pt idx="23">
                  <c:v>98.830409356725141</c:v>
                </c:pt>
                <c:pt idx="24">
                  <c:v>98.963730569948183</c:v>
                </c:pt>
                <c:pt idx="25">
                  <c:v>98.82352941176471</c:v>
                </c:pt>
                <c:pt idx="26">
                  <c:v>99.619771863117862</c:v>
                </c:pt>
                <c:pt idx="27">
                  <c:v>98.958333333333343</c:v>
                </c:pt>
                <c:pt idx="28">
                  <c:v>98.513011152416354</c:v>
                </c:pt>
                <c:pt idx="29">
                  <c:v>99.050632911392398</c:v>
                </c:pt>
                <c:pt idx="30">
                  <c:v>98.507462686567166</c:v>
                </c:pt>
                <c:pt idx="31">
                  <c:v>98.40425531914893</c:v>
                </c:pt>
                <c:pt idx="32">
                  <c:v>100</c:v>
                </c:pt>
                <c:pt idx="33">
                  <c:v>99.799599198396791</c:v>
                </c:pt>
                <c:pt idx="34">
                  <c:v>99.793814432989691</c:v>
                </c:pt>
                <c:pt idx="35">
                  <c:v>99.638989169675085</c:v>
                </c:pt>
                <c:pt idx="36">
                  <c:v>100</c:v>
                </c:pt>
                <c:pt idx="37">
                  <c:v>99.796334012219958</c:v>
                </c:pt>
                <c:pt idx="38">
                  <c:v>98.762886597938149</c:v>
                </c:pt>
                <c:pt idx="39">
                  <c:v>97.005988023952099</c:v>
                </c:pt>
                <c:pt idx="40">
                  <c:v>99.134199134199136</c:v>
                </c:pt>
                <c:pt idx="41">
                  <c:v>99.468085106382972</c:v>
                </c:pt>
                <c:pt idx="42">
                  <c:v>98.75886524822694</c:v>
                </c:pt>
                <c:pt idx="43">
                  <c:v>98.564593301435409</c:v>
                </c:pt>
                <c:pt idx="44">
                  <c:v>98.422436459246271</c:v>
                </c:pt>
                <c:pt idx="45">
                  <c:v>97.820823244552059</c:v>
                </c:pt>
                <c:pt idx="46">
                  <c:v>99.719101123595507</c:v>
                </c:pt>
                <c:pt idx="47">
                  <c:v>99.142857142857139</c:v>
                </c:pt>
                <c:pt idx="48">
                  <c:v>98.3640081799591</c:v>
                </c:pt>
                <c:pt idx="49">
                  <c:v>98.256410256410248</c:v>
                </c:pt>
                <c:pt idx="50">
                  <c:v>98.251192368839426</c:v>
                </c:pt>
                <c:pt idx="51">
                  <c:v>99.706744868035187</c:v>
                </c:pt>
                <c:pt idx="52">
                  <c:v>99.425287356321832</c:v>
                </c:pt>
                <c:pt idx="53">
                  <c:v>97.406340057636882</c:v>
                </c:pt>
                <c:pt idx="54">
                  <c:v>98.571428571428584</c:v>
                </c:pt>
                <c:pt idx="55">
                  <c:v>98.921832884097043</c:v>
                </c:pt>
                <c:pt idx="56">
                  <c:v>98.283261802575112</c:v>
                </c:pt>
                <c:pt idx="57">
                  <c:v>99.25</c:v>
                </c:pt>
                <c:pt idx="58">
                  <c:v>96.92307692307692</c:v>
                </c:pt>
                <c:pt idx="59">
                  <c:v>94.767441860465112</c:v>
                </c:pt>
                <c:pt idx="60">
                  <c:v>98.425196850393704</c:v>
                </c:pt>
                <c:pt idx="61">
                  <c:v>99.504950495049499</c:v>
                </c:pt>
                <c:pt idx="62">
                  <c:v>94.605809128630696</c:v>
                </c:pt>
                <c:pt idx="63">
                  <c:v>99.334442595673877</c:v>
                </c:pt>
                <c:pt idx="64">
                  <c:v>100</c:v>
                </c:pt>
                <c:pt idx="65">
                  <c:v>100</c:v>
                </c:pt>
                <c:pt idx="66">
                  <c:v>99.812382739211998</c:v>
                </c:pt>
                <c:pt idx="67">
                  <c:v>99.836065573770497</c:v>
                </c:pt>
                <c:pt idx="68">
                  <c:v>99.47229551451187</c:v>
                </c:pt>
                <c:pt idx="69">
                  <c:v>98.633257403189063</c:v>
                </c:pt>
                <c:pt idx="70">
                  <c:v>99.689440993788821</c:v>
                </c:pt>
                <c:pt idx="71">
                  <c:v>99.660441426146008</c:v>
                </c:pt>
                <c:pt idx="72">
                  <c:v>98.895027624309392</c:v>
                </c:pt>
                <c:pt idx="73">
                  <c:v>98.898678414096921</c:v>
                </c:pt>
                <c:pt idx="74">
                  <c:v>99.484536082474222</c:v>
                </c:pt>
                <c:pt idx="75">
                  <c:v>99.723756906077341</c:v>
                </c:pt>
                <c:pt idx="76">
                  <c:v>99.162011173184368</c:v>
                </c:pt>
                <c:pt idx="77">
                  <c:v>99.339933993399342</c:v>
                </c:pt>
                <c:pt idx="78">
                  <c:v>99.185336048879833</c:v>
                </c:pt>
                <c:pt idx="79">
                  <c:v>100</c:v>
                </c:pt>
                <c:pt idx="80">
                  <c:v>99.048913043478265</c:v>
                </c:pt>
                <c:pt idx="81">
                  <c:v>99.34782608695653</c:v>
                </c:pt>
                <c:pt idx="82">
                  <c:v>97.6</c:v>
                </c:pt>
                <c:pt idx="83">
                  <c:v>94.422310756972109</c:v>
                </c:pt>
                <c:pt idx="84">
                  <c:v>95.857988165680467</c:v>
                </c:pt>
                <c:pt idx="85">
                  <c:v>92.880258899676377</c:v>
                </c:pt>
                <c:pt idx="86">
                  <c:v>96.375</c:v>
                </c:pt>
                <c:pt idx="87">
                  <c:v>88.774002954209749</c:v>
                </c:pt>
                <c:pt idx="88">
                  <c:v>91.197183098591552</c:v>
                </c:pt>
                <c:pt idx="89">
                  <c:v>94.047619047619051</c:v>
                </c:pt>
                <c:pt idx="90">
                  <c:v>95.44364508393285</c:v>
                </c:pt>
                <c:pt idx="91">
                  <c:v>98.159509202453989</c:v>
                </c:pt>
                <c:pt idx="92">
                  <c:v>97.820823244552059</c:v>
                </c:pt>
                <c:pt idx="93">
                  <c:v>99.884393063583815</c:v>
                </c:pt>
                <c:pt idx="94">
                  <c:v>97.353497164461245</c:v>
                </c:pt>
                <c:pt idx="95">
                  <c:v>97.994987468671681</c:v>
                </c:pt>
                <c:pt idx="96">
                  <c:v>96.654929577464785</c:v>
                </c:pt>
                <c:pt idx="97">
                  <c:v>97.439353099730468</c:v>
                </c:pt>
                <c:pt idx="98">
                  <c:v>96.194824961948243</c:v>
                </c:pt>
                <c:pt idx="99">
                  <c:v>97.68518518518519</c:v>
                </c:pt>
                <c:pt idx="100">
                  <c:v>96.810506566604133</c:v>
                </c:pt>
                <c:pt idx="101">
                  <c:v>96.32495164410058</c:v>
                </c:pt>
                <c:pt idx="102">
                  <c:v>96.460176991150433</c:v>
                </c:pt>
                <c:pt idx="103">
                  <c:v>96.551724137931032</c:v>
                </c:pt>
                <c:pt idx="104">
                  <c:v>91.067961165048544</c:v>
                </c:pt>
                <c:pt idx="105">
                  <c:v>92.307692307692307</c:v>
                </c:pt>
                <c:pt idx="106">
                  <c:v>97.009966777408636</c:v>
                </c:pt>
                <c:pt idx="107">
                  <c:v>92.393736017897083</c:v>
                </c:pt>
                <c:pt idx="108">
                  <c:v>92.415730337078656</c:v>
                </c:pt>
                <c:pt idx="109">
                  <c:v>93.343419062027237</c:v>
                </c:pt>
                <c:pt idx="110">
                  <c:v>95.184135977337121</c:v>
                </c:pt>
                <c:pt idx="111">
                  <c:v>94.782608695652172</c:v>
                </c:pt>
                <c:pt idx="112">
                  <c:v>95.610278372591011</c:v>
                </c:pt>
                <c:pt idx="113">
                  <c:v>90.342679127725859</c:v>
                </c:pt>
                <c:pt idx="114">
                  <c:v>89.380530973451329</c:v>
                </c:pt>
                <c:pt idx="115">
                  <c:v>83.02277432712215</c:v>
                </c:pt>
                <c:pt idx="116">
                  <c:v>88.997555012224936</c:v>
                </c:pt>
                <c:pt idx="117">
                  <c:v>86.681715575620771</c:v>
                </c:pt>
                <c:pt idx="118">
                  <c:v>90.575079872204483</c:v>
                </c:pt>
                <c:pt idx="119">
                  <c:v>89.678284182305632</c:v>
                </c:pt>
                <c:pt idx="120">
                  <c:v>93.110236220472444</c:v>
                </c:pt>
                <c:pt idx="121">
                  <c:v>95.516569200779728</c:v>
                </c:pt>
                <c:pt idx="122">
                  <c:v>94.054054054054063</c:v>
                </c:pt>
                <c:pt idx="123">
                  <c:v>95.582329317269071</c:v>
                </c:pt>
                <c:pt idx="124">
                  <c:v>96.949152542372886</c:v>
                </c:pt>
                <c:pt idx="125">
                  <c:v>95.550847457627114</c:v>
                </c:pt>
                <c:pt idx="126">
                  <c:v>98.531211750305999</c:v>
                </c:pt>
                <c:pt idx="127">
                  <c:v>95.943204868154154</c:v>
                </c:pt>
                <c:pt idx="128">
                  <c:v>96.934865900383144</c:v>
                </c:pt>
                <c:pt idx="129">
                  <c:v>97.012802275960169</c:v>
                </c:pt>
                <c:pt idx="130">
                  <c:v>97.97794117647058</c:v>
                </c:pt>
                <c:pt idx="131">
                  <c:v>98.578595317725743</c:v>
                </c:pt>
                <c:pt idx="132">
                  <c:v>97.583429228998853</c:v>
                </c:pt>
                <c:pt idx="133">
                  <c:v>93.17647058823529</c:v>
                </c:pt>
                <c:pt idx="134">
                  <c:v>86.451612903225808</c:v>
                </c:pt>
                <c:pt idx="135">
                  <c:v>75.675675675675677</c:v>
                </c:pt>
                <c:pt idx="136">
                  <c:v>86.963696369636963</c:v>
                </c:pt>
                <c:pt idx="137">
                  <c:v>92.621870882740438</c:v>
                </c:pt>
                <c:pt idx="138">
                  <c:v>93.607305936073061</c:v>
                </c:pt>
                <c:pt idx="139">
                  <c:v>92.467248908296938</c:v>
                </c:pt>
                <c:pt idx="140">
                  <c:v>91.988555078683831</c:v>
                </c:pt>
                <c:pt idx="141">
                  <c:v>93.378995433789953</c:v>
                </c:pt>
                <c:pt idx="142">
                  <c:v>93.912063134160093</c:v>
                </c:pt>
                <c:pt idx="143">
                  <c:v>91.597633136094672</c:v>
                </c:pt>
                <c:pt idx="144">
                  <c:v>70.281862745098039</c:v>
                </c:pt>
                <c:pt idx="145">
                  <c:v>89.275766016713092</c:v>
                </c:pt>
                <c:pt idx="146">
                  <c:v>89.367429340511435</c:v>
                </c:pt>
                <c:pt idx="147">
                  <c:v>93.14359637774902</c:v>
                </c:pt>
                <c:pt idx="148">
                  <c:v>91.290322580645167</c:v>
                </c:pt>
                <c:pt idx="149">
                  <c:v>91.902834008097173</c:v>
                </c:pt>
                <c:pt idx="150">
                  <c:v>91.830708661417333</c:v>
                </c:pt>
                <c:pt idx="151">
                  <c:v>92.182410423452765</c:v>
                </c:pt>
                <c:pt idx="152">
                  <c:v>92.100840336134453</c:v>
                </c:pt>
                <c:pt idx="153">
                  <c:v>91.769041769041763</c:v>
                </c:pt>
                <c:pt idx="154">
                  <c:v>91.578947368421055</c:v>
                </c:pt>
                <c:pt idx="155">
                  <c:v>91.266912669126683</c:v>
                </c:pt>
                <c:pt idx="156">
                  <c:v>87.279480037140203</c:v>
                </c:pt>
                <c:pt idx="157">
                  <c:v>88.551859099804304</c:v>
                </c:pt>
                <c:pt idx="158">
                  <c:v>90.201465201465197</c:v>
                </c:pt>
                <c:pt idx="159">
                  <c:v>86.111111111111114</c:v>
                </c:pt>
                <c:pt idx="160">
                  <c:v>85.467479674796749</c:v>
                </c:pt>
                <c:pt idx="161">
                  <c:v>96.714579055441476</c:v>
                </c:pt>
                <c:pt idx="162">
                  <c:v>96.21848739495799</c:v>
                </c:pt>
                <c:pt idx="163">
                  <c:v>85.907859078590789</c:v>
                </c:pt>
                <c:pt idx="164">
                  <c:v>92.625899280575538</c:v>
                </c:pt>
                <c:pt idx="165">
                  <c:v>92.70216962524654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8B-4EBA-BE9C-664B4586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209904"/>
        <c:axId val="477215168"/>
      </c:scatterChart>
      <c:valAx>
        <c:axId val="1917209904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7215168"/>
        <c:crosses val="autoZero"/>
        <c:crossBetween val="midCat"/>
      </c:valAx>
      <c:valAx>
        <c:axId val="47721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7209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518248827839024"/>
          <c:y val="4.6529861833308567E-2"/>
          <c:w val="0.18160173910127808"/>
          <c:h val="0.35161818314377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Cells Summary'!$B$2</c:f>
              <c:strCache>
                <c:ptCount val="1"/>
                <c:pt idx="0">
                  <c:v>3% FBS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'Red Cells Summary'!$A$3:$A$145</c:f>
              <c:numCache>
                <c:formatCode>General</c:formatCode>
                <c:ptCount val="143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21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49</c:v>
                </c:pt>
                <c:pt idx="9">
                  <c:v>56</c:v>
                </c:pt>
                <c:pt idx="10">
                  <c:v>63</c:v>
                </c:pt>
                <c:pt idx="11">
                  <c:v>70</c:v>
                </c:pt>
                <c:pt idx="12">
                  <c:v>77</c:v>
                </c:pt>
                <c:pt idx="13">
                  <c:v>86</c:v>
                </c:pt>
                <c:pt idx="14">
                  <c:v>98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126</c:v>
                </c:pt>
                <c:pt idx="19">
                  <c:v>133</c:v>
                </c:pt>
                <c:pt idx="20">
                  <c:v>140</c:v>
                </c:pt>
                <c:pt idx="21">
                  <c:v>147</c:v>
                </c:pt>
                <c:pt idx="22">
                  <c:v>154</c:v>
                </c:pt>
                <c:pt idx="23">
                  <c:v>161</c:v>
                </c:pt>
                <c:pt idx="24">
                  <c:v>169</c:v>
                </c:pt>
                <c:pt idx="25">
                  <c:v>175</c:v>
                </c:pt>
                <c:pt idx="26">
                  <c:v>182</c:v>
                </c:pt>
                <c:pt idx="27">
                  <c:v>189</c:v>
                </c:pt>
                <c:pt idx="28">
                  <c:v>196</c:v>
                </c:pt>
                <c:pt idx="29">
                  <c:v>203</c:v>
                </c:pt>
                <c:pt idx="30">
                  <c:v>210</c:v>
                </c:pt>
                <c:pt idx="31">
                  <c:v>216</c:v>
                </c:pt>
                <c:pt idx="32">
                  <c:v>223</c:v>
                </c:pt>
                <c:pt idx="33">
                  <c:v>230</c:v>
                </c:pt>
                <c:pt idx="34">
                  <c:v>236</c:v>
                </c:pt>
                <c:pt idx="35">
                  <c:v>243</c:v>
                </c:pt>
                <c:pt idx="36">
                  <c:v>250</c:v>
                </c:pt>
                <c:pt idx="37">
                  <c:v>257</c:v>
                </c:pt>
                <c:pt idx="38">
                  <c:v>264</c:v>
                </c:pt>
                <c:pt idx="39">
                  <c:v>270</c:v>
                </c:pt>
                <c:pt idx="40">
                  <c:v>277</c:v>
                </c:pt>
                <c:pt idx="41">
                  <c:v>284</c:v>
                </c:pt>
                <c:pt idx="42">
                  <c:v>291</c:v>
                </c:pt>
                <c:pt idx="43">
                  <c:v>299</c:v>
                </c:pt>
                <c:pt idx="44">
                  <c:v>306</c:v>
                </c:pt>
                <c:pt idx="45">
                  <c:v>313</c:v>
                </c:pt>
                <c:pt idx="46">
                  <c:v>320</c:v>
                </c:pt>
                <c:pt idx="47">
                  <c:v>327</c:v>
                </c:pt>
                <c:pt idx="48">
                  <c:v>334</c:v>
                </c:pt>
                <c:pt idx="49">
                  <c:v>343</c:v>
                </c:pt>
                <c:pt idx="50">
                  <c:v>348</c:v>
                </c:pt>
                <c:pt idx="51">
                  <c:v>355</c:v>
                </c:pt>
                <c:pt idx="52">
                  <c:v>363</c:v>
                </c:pt>
                <c:pt idx="53">
                  <c:v>369</c:v>
                </c:pt>
                <c:pt idx="54">
                  <c:v>376</c:v>
                </c:pt>
                <c:pt idx="55">
                  <c:v>383</c:v>
                </c:pt>
                <c:pt idx="56">
                  <c:v>390</c:v>
                </c:pt>
                <c:pt idx="57">
                  <c:v>398</c:v>
                </c:pt>
                <c:pt idx="58">
                  <c:v>404</c:v>
                </c:pt>
                <c:pt idx="59">
                  <c:v>411</c:v>
                </c:pt>
                <c:pt idx="60">
                  <c:v>418</c:v>
                </c:pt>
                <c:pt idx="61">
                  <c:v>425</c:v>
                </c:pt>
                <c:pt idx="62">
                  <c:v>432</c:v>
                </c:pt>
                <c:pt idx="63">
                  <c:v>439</c:v>
                </c:pt>
                <c:pt idx="64">
                  <c:v>445</c:v>
                </c:pt>
                <c:pt idx="65">
                  <c:v>452</c:v>
                </c:pt>
                <c:pt idx="66">
                  <c:v>460</c:v>
                </c:pt>
                <c:pt idx="67">
                  <c:v>466</c:v>
                </c:pt>
                <c:pt idx="68">
                  <c:v>473</c:v>
                </c:pt>
                <c:pt idx="69">
                  <c:v>480</c:v>
                </c:pt>
                <c:pt idx="70">
                  <c:v>487</c:v>
                </c:pt>
                <c:pt idx="71">
                  <c:v>494</c:v>
                </c:pt>
                <c:pt idx="72">
                  <c:v>501</c:v>
                </c:pt>
                <c:pt idx="73">
                  <c:v>508</c:v>
                </c:pt>
                <c:pt idx="74">
                  <c:v>515</c:v>
                </c:pt>
                <c:pt idx="75">
                  <c:v>522</c:v>
                </c:pt>
                <c:pt idx="76">
                  <c:v>529</c:v>
                </c:pt>
                <c:pt idx="77">
                  <c:v>536</c:v>
                </c:pt>
                <c:pt idx="78">
                  <c:v>543</c:v>
                </c:pt>
                <c:pt idx="79">
                  <c:v>550</c:v>
                </c:pt>
                <c:pt idx="80">
                  <c:v>557</c:v>
                </c:pt>
                <c:pt idx="81">
                  <c:v>564</c:v>
                </c:pt>
                <c:pt idx="82">
                  <c:v>572</c:v>
                </c:pt>
                <c:pt idx="83">
                  <c:v>578</c:v>
                </c:pt>
                <c:pt idx="84">
                  <c:v>584</c:v>
                </c:pt>
                <c:pt idx="85">
                  <c:v>592</c:v>
                </c:pt>
                <c:pt idx="86">
                  <c:v>598</c:v>
                </c:pt>
                <c:pt idx="87">
                  <c:v>606</c:v>
                </c:pt>
                <c:pt idx="88">
                  <c:v>612</c:v>
                </c:pt>
                <c:pt idx="89">
                  <c:v>619</c:v>
                </c:pt>
                <c:pt idx="90">
                  <c:v>626</c:v>
                </c:pt>
                <c:pt idx="91">
                  <c:v>633</c:v>
                </c:pt>
                <c:pt idx="92">
                  <c:v>640</c:v>
                </c:pt>
                <c:pt idx="93">
                  <c:v>647</c:v>
                </c:pt>
                <c:pt idx="94">
                  <c:v>654</c:v>
                </c:pt>
                <c:pt idx="95">
                  <c:v>661</c:v>
                </c:pt>
                <c:pt idx="96">
                  <c:v>668</c:v>
                </c:pt>
                <c:pt idx="97">
                  <c:v>675</c:v>
                </c:pt>
                <c:pt idx="98">
                  <c:v>682</c:v>
                </c:pt>
                <c:pt idx="99">
                  <c:v>689</c:v>
                </c:pt>
                <c:pt idx="100">
                  <c:v>696</c:v>
                </c:pt>
                <c:pt idx="101">
                  <c:v>703</c:v>
                </c:pt>
                <c:pt idx="102">
                  <c:v>710</c:v>
                </c:pt>
                <c:pt idx="103">
                  <c:v>717</c:v>
                </c:pt>
                <c:pt idx="104">
                  <c:v>724</c:v>
                </c:pt>
                <c:pt idx="105">
                  <c:v>731</c:v>
                </c:pt>
                <c:pt idx="106">
                  <c:v>738</c:v>
                </c:pt>
                <c:pt idx="107">
                  <c:v>745</c:v>
                </c:pt>
                <c:pt idx="108">
                  <c:v>752</c:v>
                </c:pt>
                <c:pt idx="109">
                  <c:v>761</c:v>
                </c:pt>
                <c:pt idx="110">
                  <c:v>766</c:v>
                </c:pt>
                <c:pt idx="111">
                  <c:v>773</c:v>
                </c:pt>
                <c:pt idx="112">
                  <c:v>780</c:v>
                </c:pt>
                <c:pt idx="113">
                  <c:v>787</c:v>
                </c:pt>
                <c:pt idx="114">
                  <c:v>794</c:v>
                </c:pt>
                <c:pt idx="115">
                  <c:v>801</c:v>
                </c:pt>
                <c:pt idx="116">
                  <c:v>808</c:v>
                </c:pt>
                <c:pt idx="117">
                  <c:v>815</c:v>
                </c:pt>
                <c:pt idx="118">
                  <c:v>823</c:v>
                </c:pt>
                <c:pt idx="119">
                  <c:v>829</c:v>
                </c:pt>
                <c:pt idx="120">
                  <c:v>836</c:v>
                </c:pt>
                <c:pt idx="121">
                  <c:v>843</c:v>
                </c:pt>
                <c:pt idx="122">
                  <c:v>850</c:v>
                </c:pt>
                <c:pt idx="123">
                  <c:v>857</c:v>
                </c:pt>
                <c:pt idx="124">
                  <c:v>864</c:v>
                </c:pt>
                <c:pt idx="125">
                  <c:v>871</c:v>
                </c:pt>
                <c:pt idx="126">
                  <c:v>878</c:v>
                </c:pt>
                <c:pt idx="127">
                  <c:v>885</c:v>
                </c:pt>
                <c:pt idx="128">
                  <c:v>892</c:v>
                </c:pt>
                <c:pt idx="129">
                  <c:v>899</c:v>
                </c:pt>
                <c:pt idx="130">
                  <c:v>906</c:v>
                </c:pt>
                <c:pt idx="131">
                  <c:v>914</c:v>
                </c:pt>
                <c:pt idx="132">
                  <c:v>921</c:v>
                </c:pt>
                <c:pt idx="133">
                  <c:v>928</c:v>
                </c:pt>
                <c:pt idx="134">
                  <c:v>935</c:v>
                </c:pt>
                <c:pt idx="135">
                  <c:v>942</c:v>
                </c:pt>
                <c:pt idx="136">
                  <c:v>949</c:v>
                </c:pt>
                <c:pt idx="137">
                  <c:v>956</c:v>
                </c:pt>
                <c:pt idx="138">
                  <c:v>963</c:v>
                </c:pt>
                <c:pt idx="139">
                  <c:v>970</c:v>
                </c:pt>
                <c:pt idx="140">
                  <c:v>977</c:v>
                </c:pt>
                <c:pt idx="141">
                  <c:v>984</c:v>
                </c:pt>
                <c:pt idx="142">
                  <c:v>991</c:v>
                </c:pt>
              </c:numCache>
            </c:numRef>
          </c:xVal>
          <c:yVal>
            <c:numRef>
              <c:f>'Red Cells Summary'!$B$3:$B$145</c:f>
              <c:numCache>
                <c:formatCode>0.00</c:formatCode>
                <c:ptCount val="143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1.4634146341463417</c:v>
                </c:pt>
                <c:pt idx="7">
                  <c:v>1.680672268907563</c:v>
                </c:pt>
                <c:pt idx="8">
                  <c:v>1.5267175572519083</c:v>
                </c:pt>
                <c:pt idx="9">
                  <c:v>4.3010752688172049</c:v>
                </c:pt>
                <c:pt idx="10">
                  <c:v>8.0357142857142865</c:v>
                </c:pt>
                <c:pt idx="11">
                  <c:v>4.5454545454545459</c:v>
                </c:pt>
                <c:pt idx="12">
                  <c:v>11.656441717791409</c:v>
                </c:pt>
                <c:pt idx="13">
                  <c:v>1.9867549668874174</c:v>
                </c:pt>
                <c:pt idx="14">
                  <c:v>21.875</c:v>
                </c:pt>
                <c:pt idx="15">
                  <c:v>13.178294573643413</c:v>
                </c:pt>
                <c:pt idx="16">
                  <c:v>11.363636363636363</c:v>
                </c:pt>
                <c:pt idx="17">
                  <c:v>9.9290780141843982</c:v>
                </c:pt>
                <c:pt idx="18">
                  <c:v>17.894736842105264</c:v>
                </c:pt>
                <c:pt idx="19">
                  <c:v>14.399999999999999</c:v>
                </c:pt>
                <c:pt idx="20">
                  <c:v>22.834645669291341</c:v>
                </c:pt>
                <c:pt idx="21">
                  <c:v>18.681318681318682</c:v>
                </c:pt>
                <c:pt idx="22">
                  <c:v>13.20754716981132</c:v>
                </c:pt>
                <c:pt idx="23">
                  <c:v>27</c:v>
                </c:pt>
                <c:pt idx="24">
                  <c:v>20.454545454545457</c:v>
                </c:pt>
                <c:pt idx="25">
                  <c:v>19.642857142857142</c:v>
                </c:pt>
                <c:pt idx="26">
                  <c:v>21.29032258064516</c:v>
                </c:pt>
                <c:pt idx="27">
                  <c:v>17.714285714285712</c:v>
                </c:pt>
                <c:pt idx="28">
                  <c:v>14.492753623188406</c:v>
                </c:pt>
                <c:pt idx="29">
                  <c:v>6.25</c:v>
                </c:pt>
                <c:pt idx="30">
                  <c:v>11.904761904761903</c:v>
                </c:pt>
                <c:pt idx="31">
                  <c:v>5.5970149253731343</c:v>
                </c:pt>
                <c:pt idx="32">
                  <c:v>1.5444015444015444</c:v>
                </c:pt>
                <c:pt idx="33">
                  <c:v>0.84033613445378152</c:v>
                </c:pt>
                <c:pt idx="34">
                  <c:v>2.0779220779220777</c:v>
                </c:pt>
                <c:pt idx="35">
                  <c:v>1.0356731875719216</c:v>
                </c:pt>
                <c:pt idx="36">
                  <c:v>2.6825633383010432</c:v>
                </c:pt>
                <c:pt idx="37">
                  <c:v>8.59375</c:v>
                </c:pt>
                <c:pt idx="38">
                  <c:v>1.8315018315018317</c:v>
                </c:pt>
                <c:pt idx="39">
                  <c:v>2.1739130434782608</c:v>
                </c:pt>
                <c:pt idx="40">
                  <c:v>2.0979020979020979</c:v>
                </c:pt>
                <c:pt idx="41">
                  <c:v>1.0362694300518136</c:v>
                </c:pt>
                <c:pt idx="42">
                  <c:v>0.56497175141242939</c:v>
                </c:pt>
                <c:pt idx="43">
                  <c:v>0.64516129032258063</c:v>
                </c:pt>
                <c:pt idx="44">
                  <c:v>0</c:v>
                </c:pt>
                <c:pt idx="45">
                  <c:v>0.65359477124183007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0.14947683109118087</c:v>
                </c:pt>
                <c:pt idx="52">
                  <c:v>0</c:v>
                </c:pt>
                <c:pt idx="53">
                  <c:v>0.67114093959731547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9.3457943925233655E-2</c:v>
                </c:pt>
                <c:pt idx="60">
                  <c:v>0</c:v>
                </c:pt>
                <c:pt idx="61">
                  <c:v>0.3401360544217687</c:v>
                </c:pt>
                <c:pt idx="62">
                  <c:v>0</c:v>
                </c:pt>
                <c:pt idx="63">
                  <c:v>0</c:v>
                </c:pt>
                <c:pt idx="64">
                  <c:v>0.51282051282051277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0.19047619047619047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0.23529411764705879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5B-41BA-B805-4488A7BBC828}"/>
            </c:ext>
          </c:extLst>
        </c:ser>
        <c:ser>
          <c:idx val="1"/>
          <c:order val="1"/>
          <c:tx>
            <c:strRef>
              <c:f>'Red Cells Summary'!$C$2</c:f>
              <c:strCache>
                <c:ptCount val="1"/>
                <c:pt idx="0">
                  <c:v>5% FBS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'Red Cells Summary'!$A$3:$A$145</c:f>
              <c:numCache>
                <c:formatCode>General</c:formatCode>
                <c:ptCount val="143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21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49</c:v>
                </c:pt>
                <c:pt idx="9">
                  <c:v>56</c:v>
                </c:pt>
                <c:pt idx="10">
                  <c:v>63</c:v>
                </c:pt>
                <c:pt idx="11">
                  <c:v>70</c:v>
                </c:pt>
                <c:pt idx="12">
                  <c:v>77</c:v>
                </c:pt>
                <c:pt idx="13">
                  <c:v>86</c:v>
                </c:pt>
                <c:pt idx="14">
                  <c:v>98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126</c:v>
                </c:pt>
                <c:pt idx="19">
                  <c:v>133</c:v>
                </c:pt>
                <c:pt idx="20">
                  <c:v>140</c:v>
                </c:pt>
                <c:pt idx="21">
                  <c:v>147</c:v>
                </c:pt>
                <c:pt idx="22">
                  <c:v>154</c:v>
                </c:pt>
                <c:pt idx="23">
                  <c:v>161</c:v>
                </c:pt>
                <c:pt idx="24">
                  <c:v>169</c:v>
                </c:pt>
                <c:pt idx="25">
                  <c:v>175</c:v>
                </c:pt>
                <c:pt idx="26">
                  <c:v>182</c:v>
                </c:pt>
                <c:pt idx="27">
                  <c:v>189</c:v>
                </c:pt>
                <c:pt idx="28">
                  <c:v>196</c:v>
                </c:pt>
                <c:pt idx="29">
                  <c:v>203</c:v>
                </c:pt>
                <c:pt idx="30">
                  <c:v>210</c:v>
                </c:pt>
                <c:pt idx="31">
                  <c:v>216</c:v>
                </c:pt>
                <c:pt idx="32">
                  <c:v>223</c:v>
                </c:pt>
                <c:pt idx="33">
                  <c:v>230</c:v>
                </c:pt>
                <c:pt idx="34">
                  <c:v>236</c:v>
                </c:pt>
                <c:pt idx="35">
                  <c:v>243</c:v>
                </c:pt>
                <c:pt idx="36">
                  <c:v>250</c:v>
                </c:pt>
                <c:pt idx="37">
                  <c:v>257</c:v>
                </c:pt>
                <c:pt idx="38">
                  <c:v>264</c:v>
                </c:pt>
                <c:pt idx="39">
                  <c:v>270</c:v>
                </c:pt>
                <c:pt idx="40">
                  <c:v>277</c:v>
                </c:pt>
                <c:pt idx="41">
                  <c:v>284</c:v>
                </c:pt>
                <c:pt idx="42">
                  <c:v>291</c:v>
                </c:pt>
                <c:pt idx="43">
                  <c:v>299</c:v>
                </c:pt>
                <c:pt idx="44">
                  <c:v>306</c:v>
                </c:pt>
                <c:pt idx="45">
                  <c:v>313</c:v>
                </c:pt>
                <c:pt idx="46">
                  <c:v>320</c:v>
                </c:pt>
                <c:pt idx="47">
                  <c:v>327</c:v>
                </c:pt>
                <c:pt idx="48">
                  <c:v>334</c:v>
                </c:pt>
                <c:pt idx="49">
                  <c:v>343</c:v>
                </c:pt>
                <c:pt idx="50">
                  <c:v>348</c:v>
                </c:pt>
                <c:pt idx="51">
                  <c:v>355</c:v>
                </c:pt>
                <c:pt idx="52">
                  <c:v>363</c:v>
                </c:pt>
                <c:pt idx="53">
                  <c:v>369</c:v>
                </c:pt>
                <c:pt idx="54">
                  <c:v>376</c:v>
                </c:pt>
                <c:pt idx="55">
                  <c:v>383</c:v>
                </c:pt>
                <c:pt idx="56">
                  <c:v>390</c:v>
                </c:pt>
                <c:pt idx="57">
                  <c:v>398</c:v>
                </c:pt>
                <c:pt idx="58">
                  <c:v>404</c:v>
                </c:pt>
                <c:pt idx="59">
                  <c:v>411</c:v>
                </c:pt>
                <c:pt idx="60">
                  <c:v>418</c:v>
                </c:pt>
                <c:pt idx="61">
                  <c:v>425</c:v>
                </c:pt>
                <c:pt idx="62">
                  <c:v>432</c:v>
                </c:pt>
                <c:pt idx="63">
                  <c:v>439</c:v>
                </c:pt>
                <c:pt idx="64">
                  <c:v>445</c:v>
                </c:pt>
                <c:pt idx="65">
                  <c:v>452</c:v>
                </c:pt>
                <c:pt idx="66">
                  <c:v>460</c:v>
                </c:pt>
                <c:pt idx="67">
                  <c:v>466</c:v>
                </c:pt>
                <c:pt idx="68">
                  <c:v>473</c:v>
                </c:pt>
                <c:pt idx="69">
                  <c:v>480</c:v>
                </c:pt>
                <c:pt idx="70">
                  <c:v>487</c:v>
                </c:pt>
                <c:pt idx="71">
                  <c:v>494</c:v>
                </c:pt>
                <c:pt idx="72">
                  <c:v>501</c:v>
                </c:pt>
                <c:pt idx="73">
                  <c:v>508</c:v>
                </c:pt>
                <c:pt idx="74">
                  <c:v>515</c:v>
                </c:pt>
                <c:pt idx="75">
                  <c:v>522</c:v>
                </c:pt>
                <c:pt idx="76">
                  <c:v>529</c:v>
                </c:pt>
                <c:pt idx="77">
                  <c:v>536</c:v>
                </c:pt>
                <c:pt idx="78">
                  <c:v>543</c:v>
                </c:pt>
                <c:pt idx="79">
                  <c:v>550</c:v>
                </c:pt>
                <c:pt idx="80">
                  <c:v>557</c:v>
                </c:pt>
                <c:pt idx="81">
                  <c:v>564</c:v>
                </c:pt>
                <c:pt idx="82">
                  <c:v>572</c:v>
                </c:pt>
                <c:pt idx="83">
                  <c:v>578</c:v>
                </c:pt>
                <c:pt idx="84">
                  <c:v>584</c:v>
                </c:pt>
                <c:pt idx="85">
                  <c:v>592</c:v>
                </c:pt>
                <c:pt idx="86">
                  <c:v>598</c:v>
                </c:pt>
                <c:pt idx="87">
                  <c:v>606</c:v>
                </c:pt>
                <c:pt idx="88">
                  <c:v>612</c:v>
                </c:pt>
                <c:pt idx="89">
                  <c:v>619</c:v>
                </c:pt>
                <c:pt idx="90">
                  <c:v>626</c:v>
                </c:pt>
                <c:pt idx="91">
                  <c:v>633</c:v>
                </c:pt>
                <c:pt idx="92">
                  <c:v>640</c:v>
                </c:pt>
                <c:pt idx="93">
                  <c:v>647</c:v>
                </c:pt>
                <c:pt idx="94">
                  <c:v>654</c:v>
                </c:pt>
                <c:pt idx="95">
                  <c:v>661</c:v>
                </c:pt>
                <c:pt idx="96">
                  <c:v>668</c:v>
                </c:pt>
                <c:pt idx="97">
                  <c:v>675</c:v>
                </c:pt>
                <c:pt idx="98">
                  <c:v>682</c:v>
                </c:pt>
                <c:pt idx="99">
                  <c:v>689</c:v>
                </c:pt>
                <c:pt idx="100">
                  <c:v>696</c:v>
                </c:pt>
                <c:pt idx="101">
                  <c:v>703</c:v>
                </c:pt>
                <c:pt idx="102">
                  <c:v>710</c:v>
                </c:pt>
                <c:pt idx="103">
                  <c:v>717</c:v>
                </c:pt>
                <c:pt idx="104">
                  <c:v>724</c:v>
                </c:pt>
                <c:pt idx="105">
                  <c:v>731</c:v>
                </c:pt>
                <c:pt idx="106">
                  <c:v>738</c:v>
                </c:pt>
                <c:pt idx="107">
                  <c:v>745</c:v>
                </c:pt>
                <c:pt idx="108">
                  <c:v>752</c:v>
                </c:pt>
                <c:pt idx="109">
                  <c:v>761</c:v>
                </c:pt>
                <c:pt idx="110">
                  <c:v>766</c:v>
                </c:pt>
                <c:pt idx="111">
                  <c:v>773</c:v>
                </c:pt>
                <c:pt idx="112">
                  <c:v>780</c:v>
                </c:pt>
                <c:pt idx="113">
                  <c:v>787</c:v>
                </c:pt>
                <c:pt idx="114">
                  <c:v>794</c:v>
                </c:pt>
                <c:pt idx="115">
                  <c:v>801</c:v>
                </c:pt>
                <c:pt idx="116">
                  <c:v>808</c:v>
                </c:pt>
                <c:pt idx="117">
                  <c:v>815</c:v>
                </c:pt>
                <c:pt idx="118">
                  <c:v>823</c:v>
                </c:pt>
                <c:pt idx="119">
                  <c:v>829</c:v>
                </c:pt>
                <c:pt idx="120">
                  <c:v>836</c:v>
                </c:pt>
                <c:pt idx="121">
                  <c:v>843</c:v>
                </c:pt>
                <c:pt idx="122">
                  <c:v>850</c:v>
                </c:pt>
                <c:pt idx="123">
                  <c:v>857</c:v>
                </c:pt>
                <c:pt idx="124">
                  <c:v>864</c:v>
                </c:pt>
                <c:pt idx="125">
                  <c:v>871</c:v>
                </c:pt>
                <c:pt idx="126">
                  <c:v>878</c:v>
                </c:pt>
                <c:pt idx="127">
                  <c:v>885</c:v>
                </c:pt>
                <c:pt idx="128">
                  <c:v>892</c:v>
                </c:pt>
                <c:pt idx="129">
                  <c:v>899</c:v>
                </c:pt>
                <c:pt idx="130">
                  <c:v>906</c:v>
                </c:pt>
                <c:pt idx="131">
                  <c:v>914</c:v>
                </c:pt>
                <c:pt idx="132">
                  <c:v>921</c:v>
                </c:pt>
                <c:pt idx="133">
                  <c:v>928</c:v>
                </c:pt>
                <c:pt idx="134">
                  <c:v>935</c:v>
                </c:pt>
                <c:pt idx="135">
                  <c:v>942</c:v>
                </c:pt>
                <c:pt idx="136">
                  <c:v>949</c:v>
                </c:pt>
                <c:pt idx="137">
                  <c:v>956</c:v>
                </c:pt>
                <c:pt idx="138">
                  <c:v>963</c:v>
                </c:pt>
                <c:pt idx="139">
                  <c:v>970</c:v>
                </c:pt>
                <c:pt idx="140">
                  <c:v>977</c:v>
                </c:pt>
                <c:pt idx="141">
                  <c:v>984</c:v>
                </c:pt>
                <c:pt idx="142">
                  <c:v>991</c:v>
                </c:pt>
              </c:numCache>
            </c:numRef>
          </c:xVal>
          <c:yVal>
            <c:numRef>
              <c:f>'Red Cells Summary'!$C$3:$C$145</c:f>
              <c:numCache>
                <c:formatCode>0.00</c:formatCode>
                <c:ptCount val="143"/>
                <c:pt idx="0">
                  <c:v>0.70175438596491224</c:v>
                </c:pt>
                <c:pt idx="1">
                  <c:v>0.33783783783783783</c:v>
                </c:pt>
                <c:pt idx="2">
                  <c:v>0.67567567567567566</c:v>
                </c:pt>
                <c:pt idx="3">
                  <c:v>0</c:v>
                </c:pt>
                <c:pt idx="4">
                  <c:v>0</c:v>
                </c:pt>
                <c:pt idx="5">
                  <c:v>1.3215859030837005</c:v>
                </c:pt>
                <c:pt idx="6">
                  <c:v>3.9548022598870061</c:v>
                </c:pt>
                <c:pt idx="7">
                  <c:v>1.3698630136986301</c:v>
                </c:pt>
                <c:pt idx="8">
                  <c:v>2.9197080291970803</c:v>
                </c:pt>
                <c:pt idx="9">
                  <c:v>8.5470085470085468</c:v>
                </c:pt>
                <c:pt idx="10">
                  <c:v>11.016949152542372</c:v>
                </c:pt>
                <c:pt idx="11">
                  <c:v>19.852941176470587</c:v>
                </c:pt>
                <c:pt idx="12">
                  <c:v>7.0652173913043477</c:v>
                </c:pt>
                <c:pt idx="13">
                  <c:v>5.4054054054054053</c:v>
                </c:pt>
                <c:pt idx="14">
                  <c:v>19.424460431654676</c:v>
                </c:pt>
                <c:pt idx="15">
                  <c:v>16.447368421052634</c:v>
                </c:pt>
                <c:pt idx="16">
                  <c:v>17.592592592592592</c:v>
                </c:pt>
                <c:pt idx="17">
                  <c:v>13.559322033898304</c:v>
                </c:pt>
                <c:pt idx="18">
                  <c:v>14.553990610328638</c:v>
                </c:pt>
                <c:pt idx="19">
                  <c:v>18.134715025906736</c:v>
                </c:pt>
                <c:pt idx="20">
                  <c:v>17.424242424242426</c:v>
                </c:pt>
                <c:pt idx="21">
                  <c:v>12.5</c:v>
                </c:pt>
                <c:pt idx="22">
                  <c:v>8.3720930232558146</c:v>
                </c:pt>
                <c:pt idx="23">
                  <c:v>6.1433447098976108</c:v>
                </c:pt>
                <c:pt idx="24">
                  <c:v>7.7348066298342539</c:v>
                </c:pt>
                <c:pt idx="25">
                  <c:v>5.8139534883720927</c:v>
                </c:pt>
                <c:pt idx="26">
                  <c:v>8.1967213114754092</c:v>
                </c:pt>
                <c:pt idx="27">
                  <c:v>3.2520325203252036</c:v>
                </c:pt>
                <c:pt idx="28">
                  <c:v>2.1834061135371177</c:v>
                </c:pt>
                <c:pt idx="29">
                  <c:v>0.68965517241379315</c:v>
                </c:pt>
                <c:pt idx="30">
                  <c:v>2.9962546816479403</c:v>
                </c:pt>
                <c:pt idx="31">
                  <c:v>3.6290322580645165</c:v>
                </c:pt>
                <c:pt idx="32">
                  <c:v>2.0689655172413794</c:v>
                </c:pt>
                <c:pt idx="33">
                  <c:v>0.68259385665529015</c:v>
                </c:pt>
                <c:pt idx="34">
                  <c:v>3.0303030303030303</c:v>
                </c:pt>
                <c:pt idx="35">
                  <c:v>3.3980582524271843</c:v>
                </c:pt>
                <c:pt idx="36">
                  <c:v>2.0512820512820511</c:v>
                </c:pt>
                <c:pt idx="37">
                  <c:v>2.4038461538461542</c:v>
                </c:pt>
                <c:pt idx="38">
                  <c:v>0.39370078740157477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0.71599045346062051</c:v>
                </c:pt>
                <c:pt idx="45">
                  <c:v>0</c:v>
                </c:pt>
                <c:pt idx="46">
                  <c:v>0</c:v>
                </c:pt>
                <c:pt idx="47">
                  <c:v>0.69930069930069927</c:v>
                </c:pt>
                <c:pt idx="48">
                  <c:v>0.42553191489361702</c:v>
                </c:pt>
                <c:pt idx="49">
                  <c:v>0</c:v>
                </c:pt>
                <c:pt idx="50">
                  <c:v>0.47619047619047622</c:v>
                </c:pt>
                <c:pt idx="51">
                  <c:v>0.1564945226917058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0.30303030303030304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0.2364066193853428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5B-41BA-B805-4488A7BBC828}"/>
            </c:ext>
          </c:extLst>
        </c:ser>
        <c:ser>
          <c:idx val="2"/>
          <c:order val="2"/>
          <c:tx>
            <c:strRef>
              <c:f>'Red Cells Summary'!$D$2</c:f>
              <c:strCache>
                <c:ptCount val="1"/>
                <c:pt idx="0">
                  <c:v>10% FBS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'Red Cells Summary'!$A$3:$A$145</c:f>
              <c:numCache>
                <c:formatCode>General</c:formatCode>
                <c:ptCount val="143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21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49</c:v>
                </c:pt>
                <c:pt idx="9">
                  <c:v>56</c:v>
                </c:pt>
                <c:pt idx="10">
                  <c:v>63</c:v>
                </c:pt>
                <c:pt idx="11">
                  <c:v>70</c:v>
                </c:pt>
                <c:pt idx="12">
                  <c:v>77</c:v>
                </c:pt>
                <c:pt idx="13">
                  <c:v>86</c:v>
                </c:pt>
                <c:pt idx="14">
                  <c:v>98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126</c:v>
                </c:pt>
                <c:pt idx="19">
                  <c:v>133</c:v>
                </c:pt>
                <c:pt idx="20">
                  <c:v>140</c:v>
                </c:pt>
                <c:pt idx="21">
                  <c:v>147</c:v>
                </c:pt>
                <c:pt idx="22">
                  <c:v>154</c:v>
                </c:pt>
                <c:pt idx="23">
                  <c:v>161</c:v>
                </c:pt>
                <c:pt idx="24">
                  <c:v>169</c:v>
                </c:pt>
                <c:pt idx="25">
                  <c:v>175</c:v>
                </c:pt>
                <c:pt idx="26">
                  <c:v>182</c:v>
                </c:pt>
                <c:pt idx="27">
                  <c:v>189</c:v>
                </c:pt>
                <c:pt idx="28">
                  <c:v>196</c:v>
                </c:pt>
                <c:pt idx="29">
                  <c:v>203</c:v>
                </c:pt>
                <c:pt idx="30">
                  <c:v>210</c:v>
                </c:pt>
                <c:pt idx="31">
                  <c:v>216</c:v>
                </c:pt>
                <c:pt idx="32">
                  <c:v>223</c:v>
                </c:pt>
                <c:pt idx="33">
                  <c:v>230</c:v>
                </c:pt>
                <c:pt idx="34">
                  <c:v>236</c:v>
                </c:pt>
                <c:pt idx="35">
                  <c:v>243</c:v>
                </c:pt>
                <c:pt idx="36">
                  <c:v>250</c:v>
                </c:pt>
                <c:pt idx="37">
                  <c:v>257</c:v>
                </c:pt>
                <c:pt idx="38">
                  <c:v>264</c:v>
                </c:pt>
                <c:pt idx="39">
                  <c:v>270</c:v>
                </c:pt>
                <c:pt idx="40">
                  <c:v>277</c:v>
                </c:pt>
                <c:pt idx="41">
                  <c:v>284</c:v>
                </c:pt>
                <c:pt idx="42">
                  <c:v>291</c:v>
                </c:pt>
                <c:pt idx="43">
                  <c:v>299</c:v>
                </c:pt>
                <c:pt idx="44">
                  <c:v>306</c:v>
                </c:pt>
                <c:pt idx="45">
                  <c:v>313</c:v>
                </c:pt>
                <c:pt idx="46">
                  <c:v>320</c:v>
                </c:pt>
                <c:pt idx="47">
                  <c:v>327</c:v>
                </c:pt>
                <c:pt idx="48">
                  <c:v>334</c:v>
                </c:pt>
                <c:pt idx="49">
                  <c:v>343</c:v>
                </c:pt>
                <c:pt idx="50">
                  <c:v>348</c:v>
                </c:pt>
                <c:pt idx="51">
                  <c:v>355</c:v>
                </c:pt>
                <c:pt idx="52">
                  <c:v>363</c:v>
                </c:pt>
                <c:pt idx="53">
                  <c:v>369</c:v>
                </c:pt>
                <c:pt idx="54">
                  <c:v>376</c:v>
                </c:pt>
                <c:pt idx="55">
                  <c:v>383</c:v>
                </c:pt>
                <c:pt idx="56">
                  <c:v>390</c:v>
                </c:pt>
                <c:pt idx="57">
                  <c:v>398</c:v>
                </c:pt>
                <c:pt idx="58">
                  <c:v>404</c:v>
                </c:pt>
                <c:pt idx="59">
                  <c:v>411</c:v>
                </c:pt>
                <c:pt idx="60">
                  <c:v>418</c:v>
                </c:pt>
                <c:pt idx="61">
                  <c:v>425</c:v>
                </c:pt>
                <c:pt idx="62">
                  <c:v>432</c:v>
                </c:pt>
                <c:pt idx="63">
                  <c:v>439</c:v>
                </c:pt>
                <c:pt idx="64">
                  <c:v>445</c:v>
                </c:pt>
                <c:pt idx="65">
                  <c:v>452</c:v>
                </c:pt>
                <c:pt idx="66">
                  <c:v>460</c:v>
                </c:pt>
                <c:pt idx="67">
                  <c:v>466</c:v>
                </c:pt>
                <c:pt idx="68">
                  <c:v>473</c:v>
                </c:pt>
                <c:pt idx="69">
                  <c:v>480</c:v>
                </c:pt>
                <c:pt idx="70">
                  <c:v>487</c:v>
                </c:pt>
                <c:pt idx="71">
                  <c:v>494</c:v>
                </c:pt>
                <c:pt idx="72">
                  <c:v>501</c:v>
                </c:pt>
                <c:pt idx="73">
                  <c:v>508</c:v>
                </c:pt>
                <c:pt idx="74">
                  <c:v>515</c:v>
                </c:pt>
                <c:pt idx="75">
                  <c:v>522</c:v>
                </c:pt>
                <c:pt idx="76">
                  <c:v>529</c:v>
                </c:pt>
                <c:pt idx="77">
                  <c:v>536</c:v>
                </c:pt>
                <c:pt idx="78">
                  <c:v>543</c:v>
                </c:pt>
                <c:pt idx="79">
                  <c:v>550</c:v>
                </c:pt>
                <c:pt idx="80">
                  <c:v>557</c:v>
                </c:pt>
                <c:pt idx="81">
                  <c:v>564</c:v>
                </c:pt>
                <c:pt idx="82">
                  <c:v>572</c:v>
                </c:pt>
                <c:pt idx="83">
                  <c:v>578</c:v>
                </c:pt>
                <c:pt idx="84">
                  <c:v>584</c:v>
                </c:pt>
                <c:pt idx="85">
                  <c:v>592</c:v>
                </c:pt>
                <c:pt idx="86">
                  <c:v>598</c:v>
                </c:pt>
                <c:pt idx="87">
                  <c:v>606</c:v>
                </c:pt>
                <c:pt idx="88">
                  <c:v>612</c:v>
                </c:pt>
                <c:pt idx="89">
                  <c:v>619</c:v>
                </c:pt>
                <c:pt idx="90">
                  <c:v>626</c:v>
                </c:pt>
                <c:pt idx="91">
                  <c:v>633</c:v>
                </c:pt>
                <c:pt idx="92">
                  <c:v>640</c:v>
                </c:pt>
                <c:pt idx="93">
                  <c:v>647</c:v>
                </c:pt>
                <c:pt idx="94">
                  <c:v>654</c:v>
                </c:pt>
                <c:pt idx="95">
                  <c:v>661</c:v>
                </c:pt>
                <c:pt idx="96">
                  <c:v>668</c:v>
                </c:pt>
                <c:pt idx="97">
                  <c:v>675</c:v>
                </c:pt>
                <c:pt idx="98">
                  <c:v>682</c:v>
                </c:pt>
                <c:pt idx="99">
                  <c:v>689</c:v>
                </c:pt>
                <c:pt idx="100">
                  <c:v>696</c:v>
                </c:pt>
                <c:pt idx="101">
                  <c:v>703</c:v>
                </c:pt>
                <c:pt idx="102">
                  <c:v>710</c:v>
                </c:pt>
                <c:pt idx="103">
                  <c:v>717</c:v>
                </c:pt>
                <c:pt idx="104">
                  <c:v>724</c:v>
                </c:pt>
                <c:pt idx="105">
                  <c:v>731</c:v>
                </c:pt>
                <c:pt idx="106">
                  <c:v>738</c:v>
                </c:pt>
                <c:pt idx="107">
                  <c:v>745</c:v>
                </c:pt>
                <c:pt idx="108">
                  <c:v>752</c:v>
                </c:pt>
                <c:pt idx="109">
                  <c:v>761</c:v>
                </c:pt>
                <c:pt idx="110">
                  <c:v>766</c:v>
                </c:pt>
                <c:pt idx="111">
                  <c:v>773</c:v>
                </c:pt>
                <c:pt idx="112">
                  <c:v>780</c:v>
                </c:pt>
                <c:pt idx="113">
                  <c:v>787</c:v>
                </c:pt>
                <c:pt idx="114">
                  <c:v>794</c:v>
                </c:pt>
                <c:pt idx="115">
                  <c:v>801</c:v>
                </c:pt>
                <c:pt idx="116">
                  <c:v>808</c:v>
                </c:pt>
                <c:pt idx="117">
                  <c:v>815</c:v>
                </c:pt>
                <c:pt idx="118">
                  <c:v>823</c:v>
                </c:pt>
                <c:pt idx="119">
                  <c:v>829</c:v>
                </c:pt>
                <c:pt idx="120">
                  <c:v>836</c:v>
                </c:pt>
                <c:pt idx="121">
                  <c:v>843</c:v>
                </c:pt>
                <c:pt idx="122">
                  <c:v>850</c:v>
                </c:pt>
                <c:pt idx="123">
                  <c:v>857</c:v>
                </c:pt>
                <c:pt idx="124">
                  <c:v>864</c:v>
                </c:pt>
                <c:pt idx="125">
                  <c:v>871</c:v>
                </c:pt>
                <c:pt idx="126">
                  <c:v>878</c:v>
                </c:pt>
                <c:pt idx="127">
                  <c:v>885</c:v>
                </c:pt>
                <c:pt idx="128">
                  <c:v>892</c:v>
                </c:pt>
                <c:pt idx="129">
                  <c:v>899</c:v>
                </c:pt>
                <c:pt idx="130">
                  <c:v>906</c:v>
                </c:pt>
                <c:pt idx="131">
                  <c:v>914</c:v>
                </c:pt>
                <c:pt idx="132">
                  <c:v>921</c:v>
                </c:pt>
                <c:pt idx="133">
                  <c:v>928</c:v>
                </c:pt>
                <c:pt idx="134">
                  <c:v>935</c:v>
                </c:pt>
                <c:pt idx="135">
                  <c:v>942</c:v>
                </c:pt>
                <c:pt idx="136">
                  <c:v>949</c:v>
                </c:pt>
                <c:pt idx="137">
                  <c:v>956</c:v>
                </c:pt>
                <c:pt idx="138">
                  <c:v>963</c:v>
                </c:pt>
                <c:pt idx="139">
                  <c:v>970</c:v>
                </c:pt>
                <c:pt idx="140">
                  <c:v>977</c:v>
                </c:pt>
                <c:pt idx="141">
                  <c:v>984</c:v>
                </c:pt>
                <c:pt idx="142">
                  <c:v>991</c:v>
                </c:pt>
              </c:numCache>
            </c:numRef>
          </c:xVal>
          <c:yVal>
            <c:numRef>
              <c:f>'Red Cells Summary'!$D$3:$D$145</c:f>
              <c:numCache>
                <c:formatCode>0.00</c:formatCode>
                <c:ptCount val="143"/>
                <c:pt idx="0">
                  <c:v>0.31948881789137379</c:v>
                </c:pt>
                <c:pt idx="1">
                  <c:v>0.29940119760479045</c:v>
                </c:pt>
                <c:pt idx="2">
                  <c:v>0</c:v>
                </c:pt>
                <c:pt idx="3">
                  <c:v>0.69930069930069927</c:v>
                </c:pt>
                <c:pt idx="4">
                  <c:v>0</c:v>
                </c:pt>
                <c:pt idx="5">
                  <c:v>4.4534412955465585</c:v>
                </c:pt>
                <c:pt idx="6">
                  <c:v>4.2553191489361701</c:v>
                </c:pt>
                <c:pt idx="7">
                  <c:v>0.86956521739130432</c:v>
                </c:pt>
                <c:pt idx="8">
                  <c:v>8.5271317829457356</c:v>
                </c:pt>
                <c:pt idx="9">
                  <c:v>2.1428571428571428</c:v>
                </c:pt>
                <c:pt idx="10">
                  <c:v>13.756613756613756</c:v>
                </c:pt>
                <c:pt idx="11">
                  <c:v>21.857923497267759</c:v>
                </c:pt>
                <c:pt idx="12">
                  <c:v>22</c:v>
                </c:pt>
                <c:pt idx="13">
                  <c:v>13.815789473684212</c:v>
                </c:pt>
                <c:pt idx="14">
                  <c:v>10.526315789473683</c:v>
                </c:pt>
                <c:pt idx="15">
                  <c:v>13.23529411764706</c:v>
                </c:pt>
                <c:pt idx="16">
                  <c:v>8.5626911314984699</c:v>
                </c:pt>
                <c:pt idx="17">
                  <c:v>1.6949152542372881</c:v>
                </c:pt>
                <c:pt idx="18">
                  <c:v>3.1496062992125982</c:v>
                </c:pt>
                <c:pt idx="19">
                  <c:v>1.0752688172043012</c:v>
                </c:pt>
                <c:pt idx="20">
                  <c:v>0.70422535211267612</c:v>
                </c:pt>
                <c:pt idx="21">
                  <c:v>1.5873015873015872</c:v>
                </c:pt>
                <c:pt idx="22">
                  <c:v>2.6315789473684208</c:v>
                </c:pt>
                <c:pt idx="23">
                  <c:v>1.4354066985645932</c:v>
                </c:pt>
                <c:pt idx="24">
                  <c:v>0</c:v>
                </c:pt>
                <c:pt idx="25">
                  <c:v>0.40322580645161288</c:v>
                </c:pt>
                <c:pt idx="26">
                  <c:v>0</c:v>
                </c:pt>
                <c:pt idx="27">
                  <c:v>1.4218009478672986</c:v>
                </c:pt>
                <c:pt idx="28">
                  <c:v>1.3824884792626728</c:v>
                </c:pt>
                <c:pt idx="29">
                  <c:v>0</c:v>
                </c:pt>
                <c:pt idx="30">
                  <c:v>0</c:v>
                </c:pt>
                <c:pt idx="31">
                  <c:v>2.0491803278688523</c:v>
                </c:pt>
                <c:pt idx="32">
                  <c:v>1.9553072625698324</c:v>
                </c:pt>
                <c:pt idx="33">
                  <c:v>2.610966057441253</c:v>
                </c:pt>
                <c:pt idx="34">
                  <c:v>1.6949152542372881</c:v>
                </c:pt>
                <c:pt idx="35">
                  <c:v>6.1643835616438354</c:v>
                </c:pt>
                <c:pt idx="36">
                  <c:v>1.9736842105263157</c:v>
                </c:pt>
                <c:pt idx="37">
                  <c:v>3.2544378698224854</c:v>
                </c:pt>
                <c:pt idx="38">
                  <c:v>0.66225165562913912</c:v>
                </c:pt>
                <c:pt idx="39">
                  <c:v>0.50505050505050508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0.20576131687242799</c:v>
                </c:pt>
                <c:pt idx="45">
                  <c:v>0.2808988764044944</c:v>
                </c:pt>
                <c:pt idx="46">
                  <c:v>0</c:v>
                </c:pt>
                <c:pt idx="47">
                  <c:v>0.41841004184100417</c:v>
                </c:pt>
                <c:pt idx="48">
                  <c:v>0</c:v>
                </c:pt>
                <c:pt idx="49">
                  <c:v>0.72859744990892528</c:v>
                </c:pt>
                <c:pt idx="50">
                  <c:v>0</c:v>
                </c:pt>
                <c:pt idx="51">
                  <c:v>0.14814814814814814</c:v>
                </c:pt>
                <c:pt idx="52">
                  <c:v>0</c:v>
                </c:pt>
                <c:pt idx="53">
                  <c:v>0</c:v>
                </c:pt>
                <c:pt idx="54">
                  <c:v>0.1295336787564767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9.3109869646182494E-2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0.1226993865030675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5B-41BA-B805-4488A7BBC828}"/>
            </c:ext>
          </c:extLst>
        </c:ser>
        <c:ser>
          <c:idx val="3"/>
          <c:order val="3"/>
          <c:tx>
            <c:strRef>
              <c:f>'Red Cells Summary'!$E$2</c:f>
              <c:strCache>
                <c:ptCount val="1"/>
                <c:pt idx="0">
                  <c:v>15% FBS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'Red Cells Summary'!$A$3:$A$145</c:f>
              <c:numCache>
                <c:formatCode>General</c:formatCode>
                <c:ptCount val="143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21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49</c:v>
                </c:pt>
                <c:pt idx="9">
                  <c:v>56</c:v>
                </c:pt>
                <c:pt idx="10">
                  <c:v>63</c:v>
                </c:pt>
                <c:pt idx="11">
                  <c:v>70</c:v>
                </c:pt>
                <c:pt idx="12">
                  <c:v>77</c:v>
                </c:pt>
                <c:pt idx="13">
                  <c:v>86</c:v>
                </c:pt>
                <c:pt idx="14">
                  <c:v>98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126</c:v>
                </c:pt>
                <c:pt idx="19">
                  <c:v>133</c:v>
                </c:pt>
                <c:pt idx="20">
                  <c:v>140</c:v>
                </c:pt>
                <c:pt idx="21">
                  <c:v>147</c:v>
                </c:pt>
                <c:pt idx="22">
                  <c:v>154</c:v>
                </c:pt>
                <c:pt idx="23">
                  <c:v>161</c:v>
                </c:pt>
                <c:pt idx="24">
                  <c:v>169</c:v>
                </c:pt>
                <c:pt idx="25">
                  <c:v>175</c:v>
                </c:pt>
                <c:pt idx="26">
                  <c:v>182</c:v>
                </c:pt>
                <c:pt idx="27">
                  <c:v>189</c:v>
                </c:pt>
                <c:pt idx="28">
                  <c:v>196</c:v>
                </c:pt>
                <c:pt idx="29">
                  <c:v>203</c:v>
                </c:pt>
                <c:pt idx="30">
                  <c:v>210</c:v>
                </c:pt>
                <c:pt idx="31">
                  <c:v>216</c:v>
                </c:pt>
                <c:pt idx="32">
                  <c:v>223</c:v>
                </c:pt>
                <c:pt idx="33">
                  <c:v>230</c:v>
                </c:pt>
                <c:pt idx="34">
                  <c:v>236</c:v>
                </c:pt>
                <c:pt idx="35">
                  <c:v>243</c:v>
                </c:pt>
                <c:pt idx="36">
                  <c:v>250</c:v>
                </c:pt>
                <c:pt idx="37">
                  <c:v>257</c:v>
                </c:pt>
                <c:pt idx="38">
                  <c:v>264</c:v>
                </c:pt>
                <c:pt idx="39">
                  <c:v>270</c:v>
                </c:pt>
                <c:pt idx="40">
                  <c:v>277</c:v>
                </c:pt>
                <c:pt idx="41">
                  <c:v>284</c:v>
                </c:pt>
                <c:pt idx="42">
                  <c:v>291</c:v>
                </c:pt>
                <c:pt idx="43">
                  <c:v>299</c:v>
                </c:pt>
                <c:pt idx="44">
                  <c:v>306</c:v>
                </c:pt>
                <c:pt idx="45">
                  <c:v>313</c:v>
                </c:pt>
                <c:pt idx="46">
                  <c:v>320</c:v>
                </c:pt>
                <c:pt idx="47">
                  <c:v>327</c:v>
                </c:pt>
                <c:pt idx="48">
                  <c:v>334</c:v>
                </c:pt>
                <c:pt idx="49">
                  <c:v>343</c:v>
                </c:pt>
                <c:pt idx="50">
                  <c:v>348</c:v>
                </c:pt>
                <c:pt idx="51">
                  <c:v>355</c:v>
                </c:pt>
                <c:pt idx="52">
                  <c:v>363</c:v>
                </c:pt>
                <c:pt idx="53">
                  <c:v>369</c:v>
                </c:pt>
                <c:pt idx="54">
                  <c:v>376</c:v>
                </c:pt>
                <c:pt idx="55">
                  <c:v>383</c:v>
                </c:pt>
                <c:pt idx="56">
                  <c:v>390</c:v>
                </c:pt>
                <c:pt idx="57">
                  <c:v>398</c:v>
                </c:pt>
                <c:pt idx="58">
                  <c:v>404</c:v>
                </c:pt>
                <c:pt idx="59">
                  <c:v>411</c:v>
                </c:pt>
                <c:pt idx="60">
                  <c:v>418</c:v>
                </c:pt>
                <c:pt idx="61">
                  <c:v>425</c:v>
                </c:pt>
                <c:pt idx="62">
                  <c:v>432</c:v>
                </c:pt>
                <c:pt idx="63">
                  <c:v>439</c:v>
                </c:pt>
                <c:pt idx="64">
                  <c:v>445</c:v>
                </c:pt>
                <c:pt idx="65">
                  <c:v>452</c:v>
                </c:pt>
                <c:pt idx="66">
                  <c:v>460</c:v>
                </c:pt>
                <c:pt idx="67">
                  <c:v>466</c:v>
                </c:pt>
                <c:pt idx="68">
                  <c:v>473</c:v>
                </c:pt>
                <c:pt idx="69">
                  <c:v>480</c:v>
                </c:pt>
                <c:pt idx="70">
                  <c:v>487</c:v>
                </c:pt>
                <c:pt idx="71">
                  <c:v>494</c:v>
                </c:pt>
                <c:pt idx="72">
                  <c:v>501</c:v>
                </c:pt>
                <c:pt idx="73">
                  <c:v>508</c:v>
                </c:pt>
                <c:pt idx="74">
                  <c:v>515</c:v>
                </c:pt>
                <c:pt idx="75">
                  <c:v>522</c:v>
                </c:pt>
                <c:pt idx="76">
                  <c:v>529</c:v>
                </c:pt>
                <c:pt idx="77">
                  <c:v>536</c:v>
                </c:pt>
                <c:pt idx="78">
                  <c:v>543</c:v>
                </c:pt>
                <c:pt idx="79">
                  <c:v>550</c:v>
                </c:pt>
                <c:pt idx="80">
                  <c:v>557</c:v>
                </c:pt>
                <c:pt idx="81">
                  <c:v>564</c:v>
                </c:pt>
                <c:pt idx="82">
                  <c:v>572</c:v>
                </c:pt>
                <c:pt idx="83">
                  <c:v>578</c:v>
                </c:pt>
                <c:pt idx="84">
                  <c:v>584</c:v>
                </c:pt>
                <c:pt idx="85">
                  <c:v>592</c:v>
                </c:pt>
                <c:pt idx="86">
                  <c:v>598</c:v>
                </c:pt>
                <c:pt idx="87">
                  <c:v>606</c:v>
                </c:pt>
                <c:pt idx="88">
                  <c:v>612</c:v>
                </c:pt>
                <c:pt idx="89">
                  <c:v>619</c:v>
                </c:pt>
                <c:pt idx="90">
                  <c:v>626</c:v>
                </c:pt>
                <c:pt idx="91">
                  <c:v>633</c:v>
                </c:pt>
                <c:pt idx="92">
                  <c:v>640</c:v>
                </c:pt>
                <c:pt idx="93">
                  <c:v>647</c:v>
                </c:pt>
                <c:pt idx="94">
                  <c:v>654</c:v>
                </c:pt>
                <c:pt idx="95">
                  <c:v>661</c:v>
                </c:pt>
                <c:pt idx="96">
                  <c:v>668</c:v>
                </c:pt>
                <c:pt idx="97">
                  <c:v>675</c:v>
                </c:pt>
                <c:pt idx="98">
                  <c:v>682</c:v>
                </c:pt>
                <c:pt idx="99">
                  <c:v>689</c:v>
                </c:pt>
                <c:pt idx="100">
                  <c:v>696</c:v>
                </c:pt>
                <c:pt idx="101">
                  <c:v>703</c:v>
                </c:pt>
                <c:pt idx="102">
                  <c:v>710</c:v>
                </c:pt>
                <c:pt idx="103">
                  <c:v>717</c:v>
                </c:pt>
                <c:pt idx="104">
                  <c:v>724</c:v>
                </c:pt>
                <c:pt idx="105">
                  <c:v>731</c:v>
                </c:pt>
                <c:pt idx="106">
                  <c:v>738</c:v>
                </c:pt>
                <c:pt idx="107">
                  <c:v>745</c:v>
                </c:pt>
                <c:pt idx="108">
                  <c:v>752</c:v>
                </c:pt>
                <c:pt idx="109">
                  <c:v>761</c:v>
                </c:pt>
                <c:pt idx="110">
                  <c:v>766</c:v>
                </c:pt>
                <c:pt idx="111">
                  <c:v>773</c:v>
                </c:pt>
                <c:pt idx="112">
                  <c:v>780</c:v>
                </c:pt>
                <c:pt idx="113">
                  <c:v>787</c:v>
                </c:pt>
                <c:pt idx="114">
                  <c:v>794</c:v>
                </c:pt>
                <c:pt idx="115">
                  <c:v>801</c:v>
                </c:pt>
                <c:pt idx="116">
                  <c:v>808</c:v>
                </c:pt>
                <c:pt idx="117">
                  <c:v>815</c:v>
                </c:pt>
                <c:pt idx="118">
                  <c:v>823</c:v>
                </c:pt>
                <c:pt idx="119">
                  <c:v>829</c:v>
                </c:pt>
                <c:pt idx="120">
                  <c:v>836</c:v>
                </c:pt>
                <c:pt idx="121">
                  <c:v>843</c:v>
                </c:pt>
                <c:pt idx="122">
                  <c:v>850</c:v>
                </c:pt>
                <c:pt idx="123">
                  <c:v>857</c:v>
                </c:pt>
                <c:pt idx="124">
                  <c:v>864</c:v>
                </c:pt>
                <c:pt idx="125">
                  <c:v>871</c:v>
                </c:pt>
                <c:pt idx="126">
                  <c:v>878</c:v>
                </c:pt>
                <c:pt idx="127">
                  <c:v>885</c:v>
                </c:pt>
                <c:pt idx="128">
                  <c:v>892</c:v>
                </c:pt>
                <c:pt idx="129">
                  <c:v>899</c:v>
                </c:pt>
                <c:pt idx="130">
                  <c:v>906</c:v>
                </c:pt>
                <c:pt idx="131">
                  <c:v>914</c:v>
                </c:pt>
                <c:pt idx="132">
                  <c:v>921</c:v>
                </c:pt>
                <c:pt idx="133">
                  <c:v>928</c:v>
                </c:pt>
                <c:pt idx="134">
                  <c:v>935</c:v>
                </c:pt>
                <c:pt idx="135">
                  <c:v>942</c:v>
                </c:pt>
                <c:pt idx="136">
                  <c:v>949</c:v>
                </c:pt>
                <c:pt idx="137">
                  <c:v>956</c:v>
                </c:pt>
                <c:pt idx="138">
                  <c:v>963</c:v>
                </c:pt>
                <c:pt idx="139">
                  <c:v>970</c:v>
                </c:pt>
                <c:pt idx="140">
                  <c:v>977</c:v>
                </c:pt>
                <c:pt idx="141">
                  <c:v>984</c:v>
                </c:pt>
                <c:pt idx="142">
                  <c:v>991</c:v>
                </c:pt>
              </c:numCache>
            </c:numRef>
          </c:xVal>
          <c:yVal>
            <c:numRef>
              <c:f>'Red Cells Summary'!$E$3:$E$145</c:f>
              <c:numCache>
                <c:formatCode>0.00</c:formatCode>
                <c:ptCount val="1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1.5151515151515151</c:v>
                </c:pt>
                <c:pt idx="6">
                  <c:v>3.2432432432432434</c:v>
                </c:pt>
                <c:pt idx="7">
                  <c:v>3.763440860215054</c:v>
                </c:pt>
                <c:pt idx="8">
                  <c:v>6.1855670103092786</c:v>
                </c:pt>
                <c:pt idx="9">
                  <c:v>5.8823529411764701</c:v>
                </c:pt>
                <c:pt idx="10">
                  <c:v>10.362694300518134</c:v>
                </c:pt>
                <c:pt idx="11">
                  <c:v>14.367816091954023</c:v>
                </c:pt>
                <c:pt idx="12">
                  <c:v>18.617021276595743</c:v>
                </c:pt>
                <c:pt idx="13">
                  <c:v>2.6190476190476191</c:v>
                </c:pt>
                <c:pt idx="14">
                  <c:v>9.7142857142857135</c:v>
                </c:pt>
                <c:pt idx="15">
                  <c:v>1.1428571428571428</c:v>
                </c:pt>
                <c:pt idx="16">
                  <c:v>3.5087719298245612</c:v>
                </c:pt>
                <c:pt idx="17">
                  <c:v>1.834862385321101</c:v>
                </c:pt>
                <c:pt idx="18">
                  <c:v>0</c:v>
                </c:pt>
                <c:pt idx="19">
                  <c:v>0.60240963855421692</c:v>
                </c:pt>
                <c:pt idx="20">
                  <c:v>0.53763440860215062</c:v>
                </c:pt>
                <c:pt idx="21">
                  <c:v>0.70921985815602839</c:v>
                </c:pt>
                <c:pt idx="22">
                  <c:v>1.1834319526627219</c:v>
                </c:pt>
                <c:pt idx="23">
                  <c:v>1.5706806282722512</c:v>
                </c:pt>
                <c:pt idx="24">
                  <c:v>0.79365079365079361</c:v>
                </c:pt>
                <c:pt idx="25">
                  <c:v>0</c:v>
                </c:pt>
                <c:pt idx="26">
                  <c:v>1.0526315789473684</c:v>
                </c:pt>
                <c:pt idx="27">
                  <c:v>1.1320754716981132</c:v>
                </c:pt>
                <c:pt idx="28">
                  <c:v>0.95846645367412142</c:v>
                </c:pt>
                <c:pt idx="29">
                  <c:v>0.50505050505050508</c:v>
                </c:pt>
                <c:pt idx="30">
                  <c:v>0.27027027027027029</c:v>
                </c:pt>
                <c:pt idx="31">
                  <c:v>2.2727272727272729</c:v>
                </c:pt>
                <c:pt idx="32">
                  <c:v>1.0040160642570282</c:v>
                </c:pt>
                <c:pt idx="33">
                  <c:v>0.82644628099173556</c:v>
                </c:pt>
                <c:pt idx="34">
                  <c:v>2.1739130434782608</c:v>
                </c:pt>
                <c:pt idx="35">
                  <c:v>1.4634146341463417</c:v>
                </c:pt>
                <c:pt idx="36">
                  <c:v>2.2448979591836733</c:v>
                </c:pt>
                <c:pt idx="37">
                  <c:v>2.7139874739039667</c:v>
                </c:pt>
                <c:pt idx="38">
                  <c:v>0.41152263374485598</c:v>
                </c:pt>
                <c:pt idx="39">
                  <c:v>0.65502183406113534</c:v>
                </c:pt>
                <c:pt idx="40">
                  <c:v>0.53475935828876997</c:v>
                </c:pt>
                <c:pt idx="41">
                  <c:v>0</c:v>
                </c:pt>
                <c:pt idx="42">
                  <c:v>0</c:v>
                </c:pt>
                <c:pt idx="43">
                  <c:v>0.17809439002671415</c:v>
                </c:pt>
                <c:pt idx="44">
                  <c:v>0.49504950495049505</c:v>
                </c:pt>
                <c:pt idx="45">
                  <c:v>0.84507042253521114</c:v>
                </c:pt>
                <c:pt idx="46">
                  <c:v>0.28818443804034583</c:v>
                </c:pt>
                <c:pt idx="47">
                  <c:v>0.20790020790020791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0.19267822736030829</c:v>
                </c:pt>
                <c:pt idx="52">
                  <c:v>0</c:v>
                </c:pt>
                <c:pt idx="53">
                  <c:v>1.4492753623188406</c:v>
                </c:pt>
                <c:pt idx="54">
                  <c:v>0.27247956403269752</c:v>
                </c:pt>
                <c:pt idx="55">
                  <c:v>0.43668122270742354</c:v>
                </c:pt>
                <c:pt idx="56">
                  <c:v>0</c:v>
                </c:pt>
                <c:pt idx="57">
                  <c:v>0.13227513227513227</c:v>
                </c:pt>
                <c:pt idx="58">
                  <c:v>0.20449897750511251</c:v>
                </c:pt>
                <c:pt idx="59">
                  <c:v>0</c:v>
                </c:pt>
                <c:pt idx="60">
                  <c:v>0.99502487562189057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0.16420361247947454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5B-41BA-B805-4488A7BB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302943"/>
        <c:axId val="415299103"/>
      </c:scatterChart>
      <c:valAx>
        <c:axId val="415302943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5299103"/>
        <c:crosses val="autoZero"/>
        <c:crossBetween val="midCat"/>
      </c:valAx>
      <c:valAx>
        <c:axId val="41529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5302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877121609798786"/>
          <c:y val="6.9678113152522606E-2"/>
          <c:w val="0.23523512685914261"/>
          <c:h val="0.35161818314377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50800</xdr:rowOff>
    </xdr:from>
    <xdr:to>
      <xdr:col>13</xdr:col>
      <xdr:colOff>120650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9AB2B-0343-CF8E-87B6-F804B48A5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403225</xdr:colOff>
      <xdr:row>2</xdr:row>
      <xdr:rowOff>0</xdr:rowOff>
    </xdr:from>
    <xdr:to>
      <xdr:col>13</xdr:col>
      <xdr:colOff>0</xdr:colOff>
      <xdr:row>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D8A0CA-9160-281F-870E-D12D09F0A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4</xdr:row>
      <xdr:rowOff>171450</xdr:rowOff>
    </xdr:from>
    <xdr:to>
      <xdr:col>13</xdr:col>
      <xdr:colOff>117475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92B2D2-DE98-1DF6-B5E1-4A8C79BB8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2"/>
  <sheetViews>
    <sheetView tabSelected="1" workbookViewId="0">
      <pane ySplit="4" topLeftCell="A5" activePane="bottomLeft" state="frozen"/>
      <selection pane="bottomLeft"/>
    </sheetView>
  </sheetViews>
  <sheetFormatPr defaultColWidth="14.453125" defaultRowHeight="15" customHeight="1" x14ac:dyDescent="0.35"/>
  <cols>
    <col min="1" max="1" width="11.453125" customWidth="1"/>
    <col min="2" max="2" width="10.6328125" style="98" customWidth="1"/>
    <col min="3" max="3" width="10.6328125" style="99" customWidth="1"/>
    <col min="4" max="4" width="10.6328125" customWidth="1"/>
    <col min="5" max="9" width="9" style="46" customWidth="1"/>
    <col min="10" max="11" width="9" customWidth="1"/>
    <col min="12" max="12" width="9.81640625" customWidth="1"/>
    <col min="13" max="13" width="10.6328125" customWidth="1"/>
    <col min="14" max="14" width="10.7265625" bestFit="1" customWidth="1"/>
    <col min="15" max="15" width="9" customWidth="1"/>
    <col min="16" max="16" width="12.6328125" customWidth="1"/>
  </cols>
  <sheetData>
    <row r="1" spans="1:16" ht="15" customHeight="1" thickBot="1" x14ac:dyDescent="0.4">
      <c r="A1" s="140" t="s">
        <v>74</v>
      </c>
    </row>
    <row r="2" spans="1:16" ht="35" customHeight="1" x14ac:dyDescent="0.35">
      <c r="A2" s="143" t="s">
        <v>0</v>
      </c>
      <c r="B2" s="145" t="s">
        <v>53</v>
      </c>
      <c r="C2" s="141" t="s">
        <v>54</v>
      </c>
      <c r="D2" s="147" t="s">
        <v>55</v>
      </c>
      <c r="E2" s="149" t="s">
        <v>56</v>
      </c>
      <c r="F2" s="150"/>
      <c r="G2" s="150"/>
      <c r="H2" s="151"/>
      <c r="I2" s="141" t="s">
        <v>57</v>
      </c>
      <c r="J2" s="152" t="s">
        <v>1</v>
      </c>
      <c r="K2" s="152" t="s">
        <v>58</v>
      </c>
      <c r="L2" s="152" t="s">
        <v>59</v>
      </c>
      <c r="M2" s="152" t="s">
        <v>60</v>
      </c>
      <c r="N2" s="154" t="s">
        <v>69</v>
      </c>
      <c r="O2" s="152" t="s">
        <v>2</v>
      </c>
      <c r="P2" s="147" t="s">
        <v>68</v>
      </c>
    </row>
    <row r="3" spans="1:16" ht="15" customHeight="1" thickBot="1" x14ac:dyDescent="0.4">
      <c r="A3" s="144"/>
      <c r="B3" s="146"/>
      <c r="C3" s="142"/>
      <c r="D3" s="148"/>
      <c r="E3" s="117" t="s">
        <v>61</v>
      </c>
      <c r="F3" s="118" t="s">
        <v>62</v>
      </c>
      <c r="G3" s="118" t="s">
        <v>63</v>
      </c>
      <c r="H3" s="119" t="s">
        <v>64</v>
      </c>
      <c r="I3" s="142"/>
      <c r="J3" s="153"/>
      <c r="K3" s="153"/>
      <c r="L3" s="153"/>
      <c r="M3" s="153"/>
      <c r="N3" s="155"/>
      <c r="O3" s="153"/>
      <c r="P3" s="148"/>
    </row>
    <row r="4" spans="1:16" ht="15" customHeight="1" thickBot="1" x14ac:dyDescent="0.4">
      <c r="A4" s="122" t="s">
        <v>70</v>
      </c>
      <c r="B4" s="108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</row>
    <row r="5" spans="1:16" ht="14.25" customHeight="1" x14ac:dyDescent="0.35">
      <c r="A5" s="32" t="s">
        <v>3</v>
      </c>
      <c r="B5" s="91">
        <v>3</v>
      </c>
      <c r="C5" s="100" t="s">
        <v>4</v>
      </c>
      <c r="D5" s="91" t="s">
        <v>65</v>
      </c>
      <c r="E5" s="47">
        <v>56</v>
      </c>
      <c r="F5" s="47">
        <v>52</v>
      </c>
      <c r="G5" s="47">
        <v>70</v>
      </c>
      <c r="H5" s="47">
        <v>73</v>
      </c>
      <c r="I5" s="47">
        <f t="shared" ref="I5:I229" si="0">AVERAGE(E5:H5)</f>
        <v>62.75</v>
      </c>
      <c r="J5" s="33">
        <f>I5*2*10000</f>
        <v>1255000</v>
      </c>
      <c r="K5" s="33">
        <v>1290000</v>
      </c>
      <c r="L5" s="33">
        <f>J5*5</f>
        <v>6275000</v>
      </c>
      <c r="M5" s="34">
        <f>I5/(I5+I6)*100</f>
        <v>98.046875</v>
      </c>
      <c r="N5" s="34">
        <f>I7/I5*100</f>
        <v>0</v>
      </c>
      <c r="O5" s="35">
        <f>3.32*(LOG(L5)-LOG(K5))</f>
        <v>2.2809197459147059</v>
      </c>
      <c r="P5" s="33">
        <v>2.2799999999999998</v>
      </c>
    </row>
    <row r="6" spans="1:16" ht="14.25" customHeight="1" x14ac:dyDescent="0.35">
      <c r="A6" s="20"/>
      <c r="B6" s="92"/>
      <c r="C6" s="101"/>
      <c r="D6" s="92" t="s">
        <v>66</v>
      </c>
      <c r="E6" s="43">
        <v>2</v>
      </c>
      <c r="F6" s="43">
        <v>0</v>
      </c>
      <c r="G6" s="43">
        <v>2</v>
      </c>
      <c r="H6" s="43">
        <v>1</v>
      </c>
      <c r="I6" s="43">
        <f t="shared" si="0"/>
        <v>1.25</v>
      </c>
      <c r="J6" s="20"/>
      <c r="K6" s="20"/>
      <c r="L6" s="20"/>
      <c r="M6" s="20"/>
      <c r="N6" s="20"/>
      <c r="O6" s="20"/>
      <c r="P6" s="20"/>
    </row>
    <row r="7" spans="1:16" ht="14.25" customHeight="1" x14ac:dyDescent="0.35">
      <c r="A7" s="20"/>
      <c r="B7" s="92"/>
      <c r="C7" s="101"/>
      <c r="D7" s="92" t="s">
        <v>67</v>
      </c>
      <c r="E7" s="43">
        <v>0</v>
      </c>
      <c r="F7" s="43">
        <v>0</v>
      </c>
      <c r="G7" s="43">
        <v>0</v>
      </c>
      <c r="H7" s="43">
        <v>0</v>
      </c>
      <c r="I7" s="43">
        <f t="shared" si="0"/>
        <v>0</v>
      </c>
      <c r="J7" s="20"/>
      <c r="K7" s="20"/>
      <c r="L7" s="20"/>
      <c r="M7" s="20"/>
      <c r="N7" s="20"/>
      <c r="O7" s="20"/>
      <c r="P7" s="20"/>
    </row>
    <row r="8" spans="1:16" ht="14.25" customHeight="1" x14ac:dyDescent="0.35">
      <c r="A8" s="19" t="s">
        <v>5</v>
      </c>
      <c r="B8" s="92">
        <v>7</v>
      </c>
      <c r="C8" s="101" t="s">
        <v>4</v>
      </c>
      <c r="D8" s="91" t="s">
        <v>65</v>
      </c>
      <c r="E8" s="43">
        <v>63</v>
      </c>
      <c r="F8" s="43">
        <v>56</v>
      </c>
      <c r="G8" s="43">
        <v>60</v>
      </c>
      <c r="H8" s="43">
        <v>71</v>
      </c>
      <c r="I8" s="43">
        <f t="shared" si="0"/>
        <v>62.5</v>
      </c>
      <c r="J8" s="20">
        <f>I8*2*10000</f>
        <v>1250000</v>
      </c>
      <c r="K8" s="20">
        <v>3000000</v>
      </c>
      <c r="L8" s="20">
        <f>J8*5</f>
        <v>6250000</v>
      </c>
      <c r="M8" s="22">
        <f>I8/(I8+I9)*100</f>
        <v>98.814229249011859</v>
      </c>
      <c r="N8" s="22">
        <f>I10/I8*100</f>
        <v>0.4</v>
      </c>
      <c r="O8" s="23">
        <f>3.32*(LOG(L8)-LOG(K8))</f>
        <v>1.0582790919130491</v>
      </c>
      <c r="P8" s="23">
        <f>P5+O8</f>
        <v>3.3382790919130487</v>
      </c>
    </row>
    <row r="9" spans="1:16" ht="14.25" customHeight="1" x14ac:dyDescent="0.35">
      <c r="A9" s="20"/>
      <c r="B9" s="92"/>
      <c r="C9" s="101"/>
      <c r="D9" s="92" t="s">
        <v>66</v>
      </c>
      <c r="E9" s="43">
        <v>1</v>
      </c>
      <c r="F9" s="43">
        <v>1</v>
      </c>
      <c r="G9" s="43">
        <v>0</v>
      </c>
      <c r="H9" s="43">
        <v>1</v>
      </c>
      <c r="I9" s="43">
        <f t="shared" si="0"/>
        <v>0.75</v>
      </c>
      <c r="J9" s="20"/>
      <c r="K9" s="20"/>
      <c r="L9" s="20"/>
      <c r="M9" s="20"/>
      <c r="N9" s="20"/>
      <c r="O9" s="20"/>
      <c r="P9" s="20"/>
    </row>
    <row r="10" spans="1:16" ht="14.25" customHeight="1" x14ac:dyDescent="0.35">
      <c r="A10" s="20"/>
      <c r="B10" s="92"/>
      <c r="C10" s="101"/>
      <c r="D10" s="92" t="s">
        <v>67</v>
      </c>
      <c r="E10" s="43">
        <v>0</v>
      </c>
      <c r="F10" s="43">
        <v>0</v>
      </c>
      <c r="G10" s="43">
        <v>1</v>
      </c>
      <c r="H10" s="43">
        <v>0</v>
      </c>
      <c r="I10" s="43">
        <f t="shared" si="0"/>
        <v>0.25</v>
      </c>
      <c r="J10" s="20"/>
      <c r="K10" s="20"/>
      <c r="L10" s="20"/>
      <c r="M10" s="20"/>
      <c r="N10" s="20"/>
      <c r="O10" s="20"/>
      <c r="P10" s="20"/>
    </row>
    <row r="11" spans="1:16" ht="14.25" customHeight="1" x14ac:dyDescent="0.35">
      <c r="A11" s="19" t="s">
        <v>6</v>
      </c>
      <c r="B11" s="92">
        <v>10</v>
      </c>
      <c r="C11" s="101" t="s">
        <v>4</v>
      </c>
      <c r="D11" s="91" t="s">
        <v>65</v>
      </c>
      <c r="E11" s="43">
        <v>28</v>
      </c>
      <c r="F11" s="43">
        <v>28</v>
      </c>
      <c r="G11" s="43">
        <v>33</v>
      </c>
      <c r="H11" s="43">
        <v>45</v>
      </c>
      <c r="I11" s="43">
        <f t="shared" si="0"/>
        <v>33.5</v>
      </c>
      <c r="J11" s="20">
        <f>I11*2*10000</f>
        <v>670000</v>
      </c>
      <c r="K11" s="20">
        <v>3000000</v>
      </c>
      <c r="L11" s="20">
        <f>J11*5</f>
        <v>3350000</v>
      </c>
      <c r="M11" s="22">
        <f>I11/(I11+I12)*100</f>
        <v>99.259259259259252</v>
      </c>
      <c r="N11" s="22">
        <f>I13/I11*100</f>
        <v>0</v>
      </c>
      <c r="O11" s="23">
        <f>3.32*(LOG(L11)-LOG(K11))</f>
        <v>0.15910619369304768</v>
      </c>
      <c r="P11" s="23">
        <f>P8+O11</f>
        <v>3.4973852856060965</v>
      </c>
    </row>
    <row r="12" spans="1:16" ht="14.25" customHeight="1" x14ac:dyDescent="0.35">
      <c r="A12" s="20"/>
      <c r="B12" s="92"/>
      <c r="C12" s="101"/>
      <c r="D12" s="92" t="s">
        <v>66</v>
      </c>
      <c r="E12" s="43">
        <v>0</v>
      </c>
      <c r="F12" s="43">
        <v>0</v>
      </c>
      <c r="G12" s="43">
        <v>0</v>
      </c>
      <c r="H12" s="43">
        <v>1</v>
      </c>
      <c r="I12" s="43">
        <f t="shared" si="0"/>
        <v>0.25</v>
      </c>
      <c r="J12" s="20"/>
      <c r="K12" s="20"/>
      <c r="L12" s="20"/>
      <c r="M12" s="20"/>
      <c r="N12" s="20"/>
      <c r="O12" s="20"/>
      <c r="P12" s="20"/>
    </row>
    <row r="13" spans="1:16" ht="14.25" customHeight="1" x14ac:dyDescent="0.35">
      <c r="A13" s="20"/>
      <c r="B13" s="92"/>
      <c r="C13" s="101"/>
      <c r="D13" s="92" t="s">
        <v>67</v>
      </c>
      <c r="E13" s="43">
        <v>0</v>
      </c>
      <c r="F13" s="43">
        <v>0</v>
      </c>
      <c r="G13" s="43">
        <v>0</v>
      </c>
      <c r="H13" s="43">
        <v>0</v>
      </c>
      <c r="I13" s="43">
        <f t="shared" si="0"/>
        <v>0</v>
      </c>
      <c r="J13" s="20"/>
      <c r="K13" s="20"/>
      <c r="L13" s="20"/>
      <c r="M13" s="20"/>
      <c r="N13" s="20"/>
      <c r="O13" s="20"/>
      <c r="P13" s="20"/>
    </row>
    <row r="14" spans="1:16" ht="14.25" customHeight="1" x14ac:dyDescent="0.35">
      <c r="A14" s="19" t="s">
        <v>7</v>
      </c>
      <c r="B14" s="92">
        <v>14</v>
      </c>
      <c r="C14" s="101" t="s">
        <v>4</v>
      </c>
      <c r="D14" s="91" t="s">
        <v>65</v>
      </c>
      <c r="E14" s="43">
        <v>35</v>
      </c>
      <c r="F14" s="43">
        <v>29</v>
      </c>
      <c r="G14" s="43">
        <v>31</v>
      </c>
      <c r="H14" s="43">
        <v>29</v>
      </c>
      <c r="I14" s="43">
        <f t="shared" si="0"/>
        <v>31</v>
      </c>
      <c r="J14" s="20">
        <f>I14*2*10000</f>
        <v>620000</v>
      </c>
      <c r="K14" s="20">
        <v>3000000</v>
      </c>
      <c r="L14" s="20">
        <f>J14*5</f>
        <v>3100000</v>
      </c>
      <c r="M14" s="22">
        <f>I14/(I14+I15)*100</f>
        <v>96.875</v>
      </c>
      <c r="N14" s="22">
        <f>I16/I14*100</f>
        <v>0</v>
      </c>
      <c r="O14" s="23">
        <f>3.32*(LOG(L14)-LOG(K14))</f>
        <v>4.7278257860506795E-2</v>
      </c>
      <c r="P14" s="23">
        <f>P11+O14</f>
        <v>3.5446635434666032</v>
      </c>
    </row>
    <row r="15" spans="1:16" ht="14.25" customHeight="1" x14ac:dyDescent="0.35">
      <c r="A15" s="20"/>
      <c r="B15" s="92"/>
      <c r="C15" s="101"/>
      <c r="D15" s="92" t="s">
        <v>66</v>
      </c>
      <c r="E15" s="43">
        <v>0</v>
      </c>
      <c r="F15" s="43">
        <v>1</v>
      </c>
      <c r="G15" s="43">
        <v>2</v>
      </c>
      <c r="H15" s="43">
        <v>1</v>
      </c>
      <c r="I15" s="43">
        <f t="shared" si="0"/>
        <v>1</v>
      </c>
      <c r="J15" s="20"/>
      <c r="K15" s="20"/>
      <c r="L15" s="20"/>
      <c r="M15" s="20"/>
      <c r="N15" s="20"/>
      <c r="O15" s="20"/>
      <c r="P15" s="20"/>
    </row>
    <row r="16" spans="1:16" ht="14.25" customHeight="1" x14ac:dyDescent="0.35">
      <c r="A16" s="20"/>
      <c r="B16" s="92"/>
      <c r="C16" s="101"/>
      <c r="D16" s="92" t="s">
        <v>67</v>
      </c>
      <c r="E16" s="43">
        <v>0</v>
      </c>
      <c r="F16" s="43">
        <v>0</v>
      </c>
      <c r="G16" s="43">
        <v>0</v>
      </c>
      <c r="H16" s="43">
        <v>0</v>
      </c>
      <c r="I16" s="43">
        <f t="shared" si="0"/>
        <v>0</v>
      </c>
      <c r="J16" s="20"/>
      <c r="K16" s="20"/>
      <c r="L16" s="20"/>
      <c r="M16" s="20"/>
      <c r="N16" s="20"/>
      <c r="O16" s="20"/>
      <c r="P16" s="20"/>
    </row>
    <row r="17" spans="1:16" ht="14.25" customHeight="1" x14ac:dyDescent="0.35">
      <c r="A17" s="19" t="s">
        <v>8</v>
      </c>
      <c r="B17" s="92">
        <v>21</v>
      </c>
      <c r="C17" s="101" t="s">
        <v>4</v>
      </c>
      <c r="D17" s="91" t="s">
        <v>65</v>
      </c>
      <c r="E17" s="43">
        <v>43</v>
      </c>
      <c r="F17" s="43">
        <v>37</v>
      </c>
      <c r="G17" s="43">
        <v>39</v>
      </c>
      <c r="H17" s="43">
        <v>37</v>
      </c>
      <c r="I17" s="43">
        <f t="shared" si="0"/>
        <v>39</v>
      </c>
      <c r="J17" s="20">
        <f>I17*2*10000</f>
        <v>780000</v>
      </c>
      <c r="K17" s="20">
        <v>3000000</v>
      </c>
      <c r="L17" s="20">
        <f>J17*5</f>
        <v>3900000</v>
      </c>
      <c r="M17" s="22">
        <f>I17/(I17+I18)*100</f>
        <v>73.584905660377359</v>
      </c>
      <c r="N17" s="22">
        <f>I19/I17*100</f>
        <v>0</v>
      </c>
      <c r="O17" s="23">
        <f>3.32*(LOG(L17)-LOG(K17))</f>
        <v>0.37829192965869862</v>
      </c>
      <c r="P17" s="23">
        <f>P14+O17</f>
        <v>3.9229554731253016</v>
      </c>
    </row>
    <row r="18" spans="1:16" ht="14.25" customHeight="1" x14ac:dyDescent="0.35">
      <c r="A18" s="20"/>
      <c r="B18" s="92"/>
      <c r="C18" s="101"/>
      <c r="D18" s="92" t="s">
        <v>66</v>
      </c>
      <c r="E18" s="43">
        <v>13</v>
      </c>
      <c r="F18" s="43">
        <v>19</v>
      </c>
      <c r="G18" s="43">
        <v>11</v>
      </c>
      <c r="H18" s="43">
        <v>13</v>
      </c>
      <c r="I18" s="43">
        <f t="shared" si="0"/>
        <v>14</v>
      </c>
      <c r="J18" s="20"/>
      <c r="K18" s="20"/>
      <c r="L18" s="20"/>
      <c r="M18" s="20"/>
      <c r="N18" s="20"/>
      <c r="O18" s="20"/>
      <c r="P18" s="20"/>
    </row>
    <row r="19" spans="1:16" ht="14.25" customHeight="1" x14ac:dyDescent="0.35">
      <c r="A19" s="20"/>
      <c r="B19" s="92"/>
      <c r="C19" s="101"/>
      <c r="D19" s="92" t="s">
        <v>67</v>
      </c>
      <c r="E19" s="43">
        <v>0</v>
      </c>
      <c r="F19" s="43">
        <v>0</v>
      </c>
      <c r="G19" s="43">
        <v>0</v>
      </c>
      <c r="H19" s="43">
        <v>0</v>
      </c>
      <c r="I19" s="43">
        <f t="shared" si="0"/>
        <v>0</v>
      </c>
      <c r="J19" s="20"/>
      <c r="K19" s="20"/>
      <c r="L19" s="20"/>
      <c r="M19" s="20"/>
      <c r="N19" s="20"/>
      <c r="O19" s="20"/>
      <c r="P19" s="20"/>
    </row>
    <row r="20" spans="1:16" ht="14.25" customHeight="1" x14ac:dyDescent="0.35">
      <c r="A20" s="19" t="s">
        <v>9</v>
      </c>
      <c r="B20" s="92">
        <v>28</v>
      </c>
      <c r="C20" s="101" t="s">
        <v>4</v>
      </c>
      <c r="D20" s="91" t="s">
        <v>65</v>
      </c>
      <c r="E20" s="43">
        <v>39</v>
      </c>
      <c r="F20" s="43">
        <v>37</v>
      </c>
      <c r="G20" s="43">
        <v>42</v>
      </c>
      <c r="H20" s="43">
        <v>44</v>
      </c>
      <c r="I20" s="43">
        <f t="shared" si="0"/>
        <v>40.5</v>
      </c>
      <c r="J20" s="20">
        <f>I20*2*10000</f>
        <v>810000</v>
      </c>
      <c r="K20" s="20">
        <v>3000000</v>
      </c>
      <c r="L20" s="20">
        <f>J20*5</f>
        <v>4050000</v>
      </c>
      <c r="M20" s="22">
        <f>I20/(I20+I21)*100</f>
        <v>84.375</v>
      </c>
      <c r="N20" s="22">
        <f>I22/I20*100</f>
        <v>0</v>
      </c>
      <c r="O20" s="23">
        <f>3.32*(LOG(L20)-LOG(K20))</f>
        <v>0.4327081114034188</v>
      </c>
      <c r="P20" s="23">
        <f>P17+O20</f>
        <v>4.3556635845287204</v>
      </c>
    </row>
    <row r="21" spans="1:16" ht="14.25" customHeight="1" x14ac:dyDescent="0.35">
      <c r="A21" s="20"/>
      <c r="B21" s="92"/>
      <c r="C21" s="101"/>
      <c r="D21" s="92" t="s">
        <v>66</v>
      </c>
      <c r="E21" s="43">
        <v>8</v>
      </c>
      <c r="F21" s="43">
        <v>5</v>
      </c>
      <c r="G21" s="43">
        <v>8</v>
      </c>
      <c r="H21" s="43">
        <v>9</v>
      </c>
      <c r="I21" s="43">
        <f t="shared" si="0"/>
        <v>7.5</v>
      </c>
      <c r="J21" s="20"/>
      <c r="K21" s="20"/>
      <c r="L21" s="20"/>
      <c r="M21" s="20"/>
      <c r="N21" s="20"/>
      <c r="O21" s="20"/>
      <c r="P21" s="20"/>
    </row>
    <row r="22" spans="1:16" ht="14.25" customHeight="1" x14ac:dyDescent="0.35">
      <c r="A22" s="20"/>
      <c r="B22" s="92"/>
      <c r="C22" s="101"/>
      <c r="D22" s="92" t="s">
        <v>67</v>
      </c>
      <c r="E22" s="43">
        <v>0</v>
      </c>
      <c r="F22" s="43">
        <v>0</v>
      </c>
      <c r="G22" s="43">
        <v>0</v>
      </c>
      <c r="H22" s="43">
        <v>0</v>
      </c>
      <c r="I22" s="43">
        <f t="shared" si="0"/>
        <v>0</v>
      </c>
      <c r="J22" s="20"/>
      <c r="K22" s="20"/>
      <c r="L22" s="20"/>
      <c r="M22" s="20"/>
      <c r="N22" s="20"/>
      <c r="O22" s="20"/>
      <c r="P22" s="20"/>
    </row>
    <row r="23" spans="1:16" ht="14.25" customHeight="1" x14ac:dyDescent="0.35">
      <c r="A23" s="19" t="s">
        <v>10</v>
      </c>
      <c r="B23" s="92">
        <v>35</v>
      </c>
      <c r="C23" s="101" t="s">
        <v>4</v>
      </c>
      <c r="D23" s="91" t="s">
        <v>65</v>
      </c>
      <c r="E23" s="43">
        <v>55</v>
      </c>
      <c r="F23" s="43">
        <v>51</v>
      </c>
      <c r="G23" s="43">
        <v>46</v>
      </c>
      <c r="H23" s="43">
        <v>53</v>
      </c>
      <c r="I23" s="43">
        <f t="shared" si="0"/>
        <v>51.25</v>
      </c>
      <c r="J23" s="20">
        <f>I23*2*10000</f>
        <v>1025000</v>
      </c>
      <c r="K23" s="20">
        <v>3000000</v>
      </c>
      <c r="L23" s="20">
        <f>J23*5</f>
        <v>5125000</v>
      </c>
      <c r="M23" s="22">
        <f>I23/(I23+I24)*100</f>
        <v>87.606837606837601</v>
      </c>
      <c r="N23" s="22">
        <f>I25/I23*100</f>
        <v>1.4634146341463417</v>
      </c>
      <c r="O23" s="23">
        <f>3.32*(LOG(L23)-LOG(K23))</f>
        <v>0.7721410818269886</v>
      </c>
      <c r="P23" s="23">
        <f>P20+O23</f>
        <v>5.1278046663557086</v>
      </c>
    </row>
    <row r="24" spans="1:16" ht="14.25" customHeight="1" x14ac:dyDescent="0.35">
      <c r="A24" s="20"/>
      <c r="B24" s="92"/>
      <c r="C24" s="101"/>
      <c r="D24" s="92" t="s">
        <v>66</v>
      </c>
      <c r="E24" s="43">
        <v>8</v>
      </c>
      <c r="F24" s="43">
        <v>10</v>
      </c>
      <c r="G24" s="43">
        <v>8</v>
      </c>
      <c r="H24" s="43">
        <v>3</v>
      </c>
      <c r="I24" s="43">
        <f t="shared" si="0"/>
        <v>7.25</v>
      </c>
      <c r="J24" s="20"/>
      <c r="K24" s="20"/>
      <c r="L24" s="20"/>
      <c r="M24" s="20"/>
      <c r="N24" s="20"/>
      <c r="O24" s="20"/>
      <c r="P24" s="20"/>
    </row>
    <row r="25" spans="1:16" ht="14.25" customHeight="1" x14ac:dyDescent="0.35">
      <c r="A25" s="20"/>
      <c r="B25" s="92"/>
      <c r="C25" s="101"/>
      <c r="D25" s="92" t="s">
        <v>67</v>
      </c>
      <c r="E25" s="43">
        <v>0</v>
      </c>
      <c r="F25" s="43">
        <v>1</v>
      </c>
      <c r="G25" s="43">
        <v>1</v>
      </c>
      <c r="H25" s="43">
        <v>1</v>
      </c>
      <c r="I25" s="43">
        <f t="shared" si="0"/>
        <v>0.75</v>
      </c>
      <c r="J25" s="20"/>
      <c r="K25" s="20"/>
      <c r="L25" s="20"/>
      <c r="M25" s="20"/>
      <c r="N25" s="20"/>
      <c r="O25" s="20"/>
      <c r="P25" s="20"/>
    </row>
    <row r="26" spans="1:16" ht="14.25" customHeight="1" x14ac:dyDescent="0.35">
      <c r="A26" s="19" t="s">
        <v>11</v>
      </c>
      <c r="B26" s="92">
        <v>42</v>
      </c>
      <c r="C26" s="101" t="s">
        <v>4</v>
      </c>
      <c r="D26" s="91" t="s">
        <v>65</v>
      </c>
      <c r="E26" s="43">
        <v>29</v>
      </c>
      <c r="F26" s="43">
        <v>29</v>
      </c>
      <c r="G26" s="43">
        <v>34</v>
      </c>
      <c r="H26" s="43">
        <v>27</v>
      </c>
      <c r="I26" s="43">
        <f t="shared" si="0"/>
        <v>29.75</v>
      </c>
      <c r="J26" s="20">
        <f>I26*2*10000</f>
        <v>595000</v>
      </c>
      <c r="K26" s="20">
        <v>3000000</v>
      </c>
      <c r="L26" s="20">
        <f>J26*5</f>
        <v>2975000</v>
      </c>
      <c r="M26" s="22">
        <f>I26/(I26+I27)*100</f>
        <v>74.842767295597483</v>
      </c>
      <c r="N26" s="22">
        <f>I28/I26*100</f>
        <v>1.680672268907563</v>
      </c>
      <c r="O26" s="23">
        <f>3.32*(LOG(L26)-LOG(K26))</f>
        <v>-1.2065825054912337E-2</v>
      </c>
      <c r="P26" s="23">
        <f>P23</f>
        <v>5.1278046663557086</v>
      </c>
    </row>
    <row r="27" spans="1:16" ht="14.25" customHeight="1" x14ac:dyDescent="0.35">
      <c r="A27" s="20"/>
      <c r="B27" s="92"/>
      <c r="C27" s="101"/>
      <c r="D27" s="92" t="s">
        <v>66</v>
      </c>
      <c r="E27" s="43">
        <v>6</v>
      </c>
      <c r="F27" s="43">
        <v>12</v>
      </c>
      <c r="G27" s="43">
        <v>15</v>
      </c>
      <c r="H27" s="43">
        <v>7</v>
      </c>
      <c r="I27" s="43">
        <f t="shared" si="0"/>
        <v>10</v>
      </c>
      <c r="J27" s="20"/>
      <c r="K27" s="20"/>
      <c r="L27" s="20"/>
      <c r="M27" s="20"/>
      <c r="N27" s="20"/>
      <c r="O27" s="20"/>
      <c r="P27" s="20"/>
    </row>
    <row r="28" spans="1:16" ht="14.25" customHeight="1" x14ac:dyDescent="0.35">
      <c r="A28" s="20"/>
      <c r="B28" s="92"/>
      <c r="C28" s="101"/>
      <c r="D28" s="92" t="s">
        <v>67</v>
      </c>
      <c r="E28" s="43">
        <v>0</v>
      </c>
      <c r="F28" s="43">
        <v>0</v>
      </c>
      <c r="G28" s="43">
        <v>1</v>
      </c>
      <c r="H28" s="43">
        <v>1</v>
      </c>
      <c r="I28" s="43">
        <f t="shared" si="0"/>
        <v>0.5</v>
      </c>
      <c r="J28" s="20"/>
      <c r="K28" s="20"/>
      <c r="L28" s="20"/>
      <c r="M28" s="20"/>
      <c r="N28" s="20"/>
      <c r="O28" s="20"/>
      <c r="P28" s="20"/>
    </row>
    <row r="29" spans="1:16" ht="14.25" customHeight="1" x14ac:dyDescent="0.35">
      <c r="A29" s="19" t="s">
        <v>12</v>
      </c>
      <c r="B29" s="92">
        <v>49</v>
      </c>
      <c r="C29" s="101" t="s">
        <v>4</v>
      </c>
      <c r="D29" s="91" t="s">
        <v>65</v>
      </c>
      <c r="E29" s="43">
        <v>37</v>
      </c>
      <c r="F29" s="43">
        <v>39</v>
      </c>
      <c r="G29" s="43">
        <v>23</v>
      </c>
      <c r="H29" s="43">
        <v>32</v>
      </c>
      <c r="I29" s="43">
        <f t="shared" si="0"/>
        <v>32.75</v>
      </c>
      <c r="J29" s="20">
        <f>I29*2*10000</f>
        <v>655000</v>
      </c>
      <c r="K29" s="20">
        <v>2975000</v>
      </c>
      <c r="L29" s="20">
        <f>J29*5</f>
        <v>3275000</v>
      </c>
      <c r="M29" s="22">
        <f>I29/(I29+I30)*100</f>
        <v>87.333333333333329</v>
      </c>
      <c r="N29" s="22">
        <f>I31/I29*100</f>
        <v>1.5267175572519083</v>
      </c>
      <c r="O29" s="23">
        <f>3.32*(LOG(L29)-LOG(K29))</f>
        <v>0.13852478975393492</v>
      </c>
      <c r="P29" s="23">
        <f>P26+O29</f>
        <v>5.2663294561096432</v>
      </c>
    </row>
    <row r="30" spans="1:16" ht="14.25" customHeight="1" x14ac:dyDescent="0.35">
      <c r="A30" s="20"/>
      <c r="B30" s="92"/>
      <c r="C30" s="101"/>
      <c r="D30" s="92" t="s">
        <v>66</v>
      </c>
      <c r="E30" s="43">
        <v>6</v>
      </c>
      <c r="F30" s="43">
        <v>4</v>
      </c>
      <c r="G30" s="43">
        <v>3</v>
      </c>
      <c r="H30" s="43">
        <v>6</v>
      </c>
      <c r="I30" s="43">
        <f t="shared" si="0"/>
        <v>4.75</v>
      </c>
      <c r="J30" s="20"/>
      <c r="K30" s="20"/>
      <c r="L30" s="20"/>
      <c r="M30" s="20"/>
      <c r="N30" s="20"/>
      <c r="O30" s="20"/>
      <c r="P30" s="20"/>
    </row>
    <row r="31" spans="1:16" ht="14.25" customHeight="1" x14ac:dyDescent="0.35">
      <c r="A31" s="20"/>
      <c r="B31" s="92"/>
      <c r="C31" s="101"/>
      <c r="D31" s="92" t="s">
        <v>67</v>
      </c>
      <c r="E31" s="43">
        <v>0</v>
      </c>
      <c r="F31" s="43">
        <v>1</v>
      </c>
      <c r="G31" s="43">
        <v>0</v>
      </c>
      <c r="H31" s="43">
        <v>1</v>
      </c>
      <c r="I31" s="43">
        <f t="shared" si="0"/>
        <v>0.5</v>
      </c>
      <c r="J31" s="20"/>
      <c r="K31" s="20"/>
      <c r="L31" s="20"/>
      <c r="M31" s="20"/>
      <c r="N31" s="20"/>
      <c r="O31" s="20"/>
      <c r="P31" s="20"/>
    </row>
    <row r="32" spans="1:16" ht="14.25" customHeight="1" x14ac:dyDescent="0.35">
      <c r="A32" s="19" t="s">
        <v>13</v>
      </c>
      <c r="B32" s="92">
        <v>56</v>
      </c>
      <c r="C32" s="101" t="s">
        <v>4</v>
      </c>
      <c r="D32" s="91" t="s">
        <v>65</v>
      </c>
      <c r="E32" s="43">
        <v>26</v>
      </c>
      <c r="F32" s="43">
        <v>20</v>
      </c>
      <c r="G32" s="43">
        <v>20</v>
      </c>
      <c r="H32" s="43">
        <v>27</v>
      </c>
      <c r="I32" s="43">
        <f t="shared" si="0"/>
        <v>23.25</v>
      </c>
      <c r="J32" s="20">
        <f>I32*2*10000</f>
        <v>465000</v>
      </c>
      <c r="K32" s="20">
        <v>3000000</v>
      </c>
      <c r="L32" s="20">
        <f>J32*5</f>
        <v>2325000</v>
      </c>
      <c r="M32" s="22">
        <f>I32/(I32+I33)*100</f>
        <v>68.382352941176478</v>
      </c>
      <c r="N32" s="22">
        <f>I34/I32*100</f>
        <v>4.3010752688172049</v>
      </c>
      <c r="O32" s="23">
        <f>3.32*(LOG(L32)-LOG(K32))</f>
        <v>-0.36751834767905184</v>
      </c>
      <c r="P32" s="23">
        <f>P29</f>
        <v>5.2663294561096432</v>
      </c>
    </row>
    <row r="33" spans="1:16" ht="14.25" customHeight="1" x14ac:dyDescent="0.35">
      <c r="A33" s="20"/>
      <c r="B33" s="92"/>
      <c r="C33" s="101"/>
      <c r="D33" s="92" t="s">
        <v>66</v>
      </c>
      <c r="E33" s="43">
        <v>4</v>
      </c>
      <c r="F33" s="43">
        <v>16</v>
      </c>
      <c r="G33" s="43">
        <v>12</v>
      </c>
      <c r="H33" s="43">
        <v>11</v>
      </c>
      <c r="I33" s="43">
        <f t="shared" si="0"/>
        <v>10.75</v>
      </c>
      <c r="J33" s="20"/>
      <c r="K33" s="20"/>
      <c r="L33" s="20"/>
      <c r="M33" s="20"/>
      <c r="N33" s="20"/>
      <c r="O33" s="20"/>
      <c r="P33" s="20"/>
    </row>
    <row r="34" spans="1:16" ht="14.25" customHeight="1" x14ac:dyDescent="0.35">
      <c r="A34" s="20"/>
      <c r="B34" s="92"/>
      <c r="C34" s="101"/>
      <c r="D34" s="92" t="s">
        <v>67</v>
      </c>
      <c r="E34" s="43">
        <v>1</v>
      </c>
      <c r="F34" s="43">
        <v>2</v>
      </c>
      <c r="G34" s="43">
        <v>0</v>
      </c>
      <c r="H34" s="43">
        <v>1</v>
      </c>
      <c r="I34" s="43">
        <f t="shared" si="0"/>
        <v>1</v>
      </c>
      <c r="J34" s="20"/>
      <c r="K34" s="20"/>
      <c r="L34" s="20"/>
      <c r="M34" s="20"/>
      <c r="N34" s="20"/>
      <c r="O34" s="20"/>
      <c r="P34" s="20"/>
    </row>
    <row r="35" spans="1:16" ht="14.25" customHeight="1" x14ac:dyDescent="0.35">
      <c r="A35" s="19" t="s">
        <v>14</v>
      </c>
      <c r="B35" s="92">
        <v>63</v>
      </c>
      <c r="C35" s="101" t="s">
        <v>4</v>
      </c>
      <c r="D35" s="91" t="s">
        <v>65</v>
      </c>
      <c r="E35" s="43">
        <v>34</v>
      </c>
      <c r="F35" s="43">
        <v>27</v>
      </c>
      <c r="G35" s="43">
        <v>27</v>
      </c>
      <c r="H35" s="43">
        <v>24</v>
      </c>
      <c r="I35" s="43">
        <f t="shared" si="0"/>
        <v>28</v>
      </c>
      <c r="J35" s="20">
        <f>I35*2*10000</f>
        <v>560000</v>
      </c>
      <c r="K35" s="20">
        <v>2325000</v>
      </c>
      <c r="L35" s="20">
        <f>J35*5</f>
        <v>2800000</v>
      </c>
      <c r="M35" s="22">
        <f>I35/(I35+I36)*100</f>
        <v>56.281407035175882</v>
      </c>
      <c r="N35" s="22">
        <f>I37/I35*100</f>
        <v>8.0357142857142865</v>
      </c>
      <c r="O35" s="23">
        <f>3.32*(LOG(L35)-LOG(K35))</f>
        <v>0.26804044606594052</v>
      </c>
      <c r="P35" s="23">
        <f>P32+O35</f>
        <v>5.5343699021755839</v>
      </c>
    </row>
    <row r="36" spans="1:16" ht="14.25" customHeight="1" x14ac:dyDescent="0.35">
      <c r="A36" s="20"/>
      <c r="B36" s="92"/>
      <c r="C36" s="101"/>
      <c r="D36" s="92" t="s">
        <v>66</v>
      </c>
      <c r="E36" s="43">
        <v>25</v>
      </c>
      <c r="F36" s="43">
        <v>21</v>
      </c>
      <c r="G36" s="43">
        <v>24</v>
      </c>
      <c r="H36" s="43">
        <v>17</v>
      </c>
      <c r="I36" s="43">
        <f t="shared" si="0"/>
        <v>21.75</v>
      </c>
      <c r="J36" s="20"/>
      <c r="K36" s="20"/>
      <c r="L36" s="20"/>
      <c r="M36" s="20"/>
      <c r="N36" s="20"/>
      <c r="O36" s="20"/>
      <c r="P36" s="20"/>
    </row>
    <row r="37" spans="1:16" ht="14.25" customHeight="1" x14ac:dyDescent="0.35">
      <c r="A37" s="20"/>
      <c r="B37" s="92"/>
      <c r="C37" s="101"/>
      <c r="D37" s="92" t="s">
        <v>67</v>
      </c>
      <c r="E37" s="43">
        <v>1</v>
      </c>
      <c r="F37" s="43">
        <v>1</v>
      </c>
      <c r="G37" s="43">
        <v>2</v>
      </c>
      <c r="H37" s="43">
        <v>5</v>
      </c>
      <c r="I37" s="43">
        <f t="shared" si="0"/>
        <v>2.25</v>
      </c>
      <c r="J37" s="20"/>
      <c r="K37" s="20"/>
      <c r="L37" s="20"/>
      <c r="M37" s="20"/>
      <c r="N37" s="20"/>
      <c r="O37" s="20"/>
      <c r="P37" s="20"/>
    </row>
    <row r="38" spans="1:16" ht="14.25" customHeight="1" x14ac:dyDescent="0.35">
      <c r="A38" s="19" t="s">
        <v>15</v>
      </c>
      <c r="B38" s="92">
        <v>70</v>
      </c>
      <c r="C38" s="101" t="s">
        <v>4</v>
      </c>
      <c r="D38" s="91" t="s">
        <v>65</v>
      </c>
      <c r="E38" s="43">
        <v>25</v>
      </c>
      <c r="F38" s="43">
        <v>32</v>
      </c>
      <c r="G38" s="43">
        <v>27</v>
      </c>
      <c r="H38" s="43">
        <v>26</v>
      </c>
      <c r="I38" s="43">
        <f t="shared" si="0"/>
        <v>27.5</v>
      </c>
      <c r="J38" s="20">
        <f>I38*2*10000</f>
        <v>550000</v>
      </c>
      <c r="K38" s="20">
        <v>2800000</v>
      </c>
      <c r="L38" s="20">
        <f>J38*5</f>
        <v>2750000</v>
      </c>
      <c r="M38" s="22">
        <f>I38/(I38+I39)*100</f>
        <v>68.75</v>
      </c>
      <c r="N38" s="22">
        <f>I40/I38*100</f>
        <v>4.5454545454545459</v>
      </c>
      <c r="O38" s="23">
        <f>3.32*(LOG(L38)-LOG(K38))</f>
        <v>-2.5980120539695832E-2</v>
      </c>
      <c r="P38" s="23">
        <f>P35</f>
        <v>5.5343699021755839</v>
      </c>
    </row>
    <row r="39" spans="1:16" ht="14.25" customHeight="1" x14ac:dyDescent="0.35">
      <c r="A39" s="20"/>
      <c r="B39" s="92"/>
      <c r="C39" s="101"/>
      <c r="D39" s="92" t="s">
        <v>66</v>
      </c>
      <c r="E39" s="43">
        <v>15</v>
      </c>
      <c r="F39" s="43">
        <v>6</v>
      </c>
      <c r="G39" s="43">
        <v>14</v>
      </c>
      <c r="H39" s="43">
        <v>15</v>
      </c>
      <c r="I39" s="43">
        <f t="shared" si="0"/>
        <v>12.5</v>
      </c>
      <c r="J39" s="20"/>
      <c r="K39" s="20"/>
      <c r="L39" s="20"/>
      <c r="M39" s="20"/>
      <c r="N39" s="20"/>
      <c r="O39" s="20"/>
      <c r="P39" s="20"/>
    </row>
    <row r="40" spans="1:16" ht="14.25" customHeight="1" x14ac:dyDescent="0.35">
      <c r="A40" s="20"/>
      <c r="B40" s="92"/>
      <c r="C40" s="101"/>
      <c r="D40" s="92" t="s">
        <v>67</v>
      </c>
      <c r="E40" s="43">
        <v>0</v>
      </c>
      <c r="F40" s="43">
        <v>3</v>
      </c>
      <c r="G40" s="43">
        <v>1</v>
      </c>
      <c r="H40" s="43">
        <v>1</v>
      </c>
      <c r="I40" s="43">
        <f t="shared" si="0"/>
        <v>1.25</v>
      </c>
      <c r="J40" s="20"/>
      <c r="K40" s="20"/>
      <c r="L40" s="20"/>
      <c r="M40" s="20"/>
      <c r="N40" s="20"/>
      <c r="O40" s="20"/>
      <c r="P40" s="20"/>
    </row>
    <row r="41" spans="1:16" ht="14.25" customHeight="1" x14ac:dyDescent="0.35">
      <c r="A41" s="19" t="s">
        <v>16</v>
      </c>
      <c r="B41" s="92">
        <v>77</v>
      </c>
      <c r="C41" s="101" t="s">
        <v>4</v>
      </c>
      <c r="D41" s="91" t="s">
        <v>65</v>
      </c>
      <c r="E41" s="43">
        <v>45</v>
      </c>
      <c r="F41" s="43">
        <v>37</v>
      </c>
      <c r="G41" s="43">
        <v>41</v>
      </c>
      <c r="H41" s="43">
        <v>40</v>
      </c>
      <c r="I41" s="43">
        <f t="shared" si="0"/>
        <v>40.75</v>
      </c>
      <c r="J41" s="20">
        <f>I41*2*10000</f>
        <v>815000</v>
      </c>
      <c r="K41" s="20">
        <v>2750000</v>
      </c>
      <c r="L41" s="20">
        <f>J41*5</f>
        <v>4075000</v>
      </c>
      <c r="M41" s="22">
        <f>I41/(I41+I42)*100</f>
        <v>74.090909090909093</v>
      </c>
      <c r="N41" s="22">
        <f>I43/I41*100</f>
        <v>11.656441717791409</v>
      </c>
      <c r="O41" s="23">
        <f>3.32*(LOG(L41)-LOG(K41))</f>
        <v>0.56703913189583277</v>
      </c>
      <c r="P41" s="23">
        <f>P38+O41</f>
        <v>6.1014090340714162</v>
      </c>
    </row>
    <row r="42" spans="1:16" ht="14.25" customHeight="1" x14ac:dyDescent="0.35">
      <c r="A42" s="20"/>
      <c r="B42" s="92"/>
      <c r="C42" s="101"/>
      <c r="D42" s="92" t="s">
        <v>66</v>
      </c>
      <c r="E42" s="43">
        <v>8</v>
      </c>
      <c r="F42" s="43">
        <v>18</v>
      </c>
      <c r="G42" s="43">
        <v>14</v>
      </c>
      <c r="H42" s="43">
        <v>17</v>
      </c>
      <c r="I42" s="43">
        <f t="shared" si="0"/>
        <v>14.25</v>
      </c>
      <c r="J42" s="20"/>
      <c r="K42" s="20"/>
      <c r="L42" s="20"/>
      <c r="M42" s="20"/>
      <c r="N42" s="20"/>
      <c r="O42" s="20"/>
      <c r="P42" s="20"/>
    </row>
    <row r="43" spans="1:16" ht="14.25" customHeight="1" x14ac:dyDescent="0.35">
      <c r="A43" s="20"/>
      <c r="B43" s="92"/>
      <c r="C43" s="101"/>
      <c r="D43" s="92" t="s">
        <v>67</v>
      </c>
      <c r="E43" s="43">
        <v>5</v>
      </c>
      <c r="F43" s="43">
        <v>4</v>
      </c>
      <c r="G43" s="43">
        <v>7</v>
      </c>
      <c r="H43" s="43">
        <v>3</v>
      </c>
      <c r="I43" s="43">
        <f t="shared" si="0"/>
        <v>4.75</v>
      </c>
      <c r="J43" s="20"/>
      <c r="K43" s="20"/>
      <c r="L43" s="20"/>
      <c r="M43" s="20"/>
      <c r="N43" s="20"/>
      <c r="O43" s="20"/>
      <c r="P43" s="20"/>
    </row>
    <row r="44" spans="1:16" ht="14.25" customHeight="1" x14ac:dyDescent="0.35">
      <c r="A44" s="19" t="s">
        <v>17</v>
      </c>
      <c r="B44" s="92">
        <v>86</v>
      </c>
      <c r="C44" s="101" t="s">
        <v>4</v>
      </c>
      <c r="D44" s="91" t="s">
        <v>65</v>
      </c>
      <c r="E44" s="43">
        <v>46</v>
      </c>
      <c r="F44" s="43">
        <v>42</v>
      </c>
      <c r="G44" s="43">
        <v>33</v>
      </c>
      <c r="H44" s="43">
        <v>30</v>
      </c>
      <c r="I44" s="43">
        <f t="shared" si="0"/>
        <v>37.75</v>
      </c>
      <c r="J44" s="20">
        <f>I44*2*10000</f>
        <v>755000</v>
      </c>
      <c r="K44" s="20">
        <v>3000000</v>
      </c>
      <c r="L44" s="20">
        <f>J44*5</f>
        <v>3775000</v>
      </c>
      <c r="M44" s="22">
        <f>I44/(I44+I45)*100</f>
        <v>72.59615384615384</v>
      </c>
      <c r="N44" s="22">
        <f>I46/I44*100</f>
        <v>1.9867549668874174</v>
      </c>
      <c r="O44" s="23">
        <f>3.32*(LOG(L44)-LOG(K44))</f>
        <v>0.33132172813520805</v>
      </c>
      <c r="P44" s="23">
        <f>P41+O44</f>
        <v>6.4327307622066243</v>
      </c>
    </row>
    <row r="45" spans="1:16" ht="14.25" customHeight="1" x14ac:dyDescent="0.35">
      <c r="A45" s="20"/>
      <c r="B45" s="92"/>
      <c r="C45" s="101"/>
      <c r="D45" s="92" t="s">
        <v>66</v>
      </c>
      <c r="E45" s="43">
        <v>15</v>
      </c>
      <c r="F45" s="43">
        <v>13</v>
      </c>
      <c r="G45" s="43">
        <v>17</v>
      </c>
      <c r="H45" s="43">
        <v>12</v>
      </c>
      <c r="I45" s="43">
        <f t="shared" si="0"/>
        <v>14.25</v>
      </c>
      <c r="J45" s="20"/>
      <c r="K45" s="20"/>
      <c r="L45" s="20"/>
      <c r="M45" s="20"/>
      <c r="N45" s="20"/>
      <c r="O45" s="20"/>
      <c r="P45" s="20"/>
    </row>
    <row r="46" spans="1:16" ht="14.25" customHeight="1" x14ac:dyDescent="0.35">
      <c r="A46" s="20"/>
      <c r="B46" s="92"/>
      <c r="C46" s="101"/>
      <c r="D46" s="92" t="s">
        <v>67</v>
      </c>
      <c r="E46" s="43">
        <v>0</v>
      </c>
      <c r="F46" s="43">
        <v>1</v>
      </c>
      <c r="G46" s="43">
        <v>2</v>
      </c>
      <c r="H46" s="43">
        <v>0</v>
      </c>
      <c r="I46" s="43">
        <f t="shared" si="0"/>
        <v>0.75</v>
      </c>
      <c r="J46" s="20"/>
      <c r="K46" s="20"/>
      <c r="L46" s="20"/>
      <c r="M46" s="20"/>
      <c r="N46" s="20"/>
      <c r="O46" s="20"/>
      <c r="P46" s="20"/>
    </row>
    <row r="47" spans="1:16" ht="14.25" customHeight="1" x14ac:dyDescent="0.35">
      <c r="A47" s="19" t="s">
        <v>18</v>
      </c>
      <c r="B47" s="92">
        <v>98</v>
      </c>
      <c r="C47" s="101" t="s">
        <v>4</v>
      </c>
      <c r="D47" s="91" t="s">
        <v>65</v>
      </c>
      <c r="E47" s="43">
        <v>30</v>
      </c>
      <c r="F47" s="43">
        <v>27</v>
      </c>
      <c r="G47" s="43">
        <v>19</v>
      </c>
      <c r="H47" s="43">
        <v>20</v>
      </c>
      <c r="I47" s="43">
        <f t="shared" si="0"/>
        <v>24</v>
      </c>
      <c r="J47" s="20">
        <f>I47*2*10000</f>
        <v>480000</v>
      </c>
      <c r="K47" s="20">
        <v>3000000</v>
      </c>
      <c r="L47" s="20">
        <f>J47*5</f>
        <v>2400000</v>
      </c>
      <c r="M47" s="22">
        <f>I47/(I47+I48)*100</f>
        <v>59.627329192546583</v>
      </c>
      <c r="N47" s="22">
        <f>I49/I47*100</f>
        <v>21.875</v>
      </c>
      <c r="O47" s="23">
        <f>3.32*(LOG(L47)-LOG(K47))</f>
        <v>-0.32174124318674668</v>
      </c>
      <c r="P47" s="23">
        <f>P44</f>
        <v>6.4327307622066243</v>
      </c>
    </row>
    <row r="48" spans="1:16" ht="14.25" customHeight="1" x14ac:dyDescent="0.35">
      <c r="A48" s="20"/>
      <c r="B48" s="92"/>
      <c r="C48" s="101"/>
      <c r="D48" s="92" t="s">
        <v>66</v>
      </c>
      <c r="E48" s="43">
        <v>14</v>
      </c>
      <c r="F48" s="43">
        <v>18</v>
      </c>
      <c r="G48" s="43">
        <v>13</v>
      </c>
      <c r="H48" s="43">
        <v>20</v>
      </c>
      <c r="I48" s="43">
        <f t="shared" si="0"/>
        <v>16.25</v>
      </c>
      <c r="J48" s="20"/>
      <c r="K48" s="20"/>
      <c r="L48" s="20"/>
      <c r="M48" s="20"/>
      <c r="N48" s="20"/>
      <c r="O48" s="20"/>
      <c r="P48" s="20"/>
    </row>
    <row r="49" spans="1:16" ht="14.25" customHeight="1" x14ac:dyDescent="0.35">
      <c r="A49" s="20"/>
      <c r="B49" s="92"/>
      <c r="C49" s="101"/>
      <c r="D49" s="92" t="s">
        <v>67</v>
      </c>
      <c r="E49" s="43">
        <v>2</v>
      </c>
      <c r="F49" s="43">
        <v>7</v>
      </c>
      <c r="G49" s="43">
        <v>6</v>
      </c>
      <c r="H49" s="43">
        <v>6</v>
      </c>
      <c r="I49" s="43">
        <f t="shared" si="0"/>
        <v>5.25</v>
      </c>
      <c r="J49" s="20"/>
      <c r="K49" s="20"/>
      <c r="L49" s="20"/>
      <c r="M49" s="20"/>
      <c r="N49" s="20"/>
      <c r="O49" s="20"/>
      <c r="P49" s="20"/>
    </row>
    <row r="50" spans="1:16" ht="14.25" customHeight="1" x14ac:dyDescent="0.35">
      <c r="A50" s="19" t="s">
        <v>19</v>
      </c>
      <c r="B50" s="92">
        <v>105</v>
      </c>
      <c r="C50" s="101" t="s">
        <v>4</v>
      </c>
      <c r="D50" s="91" t="s">
        <v>65</v>
      </c>
      <c r="E50" s="43">
        <v>30</v>
      </c>
      <c r="F50" s="43">
        <v>37</v>
      </c>
      <c r="G50" s="43">
        <v>29</v>
      </c>
      <c r="H50" s="43">
        <v>33</v>
      </c>
      <c r="I50" s="43">
        <f t="shared" si="0"/>
        <v>32.25</v>
      </c>
      <c r="J50" s="20">
        <f>I50*2*10000</f>
        <v>645000</v>
      </c>
      <c r="K50" s="20">
        <v>2400000</v>
      </c>
      <c r="L50" s="20">
        <f>J50*5</f>
        <v>3225000</v>
      </c>
      <c r="M50" s="22">
        <f>I50/(I50+I51)*100</f>
        <v>55.844155844155843</v>
      </c>
      <c r="N50" s="22">
        <f>I52/I50*100</f>
        <v>13.178294573643413</v>
      </c>
      <c r="O50" s="23">
        <f>3.32*(LOG(L50)-LOG(K50))</f>
        <v>0.42601734450213735</v>
      </c>
      <c r="P50" s="23">
        <f>P47+O50</f>
        <v>6.8587481067087612</v>
      </c>
    </row>
    <row r="51" spans="1:16" ht="14.25" customHeight="1" x14ac:dyDescent="0.35">
      <c r="A51" s="20"/>
      <c r="B51" s="92"/>
      <c r="C51" s="101"/>
      <c r="D51" s="92" t="s">
        <v>66</v>
      </c>
      <c r="E51" s="43">
        <v>28</v>
      </c>
      <c r="F51" s="43">
        <v>23</v>
      </c>
      <c r="G51" s="43">
        <v>27</v>
      </c>
      <c r="H51" s="43">
        <v>24</v>
      </c>
      <c r="I51" s="43">
        <f t="shared" si="0"/>
        <v>25.5</v>
      </c>
      <c r="J51" s="20"/>
      <c r="K51" s="20"/>
      <c r="L51" s="20"/>
      <c r="M51" s="20"/>
      <c r="N51" s="20"/>
      <c r="O51" s="20"/>
      <c r="P51" s="20"/>
    </row>
    <row r="52" spans="1:16" ht="14.25" customHeight="1" x14ac:dyDescent="0.35">
      <c r="A52" s="20"/>
      <c r="B52" s="92"/>
      <c r="C52" s="101"/>
      <c r="D52" s="92" t="s">
        <v>67</v>
      </c>
      <c r="E52" s="43">
        <v>0</v>
      </c>
      <c r="F52" s="43">
        <v>3</v>
      </c>
      <c r="G52" s="43">
        <v>7</v>
      </c>
      <c r="H52" s="43">
        <v>7</v>
      </c>
      <c r="I52" s="43">
        <f t="shared" si="0"/>
        <v>4.25</v>
      </c>
      <c r="J52" s="20"/>
      <c r="K52" s="20"/>
      <c r="L52" s="20"/>
      <c r="M52" s="20"/>
      <c r="N52" s="20"/>
      <c r="O52" s="20"/>
      <c r="P52" s="20"/>
    </row>
    <row r="53" spans="1:16" ht="14.25" customHeight="1" x14ac:dyDescent="0.35">
      <c r="A53" s="19" t="s">
        <v>20</v>
      </c>
      <c r="B53" s="92">
        <v>112</v>
      </c>
      <c r="C53" s="101" t="s">
        <v>4</v>
      </c>
      <c r="D53" s="91" t="s">
        <v>65</v>
      </c>
      <c r="E53" s="43">
        <v>51</v>
      </c>
      <c r="F53" s="43">
        <v>37</v>
      </c>
      <c r="G53" s="43">
        <v>41</v>
      </c>
      <c r="H53" s="43">
        <v>47</v>
      </c>
      <c r="I53" s="43">
        <f t="shared" si="0"/>
        <v>44</v>
      </c>
      <c r="J53" s="20">
        <f>I53*2*10000</f>
        <v>880000</v>
      </c>
      <c r="K53" s="20">
        <v>3000000</v>
      </c>
      <c r="L53" s="20">
        <f>J53*5</f>
        <v>4400000</v>
      </c>
      <c r="M53" s="22">
        <f>I53/(I53+I54)*100</f>
        <v>67.692307692307693</v>
      </c>
      <c r="N53" s="22">
        <f>I55/I53*100</f>
        <v>11.363636363636363</v>
      </c>
      <c r="O53" s="23">
        <f>3.32*(LOG(L53)-LOG(K53))</f>
        <v>0.5522203202648639</v>
      </c>
      <c r="P53" s="23">
        <f>P50+O53</f>
        <v>7.4109684269736249</v>
      </c>
    </row>
    <row r="54" spans="1:16" ht="14.25" customHeight="1" x14ac:dyDescent="0.35">
      <c r="A54" s="20"/>
      <c r="B54" s="92"/>
      <c r="C54" s="101"/>
      <c r="D54" s="92" t="s">
        <v>66</v>
      </c>
      <c r="E54" s="43">
        <v>20</v>
      </c>
      <c r="F54" s="43">
        <v>22</v>
      </c>
      <c r="G54" s="43">
        <v>19</v>
      </c>
      <c r="H54" s="43">
        <v>23</v>
      </c>
      <c r="I54" s="43">
        <f t="shared" si="0"/>
        <v>21</v>
      </c>
      <c r="J54" s="20"/>
      <c r="K54" s="20"/>
      <c r="L54" s="20"/>
      <c r="M54" s="20"/>
      <c r="N54" s="20"/>
      <c r="O54" s="20"/>
      <c r="P54" s="20"/>
    </row>
    <row r="55" spans="1:16" ht="14.25" customHeight="1" x14ac:dyDescent="0.35">
      <c r="A55" s="20"/>
      <c r="B55" s="92"/>
      <c r="C55" s="101"/>
      <c r="D55" s="92" t="s">
        <v>67</v>
      </c>
      <c r="E55" s="43">
        <v>3</v>
      </c>
      <c r="F55" s="43">
        <v>7</v>
      </c>
      <c r="G55" s="43">
        <v>7</v>
      </c>
      <c r="H55" s="43">
        <v>3</v>
      </c>
      <c r="I55" s="43">
        <f t="shared" si="0"/>
        <v>5</v>
      </c>
      <c r="J55" s="20"/>
      <c r="K55" s="20"/>
      <c r="L55" s="20"/>
      <c r="M55" s="20"/>
      <c r="N55" s="20"/>
      <c r="O55" s="20"/>
      <c r="P55" s="20"/>
    </row>
    <row r="56" spans="1:16" ht="14.25" customHeight="1" x14ac:dyDescent="0.35">
      <c r="A56" s="19" t="s">
        <v>21</v>
      </c>
      <c r="B56" s="92">
        <v>119</v>
      </c>
      <c r="C56" s="101" t="s">
        <v>4</v>
      </c>
      <c r="D56" s="91" t="s">
        <v>65</v>
      </c>
      <c r="E56" s="43">
        <v>34</v>
      </c>
      <c r="F56" s="43">
        <v>31</v>
      </c>
      <c r="G56" s="43">
        <v>42</v>
      </c>
      <c r="H56" s="43">
        <v>34</v>
      </c>
      <c r="I56" s="43">
        <f t="shared" si="0"/>
        <v>35.25</v>
      </c>
      <c r="J56" s="20">
        <f>I56*2*10000</f>
        <v>705000</v>
      </c>
      <c r="K56" s="20">
        <v>3000000</v>
      </c>
      <c r="L56" s="20">
        <f>J56*5</f>
        <v>3525000</v>
      </c>
      <c r="M56" s="22">
        <f>I56/(I56+I57)*100</f>
        <v>52.80898876404494</v>
      </c>
      <c r="N56" s="22">
        <f>I58/I56*100</f>
        <v>9.9290780141843982</v>
      </c>
      <c r="O56" s="23">
        <f>3.32*(LOG(L56)-LOG(K56))</f>
        <v>0.23252571713774517</v>
      </c>
      <c r="P56" s="23">
        <f>P53+O56</f>
        <v>7.6434941441113704</v>
      </c>
    </row>
    <row r="57" spans="1:16" ht="14.25" customHeight="1" x14ac:dyDescent="0.35">
      <c r="A57" s="20"/>
      <c r="B57" s="92"/>
      <c r="C57" s="101"/>
      <c r="D57" s="92" t="s">
        <v>66</v>
      </c>
      <c r="E57" s="43">
        <v>43</v>
      </c>
      <c r="F57" s="43">
        <v>30</v>
      </c>
      <c r="G57" s="43">
        <v>29</v>
      </c>
      <c r="H57" s="43">
        <v>24</v>
      </c>
      <c r="I57" s="43">
        <f t="shared" si="0"/>
        <v>31.5</v>
      </c>
      <c r="J57" s="20"/>
      <c r="K57" s="20"/>
      <c r="L57" s="20"/>
      <c r="M57" s="20"/>
      <c r="N57" s="20"/>
      <c r="O57" s="20"/>
      <c r="P57" s="20"/>
    </row>
    <row r="58" spans="1:16" ht="14.25" customHeight="1" x14ac:dyDescent="0.35">
      <c r="A58" s="20"/>
      <c r="B58" s="92"/>
      <c r="C58" s="101"/>
      <c r="D58" s="92" t="s">
        <v>67</v>
      </c>
      <c r="E58" s="43">
        <v>4</v>
      </c>
      <c r="F58" s="43">
        <v>3</v>
      </c>
      <c r="G58" s="43">
        <v>3</v>
      </c>
      <c r="H58" s="43">
        <v>4</v>
      </c>
      <c r="I58" s="43">
        <f t="shared" si="0"/>
        <v>3.5</v>
      </c>
      <c r="J58" s="20"/>
      <c r="K58" s="20"/>
      <c r="L58" s="20"/>
      <c r="M58" s="20"/>
      <c r="N58" s="20"/>
      <c r="O58" s="20"/>
      <c r="P58" s="20"/>
    </row>
    <row r="59" spans="1:16" ht="14.25" customHeight="1" x14ac:dyDescent="0.35">
      <c r="A59" s="19" t="s">
        <v>22</v>
      </c>
      <c r="B59" s="92">
        <v>126</v>
      </c>
      <c r="C59" s="101" t="s">
        <v>4</v>
      </c>
      <c r="D59" s="91" t="s">
        <v>65</v>
      </c>
      <c r="E59" s="43">
        <v>53</v>
      </c>
      <c r="F59" s="43">
        <v>44</v>
      </c>
      <c r="G59" s="43">
        <v>58</v>
      </c>
      <c r="H59" s="43">
        <v>35</v>
      </c>
      <c r="I59" s="43">
        <f t="shared" si="0"/>
        <v>47.5</v>
      </c>
      <c r="J59" s="20">
        <f>I59*2*10000</f>
        <v>950000</v>
      </c>
      <c r="K59" s="20">
        <v>3000000</v>
      </c>
      <c r="L59" s="20">
        <f>J59*5</f>
        <v>4750000</v>
      </c>
      <c r="M59" s="22">
        <f>I59/(I59+I60)*100</f>
        <v>67.857142857142861</v>
      </c>
      <c r="N59" s="22">
        <f>I61/I59*100</f>
        <v>17.894736842105264</v>
      </c>
      <c r="O59" s="23">
        <f>3.32*(LOG(L59)-LOG(K59))</f>
        <v>0.66258021828527647</v>
      </c>
      <c r="P59" s="23">
        <f>P56+O59</f>
        <v>8.3060743623966466</v>
      </c>
    </row>
    <row r="60" spans="1:16" ht="14.25" customHeight="1" x14ac:dyDescent="0.35">
      <c r="A60" s="20"/>
      <c r="B60" s="92"/>
      <c r="C60" s="101"/>
      <c r="D60" s="92" t="s">
        <v>66</v>
      </c>
      <c r="E60" s="43">
        <v>27</v>
      </c>
      <c r="F60" s="43">
        <v>20</v>
      </c>
      <c r="G60" s="43">
        <v>19</v>
      </c>
      <c r="H60" s="43">
        <v>24</v>
      </c>
      <c r="I60" s="43">
        <f t="shared" si="0"/>
        <v>22.5</v>
      </c>
      <c r="J60" s="20"/>
      <c r="K60" s="20"/>
      <c r="L60" s="20"/>
      <c r="M60" s="20"/>
      <c r="N60" s="20"/>
      <c r="O60" s="20"/>
      <c r="P60" s="20"/>
    </row>
    <row r="61" spans="1:16" ht="14.25" customHeight="1" x14ac:dyDescent="0.35">
      <c r="A61" s="20"/>
      <c r="B61" s="92"/>
      <c r="C61" s="101"/>
      <c r="D61" s="92" t="s">
        <v>67</v>
      </c>
      <c r="E61" s="43">
        <v>9</v>
      </c>
      <c r="F61" s="43">
        <v>8</v>
      </c>
      <c r="G61" s="43">
        <v>9</v>
      </c>
      <c r="H61" s="43">
        <v>8</v>
      </c>
      <c r="I61" s="43">
        <f t="shared" si="0"/>
        <v>8.5</v>
      </c>
      <c r="J61" s="20"/>
      <c r="K61" s="20"/>
      <c r="L61" s="20"/>
      <c r="M61" s="20"/>
      <c r="N61" s="20"/>
      <c r="O61" s="20"/>
      <c r="P61" s="20"/>
    </row>
    <row r="62" spans="1:16" ht="14.25" customHeight="1" x14ac:dyDescent="0.35">
      <c r="A62" s="19" t="s">
        <v>23</v>
      </c>
      <c r="B62" s="92">
        <v>133</v>
      </c>
      <c r="C62" s="101" t="s">
        <v>4</v>
      </c>
      <c r="D62" s="91" t="s">
        <v>65</v>
      </c>
      <c r="E62" s="43">
        <v>33</v>
      </c>
      <c r="F62" s="43">
        <v>30</v>
      </c>
      <c r="G62" s="43">
        <v>22</v>
      </c>
      <c r="H62" s="43">
        <v>40</v>
      </c>
      <c r="I62" s="43">
        <f t="shared" si="0"/>
        <v>31.25</v>
      </c>
      <c r="J62" s="20">
        <f>I62*2*10000</f>
        <v>625000</v>
      </c>
      <c r="K62" s="20">
        <v>3000000</v>
      </c>
      <c r="L62" s="20">
        <f>J62*5</f>
        <v>3125000</v>
      </c>
      <c r="M62" s="22">
        <f>I62/(I62+I63)*100</f>
        <v>64.766839378238345</v>
      </c>
      <c r="N62" s="22">
        <f>I64/I62*100</f>
        <v>14.399999999999999</v>
      </c>
      <c r="O62" s="23">
        <f>3.32*(LOG(L62)-LOG(K62))</f>
        <v>5.8859506308631349E-2</v>
      </c>
      <c r="P62" s="23">
        <f>P59+O62</f>
        <v>8.3649338687052772</v>
      </c>
    </row>
    <row r="63" spans="1:16" ht="14.25" customHeight="1" x14ac:dyDescent="0.35">
      <c r="A63" s="20"/>
      <c r="B63" s="92"/>
      <c r="C63" s="101"/>
      <c r="D63" s="92" t="s">
        <v>66</v>
      </c>
      <c r="E63" s="43">
        <v>20</v>
      </c>
      <c r="F63" s="43">
        <v>18</v>
      </c>
      <c r="G63" s="43">
        <v>14</v>
      </c>
      <c r="H63" s="43">
        <v>16</v>
      </c>
      <c r="I63" s="43">
        <f t="shared" si="0"/>
        <v>17</v>
      </c>
      <c r="J63" s="20"/>
      <c r="K63" s="20"/>
      <c r="L63" s="20"/>
      <c r="M63" s="20"/>
      <c r="N63" s="20"/>
      <c r="O63" s="20"/>
      <c r="P63" s="20"/>
    </row>
    <row r="64" spans="1:16" ht="14.25" customHeight="1" x14ac:dyDescent="0.35">
      <c r="A64" s="20"/>
      <c r="B64" s="92"/>
      <c r="C64" s="101"/>
      <c r="D64" s="92" t="s">
        <v>67</v>
      </c>
      <c r="E64" s="43">
        <v>5</v>
      </c>
      <c r="F64" s="43">
        <v>5</v>
      </c>
      <c r="G64" s="43">
        <v>3</v>
      </c>
      <c r="H64" s="43">
        <v>5</v>
      </c>
      <c r="I64" s="43">
        <f t="shared" si="0"/>
        <v>4.5</v>
      </c>
      <c r="J64" s="20"/>
      <c r="K64" s="20"/>
      <c r="L64" s="20"/>
      <c r="M64" s="20"/>
      <c r="N64" s="20"/>
      <c r="O64" s="20"/>
      <c r="P64" s="20"/>
    </row>
    <row r="65" spans="1:16" ht="14.25" customHeight="1" x14ac:dyDescent="0.35">
      <c r="A65" s="19" t="s">
        <v>24</v>
      </c>
      <c r="B65" s="92">
        <v>140</v>
      </c>
      <c r="C65" s="101" t="s">
        <v>4</v>
      </c>
      <c r="D65" s="91" t="s">
        <v>65</v>
      </c>
      <c r="E65" s="43">
        <v>31</v>
      </c>
      <c r="F65" s="43">
        <v>37</v>
      </c>
      <c r="G65" s="43">
        <v>31</v>
      </c>
      <c r="H65" s="43">
        <v>28</v>
      </c>
      <c r="I65" s="43">
        <f t="shared" si="0"/>
        <v>31.75</v>
      </c>
      <c r="J65" s="20">
        <f>I65*2*10000</f>
        <v>635000</v>
      </c>
      <c r="K65" s="20">
        <v>3000000</v>
      </c>
      <c r="L65" s="20">
        <f>J65*5</f>
        <v>3175000</v>
      </c>
      <c r="M65" s="22">
        <f>I65/(I65+I66)*100</f>
        <v>65.128205128205124</v>
      </c>
      <c r="N65" s="22">
        <f>I67/I65*100</f>
        <v>22.834645669291341</v>
      </c>
      <c r="O65" s="23">
        <f>3.32*(LOG(L65)-LOG(K65))</f>
        <v>8.1746616695662688E-2</v>
      </c>
      <c r="P65" s="23">
        <f>P62+O65</f>
        <v>8.4466804854009396</v>
      </c>
    </row>
    <row r="66" spans="1:16" ht="14.25" customHeight="1" x14ac:dyDescent="0.35">
      <c r="A66" s="20"/>
      <c r="B66" s="92"/>
      <c r="C66" s="101"/>
      <c r="D66" s="92" t="s">
        <v>66</v>
      </c>
      <c r="E66" s="43">
        <v>18</v>
      </c>
      <c r="F66" s="43">
        <v>16</v>
      </c>
      <c r="G66" s="43">
        <v>13</v>
      </c>
      <c r="H66" s="43">
        <v>21</v>
      </c>
      <c r="I66" s="43">
        <f t="shared" si="0"/>
        <v>17</v>
      </c>
      <c r="J66" s="20"/>
      <c r="K66" s="20"/>
      <c r="L66" s="20"/>
      <c r="M66" s="20"/>
      <c r="N66" s="20"/>
      <c r="O66" s="20"/>
      <c r="P66" s="20"/>
    </row>
    <row r="67" spans="1:16" ht="14.25" customHeight="1" x14ac:dyDescent="0.35">
      <c r="A67" s="20"/>
      <c r="B67" s="92"/>
      <c r="C67" s="101"/>
      <c r="D67" s="92" t="s">
        <v>67</v>
      </c>
      <c r="E67" s="43">
        <v>8</v>
      </c>
      <c r="F67" s="43">
        <v>8</v>
      </c>
      <c r="G67" s="43">
        <v>6</v>
      </c>
      <c r="H67" s="43">
        <v>7</v>
      </c>
      <c r="I67" s="43">
        <f t="shared" si="0"/>
        <v>7.25</v>
      </c>
      <c r="J67" s="20"/>
      <c r="K67" s="20"/>
      <c r="L67" s="20"/>
      <c r="M67" s="20"/>
      <c r="N67" s="20"/>
      <c r="O67" s="20"/>
      <c r="P67" s="20"/>
    </row>
    <row r="68" spans="1:16" ht="14.25" customHeight="1" x14ac:dyDescent="0.35">
      <c r="A68" s="19" t="s">
        <v>25</v>
      </c>
      <c r="B68" s="92">
        <v>147</v>
      </c>
      <c r="C68" s="101" t="s">
        <v>4</v>
      </c>
      <c r="D68" s="91" t="s">
        <v>65</v>
      </c>
      <c r="E68" s="43">
        <v>23</v>
      </c>
      <c r="F68" s="43">
        <v>27</v>
      </c>
      <c r="G68" s="43">
        <v>23</v>
      </c>
      <c r="H68" s="43">
        <v>18</v>
      </c>
      <c r="I68" s="43">
        <f t="shared" si="0"/>
        <v>22.75</v>
      </c>
      <c r="J68" s="20">
        <f>I68*2*10000</f>
        <v>455000</v>
      </c>
      <c r="K68" s="20">
        <v>3000000</v>
      </c>
      <c r="L68" s="20">
        <f>J68*5</f>
        <v>2275000</v>
      </c>
      <c r="M68" s="22">
        <f>I68/(I68+I69)*100</f>
        <v>58.333333333333336</v>
      </c>
      <c r="N68" s="22">
        <f>I70/I68*100</f>
        <v>18.681318681318682</v>
      </c>
      <c r="O68" s="23">
        <f>3.32*(LOG(L68)-LOG(K68))</f>
        <v>-0.39886431437208369</v>
      </c>
      <c r="P68" s="23">
        <f>P65</f>
        <v>8.4466804854009396</v>
      </c>
    </row>
    <row r="69" spans="1:16" ht="14.25" customHeight="1" x14ac:dyDescent="0.35">
      <c r="A69" s="20"/>
      <c r="B69" s="92"/>
      <c r="C69" s="101"/>
      <c r="D69" s="92" t="s">
        <v>66</v>
      </c>
      <c r="E69" s="43">
        <v>17</v>
      </c>
      <c r="F69" s="43">
        <v>16</v>
      </c>
      <c r="G69" s="43">
        <v>14</v>
      </c>
      <c r="H69" s="43">
        <v>18</v>
      </c>
      <c r="I69" s="43">
        <f t="shared" si="0"/>
        <v>16.25</v>
      </c>
      <c r="J69" s="20"/>
      <c r="K69" s="20"/>
      <c r="L69" s="20"/>
      <c r="M69" s="20"/>
      <c r="N69" s="20"/>
      <c r="O69" s="20"/>
      <c r="P69" s="20"/>
    </row>
    <row r="70" spans="1:16" ht="14.25" customHeight="1" x14ac:dyDescent="0.35">
      <c r="A70" s="20"/>
      <c r="B70" s="92"/>
      <c r="C70" s="101"/>
      <c r="D70" s="92" t="s">
        <v>67</v>
      </c>
      <c r="E70" s="43">
        <v>6</v>
      </c>
      <c r="F70" s="43">
        <v>5</v>
      </c>
      <c r="G70" s="43">
        <v>3</v>
      </c>
      <c r="H70" s="43">
        <v>3</v>
      </c>
      <c r="I70" s="43">
        <f t="shared" si="0"/>
        <v>4.25</v>
      </c>
      <c r="J70" s="20"/>
      <c r="K70" s="20"/>
      <c r="L70" s="20"/>
      <c r="M70" s="20"/>
      <c r="N70" s="20"/>
      <c r="O70" s="20"/>
      <c r="P70" s="20"/>
    </row>
    <row r="71" spans="1:16" ht="14.25" customHeight="1" x14ac:dyDescent="0.35">
      <c r="A71" s="19" t="s">
        <v>26</v>
      </c>
      <c r="B71" s="92">
        <v>154</v>
      </c>
      <c r="C71" s="101" t="s">
        <v>4</v>
      </c>
      <c r="D71" s="91" t="s">
        <v>65</v>
      </c>
      <c r="E71" s="43">
        <v>27</v>
      </c>
      <c r="F71" s="43">
        <v>24</v>
      </c>
      <c r="G71" s="43">
        <v>22</v>
      </c>
      <c r="H71" s="43">
        <v>33</v>
      </c>
      <c r="I71" s="43">
        <f t="shared" si="0"/>
        <v>26.5</v>
      </c>
      <c r="J71" s="20">
        <f>I71*2*10000</f>
        <v>530000</v>
      </c>
      <c r="K71" s="20">
        <v>2275000</v>
      </c>
      <c r="L71" s="20">
        <f>J71*5</f>
        <v>2650000</v>
      </c>
      <c r="M71" s="22">
        <f>I71/(I71+I72)*100</f>
        <v>69.73684210526315</v>
      </c>
      <c r="N71" s="22">
        <f>I73/I71*100</f>
        <v>13.20754716981132</v>
      </c>
      <c r="O71" s="23">
        <f>3.32*(LOG(L71)-LOG(K71))</f>
        <v>0.21999805017300611</v>
      </c>
      <c r="P71" s="23">
        <f>P68+O71</f>
        <v>8.6666785355739453</v>
      </c>
    </row>
    <row r="72" spans="1:16" ht="14.25" customHeight="1" x14ac:dyDescent="0.35">
      <c r="A72" s="20"/>
      <c r="B72" s="92"/>
      <c r="C72" s="101"/>
      <c r="D72" s="92" t="s">
        <v>66</v>
      </c>
      <c r="E72" s="43">
        <v>9</v>
      </c>
      <c r="F72" s="43">
        <v>10</v>
      </c>
      <c r="G72" s="43">
        <v>16</v>
      </c>
      <c r="H72" s="43">
        <v>11</v>
      </c>
      <c r="I72" s="43">
        <f t="shared" si="0"/>
        <v>11.5</v>
      </c>
      <c r="J72" s="20"/>
      <c r="K72" s="20"/>
      <c r="L72" s="20"/>
      <c r="M72" s="20"/>
      <c r="N72" s="20"/>
      <c r="O72" s="20"/>
      <c r="P72" s="20"/>
    </row>
    <row r="73" spans="1:16" ht="14.25" customHeight="1" x14ac:dyDescent="0.35">
      <c r="A73" s="20"/>
      <c r="B73" s="92"/>
      <c r="C73" s="101"/>
      <c r="D73" s="92" t="s">
        <v>67</v>
      </c>
      <c r="E73" s="43">
        <v>1</v>
      </c>
      <c r="F73" s="43">
        <v>3</v>
      </c>
      <c r="G73" s="43">
        <v>1</v>
      </c>
      <c r="H73" s="43">
        <v>9</v>
      </c>
      <c r="I73" s="43">
        <f t="shared" si="0"/>
        <v>3.5</v>
      </c>
      <c r="J73" s="20"/>
      <c r="K73" s="20"/>
      <c r="L73" s="20"/>
      <c r="M73" s="20"/>
      <c r="N73" s="20"/>
      <c r="O73" s="20"/>
      <c r="P73" s="20"/>
    </row>
    <row r="74" spans="1:16" ht="14.25" customHeight="1" x14ac:dyDescent="0.35">
      <c r="A74" s="19" t="s">
        <v>27</v>
      </c>
      <c r="B74" s="92">
        <v>161</v>
      </c>
      <c r="C74" s="101" t="s">
        <v>4</v>
      </c>
      <c r="D74" s="91" t="s">
        <v>65</v>
      </c>
      <c r="E74" s="43">
        <v>27</v>
      </c>
      <c r="F74" s="43">
        <v>24</v>
      </c>
      <c r="G74" s="43">
        <v>25</v>
      </c>
      <c r="H74" s="43">
        <v>24</v>
      </c>
      <c r="I74" s="43">
        <f t="shared" si="0"/>
        <v>25</v>
      </c>
      <c r="J74" s="20">
        <f>I74*2*10000</f>
        <v>500000</v>
      </c>
      <c r="K74" s="20">
        <v>2650000</v>
      </c>
      <c r="L74" s="20">
        <f>J74*5</f>
        <v>2500000</v>
      </c>
      <c r="M74" s="22">
        <f>I74/(I74+I75)*100</f>
        <v>66.666666666666657</v>
      </c>
      <c r="N74" s="22">
        <f>I76/I74*100</f>
        <v>27</v>
      </c>
      <c r="O74" s="23">
        <f>3.32*(LOG(L74)-LOG(K74))</f>
        <v>-8.4015472679037764E-2</v>
      </c>
      <c r="P74" s="23">
        <f>P71</f>
        <v>8.6666785355739453</v>
      </c>
    </row>
    <row r="75" spans="1:16" ht="14.25" customHeight="1" x14ac:dyDescent="0.35">
      <c r="A75" s="20"/>
      <c r="B75" s="92"/>
      <c r="C75" s="101"/>
      <c r="D75" s="92" t="s">
        <v>66</v>
      </c>
      <c r="E75" s="43">
        <v>14</v>
      </c>
      <c r="F75" s="43">
        <v>15</v>
      </c>
      <c r="G75" s="43">
        <v>12</v>
      </c>
      <c r="H75" s="43">
        <v>9</v>
      </c>
      <c r="I75" s="43">
        <f t="shared" si="0"/>
        <v>12.5</v>
      </c>
      <c r="J75" s="20"/>
      <c r="K75" s="20"/>
      <c r="L75" s="20"/>
      <c r="M75" s="20"/>
      <c r="N75" s="20"/>
      <c r="O75" s="20"/>
      <c r="P75" s="20"/>
    </row>
    <row r="76" spans="1:16" ht="14.25" customHeight="1" x14ac:dyDescent="0.35">
      <c r="A76" s="20"/>
      <c r="B76" s="92"/>
      <c r="C76" s="101"/>
      <c r="D76" s="92" t="s">
        <v>67</v>
      </c>
      <c r="E76" s="43">
        <v>7</v>
      </c>
      <c r="F76" s="43">
        <v>5</v>
      </c>
      <c r="G76" s="43">
        <v>7</v>
      </c>
      <c r="H76" s="43">
        <v>8</v>
      </c>
      <c r="I76" s="43">
        <f t="shared" si="0"/>
        <v>6.75</v>
      </c>
      <c r="J76" s="20"/>
      <c r="K76" s="20"/>
      <c r="L76" s="20"/>
      <c r="M76" s="20"/>
      <c r="N76" s="20"/>
      <c r="O76" s="20"/>
      <c r="P76" s="20"/>
    </row>
    <row r="77" spans="1:16" ht="14.25" customHeight="1" x14ac:dyDescent="0.35">
      <c r="A77" s="19" t="s">
        <v>28</v>
      </c>
      <c r="B77" s="92">
        <v>169</v>
      </c>
      <c r="C77" s="101" t="s">
        <v>4</v>
      </c>
      <c r="D77" s="91" t="s">
        <v>65</v>
      </c>
      <c r="E77" s="43">
        <v>34</v>
      </c>
      <c r="F77" s="43">
        <v>31</v>
      </c>
      <c r="G77" s="43">
        <v>31</v>
      </c>
      <c r="H77" s="43">
        <v>36</v>
      </c>
      <c r="I77" s="43">
        <f t="shared" si="0"/>
        <v>33</v>
      </c>
      <c r="J77" s="20">
        <f>I77*2*10000</f>
        <v>660000</v>
      </c>
      <c r="K77" s="20">
        <v>2500000</v>
      </c>
      <c r="L77" s="20">
        <f>J77*5</f>
        <v>3300000</v>
      </c>
      <c r="M77" s="22">
        <f>I77/(I77+I78)*100</f>
        <v>74.157303370786522</v>
      </c>
      <c r="N77" s="22">
        <f>I79/I77*100</f>
        <v>20.454545454545457</v>
      </c>
      <c r="O77" s="23">
        <f>3.32*(LOG(L77)-LOG(K77))</f>
        <v>0.40030545160342057</v>
      </c>
      <c r="P77" s="23">
        <f>P74+O77</f>
        <v>9.0669839871773661</v>
      </c>
    </row>
    <row r="78" spans="1:16" ht="14.25" customHeight="1" x14ac:dyDescent="0.35">
      <c r="A78" s="20"/>
      <c r="B78" s="92"/>
      <c r="C78" s="101"/>
      <c r="D78" s="92" t="s">
        <v>66</v>
      </c>
      <c r="E78" s="43">
        <v>8</v>
      </c>
      <c r="F78" s="43">
        <v>15</v>
      </c>
      <c r="G78" s="43">
        <v>13</v>
      </c>
      <c r="H78" s="43">
        <v>10</v>
      </c>
      <c r="I78" s="43">
        <f t="shared" si="0"/>
        <v>11.5</v>
      </c>
      <c r="J78" s="20"/>
      <c r="K78" s="20"/>
      <c r="L78" s="20"/>
      <c r="M78" s="20"/>
      <c r="N78" s="20"/>
      <c r="O78" s="20"/>
      <c r="P78" s="20"/>
    </row>
    <row r="79" spans="1:16" ht="14.25" customHeight="1" x14ac:dyDescent="0.35">
      <c r="A79" s="20"/>
      <c r="B79" s="92"/>
      <c r="C79" s="101"/>
      <c r="D79" s="92" t="s">
        <v>67</v>
      </c>
      <c r="E79" s="43">
        <v>5</v>
      </c>
      <c r="F79" s="43">
        <v>9</v>
      </c>
      <c r="G79" s="43">
        <v>7</v>
      </c>
      <c r="H79" s="43">
        <v>6</v>
      </c>
      <c r="I79" s="43">
        <f t="shared" si="0"/>
        <v>6.75</v>
      </c>
      <c r="J79" s="20"/>
      <c r="K79" s="20"/>
      <c r="L79" s="20"/>
      <c r="M79" s="20"/>
      <c r="N79" s="20"/>
      <c r="O79" s="20"/>
      <c r="P79" s="20"/>
    </row>
    <row r="80" spans="1:16" ht="14.25" customHeight="1" x14ac:dyDescent="0.35">
      <c r="A80" s="19" t="s">
        <v>29</v>
      </c>
      <c r="B80" s="92">
        <v>175</v>
      </c>
      <c r="C80" s="101" t="s">
        <v>4</v>
      </c>
      <c r="D80" s="91" t="s">
        <v>65</v>
      </c>
      <c r="E80" s="43">
        <v>21</v>
      </c>
      <c r="F80" s="43">
        <v>33</v>
      </c>
      <c r="G80" s="43">
        <v>30</v>
      </c>
      <c r="H80" s="43">
        <v>28</v>
      </c>
      <c r="I80" s="43">
        <f t="shared" si="0"/>
        <v>28</v>
      </c>
      <c r="J80" s="20">
        <f>I80*2*10000</f>
        <v>560000</v>
      </c>
      <c r="K80" s="20">
        <v>3000000</v>
      </c>
      <c r="L80" s="20">
        <f>J80*5</f>
        <v>2800000</v>
      </c>
      <c r="M80" s="22">
        <f>I80/(I80+I81)*100</f>
        <v>68.711656441717793</v>
      </c>
      <c r="N80" s="22">
        <f>I82/I80*100</f>
        <v>19.642857142857142</v>
      </c>
      <c r="O80" s="23">
        <f>3.32*(LOG(L80)-LOG(K80))</f>
        <v>-9.9477901613111319E-2</v>
      </c>
      <c r="P80" s="23">
        <f>P77</f>
        <v>9.0669839871773661</v>
      </c>
    </row>
    <row r="81" spans="1:16" ht="14.25" customHeight="1" x14ac:dyDescent="0.35">
      <c r="A81" s="20"/>
      <c r="B81" s="92"/>
      <c r="C81" s="101"/>
      <c r="D81" s="92" t="s">
        <v>66</v>
      </c>
      <c r="E81" s="43">
        <v>15</v>
      </c>
      <c r="F81" s="43">
        <v>15</v>
      </c>
      <c r="G81" s="43">
        <v>7</v>
      </c>
      <c r="H81" s="43">
        <v>14</v>
      </c>
      <c r="I81" s="43">
        <f t="shared" si="0"/>
        <v>12.75</v>
      </c>
      <c r="J81" s="20"/>
      <c r="K81" s="20"/>
      <c r="L81" s="20"/>
      <c r="M81" s="20"/>
      <c r="N81" s="20"/>
      <c r="O81" s="20"/>
      <c r="P81" s="20"/>
    </row>
    <row r="82" spans="1:16" ht="14.25" customHeight="1" x14ac:dyDescent="0.35">
      <c r="A82" s="20"/>
      <c r="B82" s="92"/>
      <c r="C82" s="101"/>
      <c r="D82" s="92" t="s">
        <v>67</v>
      </c>
      <c r="E82" s="43">
        <v>5</v>
      </c>
      <c r="F82" s="43">
        <v>6</v>
      </c>
      <c r="G82" s="43">
        <v>8</v>
      </c>
      <c r="H82" s="43">
        <v>3</v>
      </c>
      <c r="I82" s="43">
        <f t="shared" si="0"/>
        <v>5.5</v>
      </c>
      <c r="J82" s="20"/>
      <c r="K82" s="20"/>
      <c r="L82" s="20"/>
      <c r="M82" s="20"/>
      <c r="N82" s="20"/>
      <c r="O82" s="20"/>
      <c r="P82" s="20"/>
    </row>
    <row r="83" spans="1:16" ht="14.25" customHeight="1" x14ac:dyDescent="0.35">
      <c r="A83" s="19" t="s">
        <v>30</v>
      </c>
      <c r="B83" s="92">
        <v>182</v>
      </c>
      <c r="C83" s="101" t="s">
        <v>4</v>
      </c>
      <c r="D83" s="91" t="s">
        <v>65</v>
      </c>
      <c r="E83" s="43">
        <v>46</v>
      </c>
      <c r="F83" s="43">
        <v>40</v>
      </c>
      <c r="G83" s="43">
        <v>41</v>
      </c>
      <c r="H83" s="43">
        <v>28</v>
      </c>
      <c r="I83" s="43">
        <f t="shared" si="0"/>
        <v>38.75</v>
      </c>
      <c r="J83" s="20">
        <f>I83*2*10000</f>
        <v>775000</v>
      </c>
      <c r="K83" s="20">
        <v>2800000</v>
      </c>
      <c r="L83" s="20">
        <f>J83*5</f>
        <v>3875000</v>
      </c>
      <c r="M83" s="22">
        <f>I83/(I83+I84)*100</f>
        <v>84.699453551912569</v>
      </c>
      <c r="N83" s="22">
        <f>I85/I83*100</f>
        <v>21.29032258064516</v>
      </c>
      <c r="O83" s="23">
        <f>3.32*(LOG(L83)-LOG(K83))</f>
        <v>0.46849740266036483</v>
      </c>
      <c r="P83" s="23">
        <f>P80+O83</f>
        <v>9.5354813898377309</v>
      </c>
    </row>
    <row r="84" spans="1:16" ht="14.25" customHeight="1" x14ac:dyDescent="0.35">
      <c r="A84" s="20"/>
      <c r="B84" s="92"/>
      <c r="C84" s="101"/>
      <c r="D84" s="92" t="s">
        <v>66</v>
      </c>
      <c r="E84" s="43">
        <v>6</v>
      </c>
      <c r="F84" s="43">
        <v>7</v>
      </c>
      <c r="G84" s="43">
        <v>6</v>
      </c>
      <c r="H84" s="43">
        <v>9</v>
      </c>
      <c r="I84" s="43">
        <f t="shared" si="0"/>
        <v>7</v>
      </c>
      <c r="J84" s="20"/>
      <c r="K84" s="20"/>
      <c r="L84" s="20"/>
      <c r="M84" s="20"/>
      <c r="N84" s="20"/>
      <c r="O84" s="20"/>
      <c r="P84" s="20"/>
    </row>
    <row r="85" spans="1:16" ht="14.25" customHeight="1" x14ac:dyDescent="0.35">
      <c r="A85" s="20"/>
      <c r="B85" s="92"/>
      <c r="C85" s="101"/>
      <c r="D85" s="92" t="s">
        <v>67</v>
      </c>
      <c r="E85" s="43">
        <v>11</v>
      </c>
      <c r="F85" s="43">
        <v>9</v>
      </c>
      <c r="G85" s="43">
        <v>9</v>
      </c>
      <c r="H85" s="43">
        <v>4</v>
      </c>
      <c r="I85" s="43">
        <f t="shared" si="0"/>
        <v>8.25</v>
      </c>
      <c r="J85" s="20"/>
      <c r="K85" s="20"/>
      <c r="L85" s="20"/>
      <c r="M85" s="20"/>
      <c r="N85" s="20"/>
      <c r="O85" s="20"/>
      <c r="P85" s="20"/>
    </row>
    <row r="86" spans="1:16" ht="14.25" customHeight="1" x14ac:dyDescent="0.35">
      <c r="A86" s="19" t="s">
        <v>31</v>
      </c>
      <c r="B86" s="92">
        <v>189</v>
      </c>
      <c r="C86" s="101" t="s">
        <v>4</v>
      </c>
      <c r="D86" s="91" t="s">
        <v>65</v>
      </c>
      <c r="E86" s="43">
        <v>45</v>
      </c>
      <c r="F86" s="43">
        <v>38</v>
      </c>
      <c r="G86" s="43">
        <v>44</v>
      </c>
      <c r="H86" s="43">
        <v>48</v>
      </c>
      <c r="I86" s="43">
        <f t="shared" si="0"/>
        <v>43.75</v>
      </c>
      <c r="J86" s="20">
        <f>I86*2*10000</f>
        <v>875000</v>
      </c>
      <c r="K86" s="20">
        <v>3000000</v>
      </c>
      <c r="L86" s="20">
        <f>J86*5</f>
        <v>4375000</v>
      </c>
      <c r="M86" s="22">
        <f>I86/(I86+I87)*100</f>
        <v>90.673575129533674</v>
      </c>
      <c r="N86" s="22">
        <f>I88/I86*100</f>
        <v>17.714285714285712</v>
      </c>
      <c r="O86" s="23">
        <f>3.32*(LOG(L86)-LOG(K86))</f>
        <v>0.54400458476038205</v>
      </c>
      <c r="P86" s="23">
        <f>P83+O86</f>
        <v>10.079485974598112</v>
      </c>
    </row>
    <row r="87" spans="1:16" ht="14.25" customHeight="1" x14ac:dyDescent="0.35">
      <c r="A87" s="20"/>
      <c r="B87" s="92"/>
      <c r="C87" s="101"/>
      <c r="D87" s="92" t="s">
        <v>66</v>
      </c>
      <c r="E87" s="43">
        <v>3</v>
      </c>
      <c r="F87" s="43">
        <v>4</v>
      </c>
      <c r="G87" s="43">
        <v>6</v>
      </c>
      <c r="H87" s="43">
        <v>5</v>
      </c>
      <c r="I87" s="43">
        <f t="shared" si="0"/>
        <v>4.5</v>
      </c>
      <c r="J87" s="20"/>
      <c r="K87" s="20"/>
      <c r="L87" s="20"/>
      <c r="M87" s="20"/>
      <c r="N87" s="20"/>
      <c r="O87" s="20"/>
      <c r="P87" s="20"/>
    </row>
    <row r="88" spans="1:16" ht="14.25" customHeight="1" x14ac:dyDescent="0.35">
      <c r="A88" s="20"/>
      <c r="B88" s="92"/>
      <c r="C88" s="101"/>
      <c r="D88" s="92" t="s">
        <v>67</v>
      </c>
      <c r="E88" s="43">
        <v>13</v>
      </c>
      <c r="F88" s="43">
        <v>7</v>
      </c>
      <c r="G88" s="43">
        <v>5</v>
      </c>
      <c r="H88" s="43">
        <v>6</v>
      </c>
      <c r="I88" s="43">
        <f t="shared" si="0"/>
        <v>7.75</v>
      </c>
      <c r="J88" s="20"/>
      <c r="K88" s="20"/>
      <c r="L88" s="20"/>
      <c r="M88" s="20"/>
      <c r="N88" s="20"/>
      <c r="O88" s="20"/>
      <c r="P88" s="20"/>
    </row>
    <row r="89" spans="1:16" ht="14.25" customHeight="1" x14ac:dyDescent="0.35">
      <c r="A89" s="19" t="s">
        <v>32</v>
      </c>
      <c r="B89" s="92">
        <v>196</v>
      </c>
      <c r="C89" s="101" t="s">
        <v>4</v>
      </c>
      <c r="D89" s="91" t="s">
        <v>65</v>
      </c>
      <c r="E89" s="43">
        <v>41</v>
      </c>
      <c r="F89" s="43">
        <v>32</v>
      </c>
      <c r="G89" s="43">
        <v>35</v>
      </c>
      <c r="H89" s="43">
        <v>30</v>
      </c>
      <c r="I89" s="43">
        <f t="shared" si="0"/>
        <v>34.5</v>
      </c>
      <c r="J89" s="20">
        <f>I89*2*10000</f>
        <v>690000</v>
      </c>
      <c r="K89" s="20">
        <v>3000000</v>
      </c>
      <c r="L89" s="20">
        <f>J89*5</f>
        <v>3450000</v>
      </c>
      <c r="M89" s="22">
        <f>I89/(I89+I90)*100</f>
        <v>92.617449664429529</v>
      </c>
      <c r="N89" s="22">
        <f>I91/I89*100</f>
        <v>14.492753623188406</v>
      </c>
      <c r="O89" s="23">
        <f>3.32*(LOG(L89)-LOG(K89))</f>
        <v>0.2015168299739912</v>
      </c>
      <c r="P89" s="23">
        <f>P86+O89</f>
        <v>10.281002804572104</v>
      </c>
    </row>
    <row r="90" spans="1:16" ht="14.25" customHeight="1" x14ac:dyDescent="0.35">
      <c r="A90" s="20"/>
      <c r="B90" s="92"/>
      <c r="C90" s="101"/>
      <c r="D90" s="92" t="s">
        <v>66</v>
      </c>
      <c r="E90" s="43">
        <v>2</v>
      </c>
      <c r="F90" s="43">
        <v>3</v>
      </c>
      <c r="G90" s="43">
        <v>2</v>
      </c>
      <c r="H90" s="43">
        <v>4</v>
      </c>
      <c r="I90" s="43">
        <f t="shared" si="0"/>
        <v>2.75</v>
      </c>
      <c r="J90" s="20"/>
      <c r="K90" s="20"/>
      <c r="L90" s="20"/>
      <c r="M90" s="20"/>
      <c r="N90" s="20"/>
      <c r="O90" s="20"/>
      <c r="P90" s="20"/>
    </row>
    <row r="91" spans="1:16" ht="14.25" customHeight="1" x14ac:dyDescent="0.35">
      <c r="A91" s="20"/>
      <c r="B91" s="92"/>
      <c r="C91" s="101"/>
      <c r="D91" s="92" t="s">
        <v>67</v>
      </c>
      <c r="E91" s="43">
        <v>9</v>
      </c>
      <c r="F91" s="43">
        <v>6</v>
      </c>
      <c r="G91" s="43">
        <v>1</v>
      </c>
      <c r="H91" s="43">
        <v>4</v>
      </c>
      <c r="I91" s="43">
        <f t="shared" si="0"/>
        <v>5</v>
      </c>
      <c r="J91" s="20"/>
      <c r="K91" s="20"/>
      <c r="L91" s="20"/>
      <c r="M91" s="20"/>
      <c r="N91" s="20"/>
      <c r="O91" s="20"/>
      <c r="P91" s="20"/>
    </row>
    <row r="92" spans="1:16" ht="14.25" customHeight="1" x14ac:dyDescent="0.35">
      <c r="A92" s="19" t="s">
        <v>33</v>
      </c>
      <c r="B92" s="92">
        <v>203</v>
      </c>
      <c r="C92" s="101" t="s">
        <v>4</v>
      </c>
      <c r="D92" s="91" t="s">
        <v>65</v>
      </c>
      <c r="E92" s="43">
        <v>29</v>
      </c>
      <c r="F92" s="43">
        <v>23</v>
      </c>
      <c r="G92" s="43">
        <v>21</v>
      </c>
      <c r="H92" s="43">
        <v>23</v>
      </c>
      <c r="I92" s="43">
        <f t="shared" si="0"/>
        <v>24</v>
      </c>
      <c r="J92" s="20">
        <f>I92*2*10000</f>
        <v>480000</v>
      </c>
      <c r="K92" s="20">
        <v>3000000</v>
      </c>
      <c r="L92" s="20">
        <f>J92*5</f>
        <v>2400000</v>
      </c>
      <c r="M92" s="22">
        <f>I92/(I92+I93)*100</f>
        <v>92.307692307692307</v>
      </c>
      <c r="N92" s="22">
        <f>I94/I92*100</f>
        <v>6.25</v>
      </c>
      <c r="O92" s="23">
        <f>3.32*(LOG(L92)-LOG(K92))</f>
        <v>-0.32174124318674668</v>
      </c>
      <c r="P92" s="23">
        <f>P89</f>
        <v>10.281002804572104</v>
      </c>
    </row>
    <row r="93" spans="1:16" ht="14.25" customHeight="1" x14ac:dyDescent="0.35">
      <c r="A93" s="20"/>
      <c r="B93" s="92"/>
      <c r="C93" s="101"/>
      <c r="D93" s="92" t="s">
        <v>66</v>
      </c>
      <c r="E93" s="43">
        <v>1</v>
      </c>
      <c r="F93" s="43">
        <v>1</v>
      </c>
      <c r="G93" s="43">
        <v>2</v>
      </c>
      <c r="H93" s="43">
        <v>4</v>
      </c>
      <c r="I93" s="43">
        <f t="shared" si="0"/>
        <v>2</v>
      </c>
      <c r="J93" s="20"/>
      <c r="K93" s="20"/>
      <c r="L93" s="20"/>
      <c r="M93" s="20"/>
      <c r="N93" s="20"/>
      <c r="O93" s="20"/>
      <c r="P93" s="20"/>
    </row>
    <row r="94" spans="1:16" ht="14.25" customHeight="1" x14ac:dyDescent="0.35">
      <c r="A94" s="20"/>
      <c r="B94" s="92"/>
      <c r="C94" s="101"/>
      <c r="D94" s="92" t="s">
        <v>67</v>
      </c>
      <c r="E94" s="43">
        <v>1</v>
      </c>
      <c r="F94" s="43">
        <v>2</v>
      </c>
      <c r="G94" s="43">
        <v>1</v>
      </c>
      <c r="H94" s="43">
        <v>2</v>
      </c>
      <c r="I94" s="43">
        <f t="shared" si="0"/>
        <v>1.5</v>
      </c>
      <c r="J94" s="20"/>
      <c r="K94" s="20"/>
      <c r="L94" s="20"/>
      <c r="M94" s="20"/>
      <c r="N94" s="20"/>
      <c r="O94" s="20"/>
      <c r="P94" s="20"/>
    </row>
    <row r="95" spans="1:16" ht="14.25" customHeight="1" x14ac:dyDescent="0.35">
      <c r="A95" s="19" t="s">
        <v>34</v>
      </c>
      <c r="B95" s="92">
        <v>210</v>
      </c>
      <c r="C95" s="101" t="s">
        <v>4</v>
      </c>
      <c r="D95" s="91" t="s">
        <v>65</v>
      </c>
      <c r="E95" s="43">
        <v>31</v>
      </c>
      <c r="F95" s="43">
        <v>34</v>
      </c>
      <c r="G95" s="43">
        <v>34</v>
      </c>
      <c r="H95" s="43">
        <v>27</v>
      </c>
      <c r="I95" s="43">
        <f t="shared" si="0"/>
        <v>31.5</v>
      </c>
      <c r="J95" s="20">
        <f>I95*2*10000</f>
        <v>630000</v>
      </c>
      <c r="K95" s="20">
        <v>2400000</v>
      </c>
      <c r="L95" s="20">
        <f>J95*5</f>
        <v>3150000</v>
      </c>
      <c r="M95" s="22">
        <f>I95/(I95+I96)*100</f>
        <v>91.970802919708035</v>
      </c>
      <c r="N95" s="22">
        <f>I97/I95*100</f>
        <v>11.904761904761903</v>
      </c>
      <c r="O95" s="23">
        <f>3.32*(LOG(L95)-LOG(K95))</f>
        <v>0.39208971609894178</v>
      </c>
      <c r="P95" s="23">
        <f>P92+O95</f>
        <v>10.673092520671046</v>
      </c>
    </row>
    <row r="96" spans="1:16" ht="14.25" customHeight="1" x14ac:dyDescent="0.35">
      <c r="A96" s="20"/>
      <c r="B96" s="92"/>
      <c r="C96" s="101"/>
      <c r="D96" s="92" t="s">
        <v>66</v>
      </c>
      <c r="E96" s="43">
        <v>2</v>
      </c>
      <c r="F96" s="43">
        <v>3</v>
      </c>
      <c r="G96" s="43">
        <v>4</v>
      </c>
      <c r="H96" s="43">
        <v>2</v>
      </c>
      <c r="I96" s="43">
        <f t="shared" si="0"/>
        <v>2.75</v>
      </c>
      <c r="J96" s="20"/>
      <c r="K96" s="20"/>
      <c r="L96" s="20"/>
      <c r="M96" s="20"/>
      <c r="N96" s="20"/>
      <c r="O96" s="20"/>
      <c r="P96" s="20"/>
    </row>
    <row r="97" spans="1:16" ht="14.25" customHeight="1" x14ac:dyDescent="0.35">
      <c r="A97" s="20"/>
      <c r="B97" s="92"/>
      <c r="C97" s="101"/>
      <c r="D97" s="92" t="s">
        <v>67</v>
      </c>
      <c r="E97" s="43">
        <v>7</v>
      </c>
      <c r="F97" s="43">
        <v>3</v>
      </c>
      <c r="G97" s="43">
        <v>4</v>
      </c>
      <c r="H97" s="43">
        <v>1</v>
      </c>
      <c r="I97" s="43">
        <f t="shared" si="0"/>
        <v>3.75</v>
      </c>
      <c r="J97" s="20"/>
      <c r="K97" s="20"/>
      <c r="L97" s="20"/>
      <c r="M97" s="20"/>
      <c r="N97" s="20"/>
      <c r="O97" s="20"/>
      <c r="P97" s="20"/>
    </row>
    <row r="98" spans="1:16" ht="14.25" customHeight="1" x14ac:dyDescent="0.35">
      <c r="A98" s="19" t="s">
        <v>35</v>
      </c>
      <c r="B98" s="92">
        <v>216</v>
      </c>
      <c r="C98" s="101" t="s">
        <v>4</v>
      </c>
      <c r="D98" s="91" t="s">
        <v>65</v>
      </c>
      <c r="E98" s="21">
        <v>56</v>
      </c>
      <c r="F98" s="21">
        <v>67</v>
      </c>
      <c r="G98" s="21">
        <v>77</v>
      </c>
      <c r="H98" s="21">
        <v>68</v>
      </c>
      <c r="I98" s="43">
        <f t="shared" si="0"/>
        <v>67</v>
      </c>
      <c r="J98" s="20">
        <f>I98*2*10000</f>
        <v>1340000</v>
      </c>
      <c r="K98" s="20">
        <v>3000000</v>
      </c>
      <c r="L98" s="20">
        <f>J98*5</f>
        <v>6700000</v>
      </c>
      <c r="M98" s="22">
        <f>I98/(I98+I99)*100</f>
        <v>93.706293706293707</v>
      </c>
      <c r="N98" s="22">
        <f>I100/I98*100</f>
        <v>5.5970149253731343</v>
      </c>
      <c r="O98" s="23">
        <f>3.32*(LOG(L98)-LOG(K98))</f>
        <v>1.1585257792974624</v>
      </c>
      <c r="P98" s="23">
        <f>P95+O98</f>
        <v>11.831618299968509</v>
      </c>
    </row>
    <row r="99" spans="1:16" ht="14.25" customHeight="1" x14ac:dyDescent="0.35">
      <c r="A99" s="20"/>
      <c r="B99" s="92"/>
      <c r="C99" s="101"/>
      <c r="D99" s="92" t="s">
        <v>66</v>
      </c>
      <c r="E99" s="21">
        <v>5</v>
      </c>
      <c r="F99" s="21">
        <v>4</v>
      </c>
      <c r="G99" s="21">
        <v>5</v>
      </c>
      <c r="H99" s="21">
        <v>4</v>
      </c>
      <c r="I99" s="43">
        <f t="shared" si="0"/>
        <v>4.5</v>
      </c>
      <c r="J99" s="20"/>
      <c r="K99" s="20"/>
      <c r="L99" s="20"/>
      <c r="M99" s="20"/>
      <c r="N99" s="20"/>
      <c r="O99" s="20"/>
      <c r="P99" s="20"/>
    </row>
    <row r="100" spans="1:16" ht="14.25" customHeight="1" x14ac:dyDescent="0.35">
      <c r="A100" s="20"/>
      <c r="B100" s="92"/>
      <c r="C100" s="101"/>
      <c r="D100" s="92" t="s">
        <v>67</v>
      </c>
      <c r="E100" s="21">
        <v>3</v>
      </c>
      <c r="F100" s="21">
        <v>7</v>
      </c>
      <c r="G100" s="21">
        <v>1</v>
      </c>
      <c r="H100" s="21">
        <v>4</v>
      </c>
      <c r="I100" s="43">
        <f t="shared" si="0"/>
        <v>3.75</v>
      </c>
      <c r="J100" s="20"/>
      <c r="K100" s="20"/>
      <c r="L100" s="20"/>
      <c r="M100" s="20"/>
      <c r="N100" s="20"/>
      <c r="O100" s="20"/>
      <c r="P100" s="20"/>
    </row>
    <row r="101" spans="1:16" ht="14.25" customHeight="1" x14ac:dyDescent="0.35">
      <c r="A101" s="19" t="s">
        <v>36</v>
      </c>
      <c r="B101" s="92">
        <v>223</v>
      </c>
      <c r="C101" s="101" t="s">
        <v>4</v>
      </c>
      <c r="D101" s="91" t="s">
        <v>65</v>
      </c>
      <c r="E101" s="31">
        <v>56</v>
      </c>
      <c r="F101" s="31">
        <v>66</v>
      </c>
      <c r="G101" s="31">
        <v>77</v>
      </c>
      <c r="H101" s="31">
        <v>60</v>
      </c>
      <c r="I101" s="43">
        <f t="shared" si="0"/>
        <v>64.75</v>
      </c>
      <c r="J101" s="20">
        <f>I101*2*10000</f>
        <v>1295000</v>
      </c>
      <c r="K101" s="20">
        <v>3000000</v>
      </c>
      <c r="L101" s="20">
        <f>J101*5</f>
        <v>6475000</v>
      </c>
      <c r="M101" s="22">
        <f>I101/(I101+I102)*100</f>
        <v>93.165467625899282</v>
      </c>
      <c r="N101" s="22">
        <f>I103/I101*100</f>
        <v>1.5444015444015444</v>
      </c>
      <c r="O101" s="23">
        <f>3.32*(LOG(L101)-LOG(K101))</f>
        <v>1.1092734798716408</v>
      </c>
      <c r="P101" s="23">
        <f>P98+O101</f>
        <v>12.94089177984015</v>
      </c>
    </row>
    <row r="102" spans="1:16" ht="14.25" customHeight="1" x14ac:dyDescent="0.35">
      <c r="A102" s="20"/>
      <c r="B102" s="92"/>
      <c r="C102" s="101"/>
      <c r="D102" s="92" t="s">
        <v>66</v>
      </c>
      <c r="E102" s="31">
        <v>2</v>
      </c>
      <c r="F102" s="31">
        <v>6</v>
      </c>
      <c r="G102" s="31">
        <v>9</v>
      </c>
      <c r="H102" s="31">
        <v>2</v>
      </c>
      <c r="I102" s="43">
        <f t="shared" si="0"/>
        <v>4.75</v>
      </c>
      <c r="J102" s="20"/>
      <c r="K102" s="20"/>
      <c r="L102" s="20"/>
      <c r="M102" s="20"/>
      <c r="N102" s="20"/>
      <c r="O102" s="20"/>
      <c r="P102" s="20"/>
    </row>
    <row r="103" spans="1:16" ht="14.25" customHeight="1" x14ac:dyDescent="0.35">
      <c r="A103" s="20"/>
      <c r="B103" s="92"/>
      <c r="C103" s="101"/>
      <c r="D103" s="92" t="s">
        <v>67</v>
      </c>
      <c r="E103" s="31">
        <v>0</v>
      </c>
      <c r="F103" s="31">
        <v>1</v>
      </c>
      <c r="G103" s="31">
        <v>0</v>
      </c>
      <c r="H103" s="31">
        <v>3</v>
      </c>
      <c r="I103" s="43">
        <f t="shared" si="0"/>
        <v>1</v>
      </c>
      <c r="J103" s="20"/>
      <c r="K103" s="20"/>
      <c r="L103" s="20"/>
      <c r="M103" s="20"/>
      <c r="N103" s="20"/>
      <c r="O103" s="20"/>
      <c r="P103" s="20"/>
    </row>
    <row r="104" spans="1:16" ht="14.25" customHeight="1" x14ac:dyDescent="0.35">
      <c r="A104" s="19" t="s">
        <v>37</v>
      </c>
      <c r="B104" s="92">
        <v>230</v>
      </c>
      <c r="C104" s="101" t="s">
        <v>4</v>
      </c>
      <c r="D104" s="91" t="s">
        <v>65</v>
      </c>
      <c r="E104" s="31">
        <v>100</v>
      </c>
      <c r="F104" s="31">
        <v>85</v>
      </c>
      <c r="G104" s="31">
        <v>84</v>
      </c>
      <c r="H104" s="31">
        <v>88</v>
      </c>
      <c r="I104" s="43">
        <f t="shared" si="0"/>
        <v>89.25</v>
      </c>
      <c r="J104" s="20">
        <f>I104*2*10000</f>
        <v>1785000</v>
      </c>
      <c r="K104" s="20">
        <v>3000000</v>
      </c>
      <c r="L104" s="20">
        <f>J104*5</f>
        <v>8925000</v>
      </c>
      <c r="M104" s="22">
        <f>I104/(I104+I105)*100</f>
        <v>98.89196675900277</v>
      </c>
      <c r="N104" s="22">
        <f>I106/I104*100</f>
        <v>0.84033613445378152</v>
      </c>
      <c r="O104" s="23">
        <f>3.32*(LOG(L104)-LOG(K104))</f>
        <v>1.5719767406143674</v>
      </c>
      <c r="P104" s="23">
        <f>P101+O104</f>
        <v>14.512868520454518</v>
      </c>
    </row>
    <row r="105" spans="1:16" ht="14.25" customHeight="1" x14ac:dyDescent="0.35">
      <c r="A105" s="20"/>
      <c r="B105" s="92"/>
      <c r="C105" s="101"/>
      <c r="D105" s="92" t="s">
        <v>66</v>
      </c>
      <c r="E105" s="31">
        <v>1</v>
      </c>
      <c r="F105" s="31">
        <v>0</v>
      </c>
      <c r="G105" s="31">
        <v>2</v>
      </c>
      <c r="H105" s="31">
        <v>1</v>
      </c>
      <c r="I105" s="43">
        <f t="shared" si="0"/>
        <v>1</v>
      </c>
      <c r="J105" s="20"/>
      <c r="K105" s="20"/>
      <c r="L105" s="20"/>
      <c r="M105" s="20"/>
      <c r="N105" s="20"/>
      <c r="O105" s="20"/>
      <c r="P105" s="20"/>
    </row>
    <row r="106" spans="1:16" ht="14.25" customHeight="1" x14ac:dyDescent="0.35">
      <c r="A106" s="20"/>
      <c r="B106" s="92"/>
      <c r="C106" s="101"/>
      <c r="D106" s="92" t="s">
        <v>67</v>
      </c>
      <c r="E106" s="31">
        <v>0</v>
      </c>
      <c r="F106" s="31">
        <v>1</v>
      </c>
      <c r="G106" s="31">
        <v>0</v>
      </c>
      <c r="H106" s="31">
        <v>2</v>
      </c>
      <c r="I106" s="43">
        <f t="shared" si="0"/>
        <v>0.75</v>
      </c>
      <c r="J106" s="20"/>
      <c r="K106" s="20"/>
      <c r="L106" s="20"/>
      <c r="M106" s="20"/>
      <c r="N106" s="20"/>
      <c r="O106" s="20"/>
      <c r="P106" s="20"/>
    </row>
    <row r="107" spans="1:16" ht="14.25" customHeight="1" x14ac:dyDescent="0.35">
      <c r="A107" s="19" t="s">
        <v>38</v>
      </c>
      <c r="B107" s="92">
        <v>236</v>
      </c>
      <c r="C107" s="101" t="s">
        <v>4</v>
      </c>
      <c r="D107" s="91" t="s">
        <v>65</v>
      </c>
      <c r="E107" s="44">
        <v>109</v>
      </c>
      <c r="F107" s="44">
        <v>91</v>
      </c>
      <c r="G107" s="44">
        <v>97</v>
      </c>
      <c r="H107" s="44">
        <v>88</v>
      </c>
      <c r="I107" s="43">
        <f t="shared" si="0"/>
        <v>96.25</v>
      </c>
      <c r="J107" s="20">
        <f>I107*2*10000</f>
        <v>1925000</v>
      </c>
      <c r="K107" s="20">
        <v>3000000</v>
      </c>
      <c r="L107" s="20">
        <f>J107*5</f>
        <v>9625000</v>
      </c>
      <c r="M107" s="22">
        <f>I107/(I107+I108)*100</f>
        <v>98.465473145780052</v>
      </c>
      <c r="N107" s="22">
        <f>I109/I107*100</f>
        <v>2.0779220779220777</v>
      </c>
      <c r="O107" s="23">
        <f>3.32*(LOG(L107)-LOG(K107))</f>
        <v>1.6808478850901081</v>
      </c>
      <c r="P107" s="23">
        <f>P104+O107</f>
        <v>16.193716405544627</v>
      </c>
    </row>
    <row r="108" spans="1:16" ht="14.25" customHeight="1" x14ac:dyDescent="0.35">
      <c r="A108" s="20"/>
      <c r="B108" s="92"/>
      <c r="C108" s="101"/>
      <c r="D108" s="92" t="s">
        <v>66</v>
      </c>
      <c r="E108" s="44">
        <v>1</v>
      </c>
      <c r="F108" s="44">
        <v>0</v>
      </c>
      <c r="G108" s="44">
        <v>3</v>
      </c>
      <c r="H108" s="44">
        <v>2</v>
      </c>
      <c r="I108" s="43">
        <f t="shared" si="0"/>
        <v>1.5</v>
      </c>
      <c r="J108" s="20"/>
      <c r="K108" s="20"/>
      <c r="L108" s="20"/>
      <c r="M108" s="20"/>
      <c r="N108" s="20"/>
      <c r="O108" s="20"/>
      <c r="P108" s="20"/>
    </row>
    <row r="109" spans="1:16" ht="14.25" customHeight="1" x14ac:dyDescent="0.35">
      <c r="A109" s="20"/>
      <c r="B109" s="92"/>
      <c r="C109" s="101"/>
      <c r="D109" s="92" t="s">
        <v>67</v>
      </c>
      <c r="E109" s="44">
        <v>2</v>
      </c>
      <c r="F109" s="44">
        <v>4</v>
      </c>
      <c r="G109" s="44">
        <v>1</v>
      </c>
      <c r="H109" s="44">
        <v>1</v>
      </c>
      <c r="I109" s="43">
        <f t="shared" si="0"/>
        <v>2</v>
      </c>
      <c r="J109" s="20"/>
      <c r="K109" s="20"/>
      <c r="L109" s="20"/>
      <c r="M109" s="20"/>
      <c r="N109" s="20"/>
      <c r="O109" s="20"/>
      <c r="P109" s="20"/>
    </row>
    <row r="110" spans="1:16" ht="14.25" customHeight="1" x14ac:dyDescent="0.35">
      <c r="A110" s="19" t="s">
        <v>39</v>
      </c>
      <c r="B110" s="92">
        <v>243</v>
      </c>
      <c r="C110" s="101" t="s">
        <v>4</v>
      </c>
      <c r="D110" s="91" t="s">
        <v>65</v>
      </c>
      <c r="E110" s="44">
        <v>196</v>
      </c>
      <c r="F110" s="44">
        <v>223</v>
      </c>
      <c r="G110" s="44">
        <v>243</v>
      </c>
      <c r="H110" s="44">
        <v>207</v>
      </c>
      <c r="I110" s="43">
        <f t="shared" si="0"/>
        <v>217.25</v>
      </c>
      <c r="J110" s="20">
        <f>I110*2*10000</f>
        <v>4345000</v>
      </c>
      <c r="K110" s="20">
        <v>3000000</v>
      </c>
      <c r="L110" s="20">
        <f>J110*5</f>
        <v>21725000</v>
      </c>
      <c r="M110" s="22">
        <f>I110/(I110+I111)*100</f>
        <v>99.427917620137293</v>
      </c>
      <c r="N110" s="22">
        <f>I112/I110*100</f>
        <v>1.0356731875719216</v>
      </c>
      <c r="O110" s="23">
        <f>3.32*(LOG(L110)-LOG(K110))</f>
        <v>2.8546639209314568</v>
      </c>
      <c r="P110" s="23">
        <f>P107+O110</f>
        <v>19.048380326476085</v>
      </c>
    </row>
    <row r="111" spans="1:16" ht="14.25" customHeight="1" x14ac:dyDescent="0.35">
      <c r="A111" s="20"/>
      <c r="B111" s="92"/>
      <c r="C111" s="101"/>
      <c r="D111" s="92" t="s">
        <v>66</v>
      </c>
      <c r="E111" s="44">
        <v>2</v>
      </c>
      <c r="F111" s="44">
        <v>1</v>
      </c>
      <c r="G111" s="44">
        <v>2</v>
      </c>
      <c r="H111" s="44">
        <v>0</v>
      </c>
      <c r="I111" s="43">
        <f t="shared" si="0"/>
        <v>1.25</v>
      </c>
      <c r="J111" s="20"/>
      <c r="K111" s="20"/>
      <c r="L111" s="20"/>
      <c r="M111" s="20"/>
      <c r="N111" s="20"/>
      <c r="O111" s="20"/>
      <c r="P111" s="20"/>
    </row>
    <row r="112" spans="1:16" ht="14.25" customHeight="1" x14ac:dyDescent="0.35">
      <c r="A112" s="20"/>
      <c r="B112" s="92"/>
      <c r="C112" s="101"/>
      <c r="D112" s="92" t="s">
        <v>67</v>
      </c>
      <c r="E112" s="44">
        <v>2</v>
      </c>
      <c r="F112" s="44">
        <v>3</v>
      </c>
      <c r="G112" s="44">
        <v>2</v>
      </c>
      <c r="H112" s="44">
        <v>2</v>
      </c>
      <c r="I112" s="43">
        <f t="shared" si="0"/>
        <v>2.25</v>
      </c>
      <c r="J112" s="20"/>
      <c r="K112" s="20"/>
      <c r="L112" s="20"/>
      <c r="M112" s="20"/>
      <c r="N112" s="20"/>
      <c r="O112" s="20"/>
      <c r="P112" s="20"/>
    </row>
    <row r="113" spans="1:16" ht="14.25" customHeight="1" x14ac:dyDescent="0.35">
      <c r="A113" s="19" t="s">
        <v>40</v>
      </c>
      <c r="B113" s="92">
        <f>B110+7</f>
        <v>250</v>
      </c>
      <c r="C113" s="101" t="s">
        <v>4</v>
      </c>
      <c r="D113" s="91" t="s">
        <v>65</v>
      </c>
      <c r="E113" s="21">
        <v>175</v>
      </c>
      <c r="F113" s="21">
        <v>167</v>
      </c>
      <c r="G113" s="21">
        <v>165</v>
      </c>
      <c r="H113" s="21">
        <v>164</v>
      </c>
      <c r="I113" s="43">
        <f t="shared" si="0"/>
        <v>167.75</v>
      </c>
      <c r="J113" s="20">
        <f>I113*2*10000</f>
        <v>3355000</v>
      </c>
      <c r="K113" s="20">
        <v>3000000</v>
      </c>
      <c r="L113" s="20">
        <f>J113*5</f>
        <v>16775000</v>
      </c>
      <c r="M113" s="22">
        <f>I113/(I113+I114)*100</f>
        <v>99.260355029585796</v>
      </c>
      <c r="N113" s="22">
        <f>I115/I113*100</f>
        <v>2.6825633383010432</v>
      </c>
      <c r="O113" s="23">
        <f>3.32*(LOG(L113)-LOG(K113))</f>
        <v>2.4818370300829398</v>
      </c>
      <c r="P113" s="23">
        <f>P110+O113</f>
        <v>21.530217356559024</v>
      </c>
    </row>
    <row r="114" spans="1:16" ht="14.25" customHeight="1" x14ac:dyDescent="0.35">
      <c r="A114" s="20"/>
      <c r="B114" s="92"/>
      <c r="C114" s="101"/>
      <c r="D114" s="92" t="s">
        <v>66</v>
      </c>
      <c r="E114" s="21">
        <v>1</v>
      </c>
      <c r="F114" s="21">
        <v>0</v>
      </c>
      <c r="G114" s="21">
        <v>1</v>
      </c>
      <c r="H114" s="21">
        <v>3</v>
      </c>
      <c r="I114" s="43">
        <f t="shared" si="0"/>
        <v>1.25</v>
      </c>
      <c r="J114" s="20"/>
      <c r="K114" s="20"/>
      <c r="L114" s="20"/>
      <c r="M114" s="20"/>
      <c r="N114" s="20"/>
      <c r="O114" s="20"/>
      <c r="P114" s="20"/>
    </row>
    <row r="115" spans="1:16" ht="14.25" customHeight="1" x14ac:dyDescent="0.35">
      <c r="A115" s="20"/>
      <c r="B115" s="92"/>
      <c r="C115" s="101"/>
      <c r="D115" s="92" t="s">
        <v>67</v>
      </c>
      <c r="E115" s="21">
        <v>4</v>
      </c>
      <c r="F115" s="21">
        <v>7</v>
      </c>
      <c r="G115" s="21">
        <v>4</v>
      </c>
      <c r="H115" s="21">
        <v>3</v>
      </c>
      <c r="I115" s="43">
        <f t="shared" si="0"/>
        <v>4.5</v>
      </c>
      <c r="J115" s="20"/>
      <c r="K115" s="20"/>
      <c r="L115" s="20"/>
      <c r="M115" s="20"/>
      <c r="N115" s="20"/>
      <c r="O115" s="20"/>
      <c r="P115" s="20"/>
    </row>
    <row r="116" spans="1:16" ht="14.25" customHeight="1" x14ac:dyDescent="0.35">
      <c r="A116" s="30">
        <v>44606</v>
      </c>
      <c r="B116" s="92">
        <f>B113+7</f>
        <v>257</v>
      </c>
      <c r="C116" s="101" t="s">
        <v>4</v>
      </c>
      <c r="D116" s="91" t="s">
        <v>65</v>
      </c>
      <c r="E116" s="21">
        <v>89</v>
      </c>
      <c r="F116" s="21">
        <v>102</v>
      </c>
      <c r="G116" s="21">
        <v>91</v>
      </c>
      <c r="H116" s="21">
        <v>102</v>
      </c>
      <c r="I116" s="43">
        <f t="shared" si="0"/>
        <v>96</v>
      </c>
      <c r="J116" s="20">
        <f>I116*2*10000</f>
        <v>1920000</v>
      </c>
      <c r="K116" s="20">
        <v>3000000</v>
      </c>
      <c r="L116" s="20">
        <f>J116*5</f>
        <v>9600000</v>
      </c>
      <c r="M116" s="22">
        <f>I116/(I116+I117)*100</f>
        <v>100</v>
      </c>
      <c r="N116" s="22">
        <f>I118/I116*100</f>
        <v>8.59375</v>
      </c>
      <c r="O116" s="23">
        <f>3.32*(LOG(L116)-LOG(K116))</f>
        <v>1.6770979280220857</v>
      </c>
      <c r="P116" s="23">
        <f>P113+O116</f>
        <v>23.20731528458111</v>
      </c>
    </row>
    <row r="117" spans="1:16" ht="14.25" customHeight="1" x14ac:dyDescent="0.35">
      <c r="A117" s="20"/>
      <c r="B117" s="92"/>
      <c r="C117" s="101"/>
      <c r="D117" s="92" t="s">
        <v>66</v>
      </c>
      <c r="E117" s="21">
        <v>0</v>
      </c>
      <c r="F117" s="21">
        <v>0</v>
      </c>
      <c r="G117" s="21">
        <v>0</v>
      </c>
      <c r="H117" s="21">
        <v>0</v>
      </c>
      <c r="I117" s="43">
        <f t="shared" si="0"/>
        <v>0</v>
      </c>
      <c r="J117" s="20"/>
      <c r="K117" s="20"/>
      <c r="L117" s="20"/>
      <c r="M117" s="20"/>
      <c r="N117" s="20"/>
      <c r="O117" s="20"/>
      <c r="P117" s="20"/>
    </row>
    <row r="118" spans="1:16" ht="14.25" customHeight="1" x14ac:dyDescent="0.35">
      <c r="A118" s="20"/>
      <c r="B118" s="92"/>
      <c r="C118" s="101"/>
      <c r="D118" s="92" t="s">
        <v>67</v>
      </c>
      <c r="E118" s="21">
        <v>11</v>
      </c>
      <c r="F118" s="21">
        <v>10</v>
      </c>
      <c r="G118" s="21">
        <v>4</v>
      </c>
      <c r="H118" s="21">
        <v>8</v>
      </c>
      <c r="I118" s="43">
        <f t="shared" si="0"/>
        <v>8.25</v>
      </c>
      <c r="J118" s="20"/>
      <c r="K118" s="20"/>
      <c r="L118" s="20"/>
      <c r="M118" s="20"/>
      <c r="N118" s="20"/>
      <c r="O118" s="20"/>
      <c r="P118" s="20"/>
    </row>
    <row r="119" spans="1:16" ht="14.25" customHeight="1" x14ac:dyDescent="0.35">
      <c r="A119" s="30">
        <v>44614</v>
      </c>
      <c r="B119" s="92">
        <f>B116+7</f>
        <v>264</v>
      </c>
      <c r="C119" s="101" t="s">
        <v>4</v>
      </c>
      <c r="D119" s="91" t="s">
        <v>65</v>
      </c>
      <c r="E119" s="21">
        <v>63</v>
      </c>
      <c r="F119" s="21">
        <v>81</v>
      </c>
      <c r="G119" s="21">
        <v>61</v>
      </c>
      <c r="H119" s="21">
        <v>68</v>
      </c>
      <c r="I119" s="43">
        <f t="shared" si="0"/>
        <v>68.25</v>
      </c>
      <c r="J119" s="20">
        <f>I119*2*10000</f>
        <v>1365000</v>
      </c>
      <c r="K119" s="20">
        <v>3000000</v>
      </c>
      <c r="L119" s="20">
        <f>J119*5</f>
        <v>6825000</v>
      </c>
      <c r="M119" s="22">
        <f>I119/(I119+I120)*100</f>
        <v>90.397350993377472</v>
      </c>
      <c r="N119" s="22">
        <f>I121/I119*100</f>
        <v>1.8315018315018317</v>
      </c>
      <c r="O119" s="23">
        <f>3.32*(LOG(L119)-LOG(K119))</f>
        <v>1.185178251297196</v>
      </c>
      <c r="P119" s="23">
        <f>P116+O119</f>
        <v>24.392493535878305</v>
      </c>
    </row>
    <row r="120" spans="1:16" ht="14.25" customHeight="1" x14ac:dyDescent="0.35">
      <c r="A120" s="20"/>
      <c r="B120" s="92"/>
      <c r="C120" s="101"/>
      <c r="D120" s="92" t="s">
        <v>66</v>
      </c>
      <c r="E120" s="21">
        <v>3</v>
      </c>
      <c r="F120" s="21">
        <v>11</v>
      </c>
      <c r="G120" s="21">
        <v>9</v>
      </c>
      <c r="H120" s="21">
        <v>6</v>
      </c>
      <c r="I120" s="43">
        <f t="shared" si="0"/>
        <v>7.25</v>
      </c>
      <c r="J120" s="20"/>
      <c r="K120" s="20"/>
      <c r="L120" s="20"/>
      <c r="M120" s="20"/>
      <c r="N120" s="20"/>
      <c r="O120" s="20"/>
      <c r="P120" s="20"/>
    </row>
    <row r="121" spans="1:16" ht="14.25" customHeight="1" x14ac:dyDescent="0.35">
      <c r="A121" s="20"/>
      <c r="B121" s="92"/>
      <c r="C121" s="101"/>
      <c r="D121" s="92" t="s">
        <v>67</v>
      </c>
      <c r="E121" s="21">
        <v>2</v>
      </c>
      <c r="F121" s="21">
        <v>2</v>
      </c>
      <c r="G121" s="21">
        <v>0</v>
      </c>
      <c r="H121" s="21">
        <v>1</v>
      </c>
      <c r="I121" s="43">
        <f t="shared" si="0"/>
        <v>1.25</v>
      </c>
      <c r="J121" s="20"/>
      <c r="K121" s="20"/>
      <c r="L121" s="20"/>
      <c r="M121" s="20"/>
      <c r="N121" s="20"/>
      <c r="O121" s="20"/>
      <c r="P121" s="20"/>
    </row>
    <row r="122" spans="1:16" ht="14.25" customHeight="1" x14ac:dyDescent="0.35">
      <c r="A122" s="30">
        <v>44620</v>
      </c>
      <c r="B122" s="92">
        <f>B119+6</f>
        <v>270</v>
      </c>
      <c r="C122" s="101" t="s">
        <v>4</v>
      </c>
      <c r="D122" s="91" t="s">
        <v>65</v>
      </c>
      <c r="E122" s="21">
        <v>22</v>
      </c>
      <c r="F122" s="21">
        <v>38</v>
      </c>
      <c r="G122" s="21">
        <v>34</v>
      </c>
      <c r="H122" s="21">
        <v>44</v>
      </c>
      <c r="I122" s="43">
        <f t="shared" si="0"/>
        <v>34.5</v>
      </c>
      <c r="J122" s="20">
        <f>I122*2*10000</f>
        <v>690000</v>
      </c>
      <c r="K122" s="20">
        <v>3000000</v>
      </c>
      <c r="L122" s="20">
        <f>J122*5</f>
        <v>3450000</v>
      </c>
      <c r="M122" s="22">
        <f>I122/(I122+I123)*100</f>
        <v>96.503496503496507</v>
      </c>
      <c r="N122" s="22">
        <f>I124/I122*100</f>
        <v>2.1739130434782608</v>
      </c>
      <c r="O122" s="23">
        <f>3.32*(LOG(L122)-LOG(K122))</f>
        <v>0.2015168299739912</v>
      </c>
      <c r="P122" s="23">
        <f>P119+O122</f>
        <v>24.594010365852295</v>
      </c>
    </row>
    <row r="123" spans="1:16" ht="14.25" customHeight="1" x14ac:dyDescent="0.35">
      <c r="A123" s="20"/>
      <c r="B123" s="92"/>
      <c r="C123" s="101"/>
      <c r="D123" s="92" t="s">
        <v>66</v>
      </c>
      <c r="E123" s="21">
        <v>1</v>
      </c>
      <c r="F123" s="21">
        <v>0</v>
      </c>
      <c r="G123" s="21">
        <v>1</v>
      </c>
      <c r="H123" s="21">
        <v>3</v>
      </c>
      <c r="I123" s="43">
        <f t="shared" si="0"/>
        <v>1.25</v>
      </c>
      <c r="J123" s="20"/>
      <c r="K123" s="20"/>
      <c r="L123" s="20"/>
      <c r="M123" s="20"/>
      <c r="N123" s="20"/>
      <c r="O123" s="20"/>
      <c r="P123" s="20"/>
    </row>
    <row r="124" spans="1:16" ht="14.25" customHeight="1" x14ac:dyDescent="0.35">
      <c r="A124" s="20"/>
      <c r="B124" s="92"/>
      <c r="C124" s="101"/>
      <c r="D124" s="92" t="s">
        <v>67</v>
      </c>
      <c r="E124" s="21">
        <v>1</v>
      </c>
      <c r="F124" s="21">
        <v>0</v>
      </c>
      <c r="G124" s="21">
        <v>2</v>
      </c>
      <c r="H124" s="21">
        <v>0</v>
      </c>
      <c r="I124" s="43">
        <f t="shared" si="0"/>
        <v>0.75</v>
      </c>
      <c r="J124" s="20"/>
      <c r="K124" s="20"/>
      <c r="L124" s="20"/>
      <c r="M124" s="20"/>
      <c r="N124" s="20"/>
      <c r="O124" s="20"/>
      <c r="P124" s="20"/>
    </row>
    <row r="125" spans="1:16" ht="14.25" customHeight="1" x14ac:dyDescent="0.35">
      <c r="A125" s="30">
        <v>44627</v>
      </c>
      <c r="B125" s="92">
        <f>B122+7</f>
        <v>277</v>
      </c>
      <c r="C125" s="101" t="s">
        <v>4</v>
      </c>
      <c r="D125" s="91" t="s">
        <v>65</v>
      </c>
      <c r="E125" s="21">
        <v>32</v>
      </c>
      <c r="F125" s="21">
        <v>38</v>
      </c>
      <c r="G125" s="21">
        <v>32</v>
      </c>
      <c r="H125" s="21">
        <v>41</v>
      </c>
      <c r="I125" s="43">
        <f t="shared" si="0"/>
        <v>35.75</v>
      </c>
      <c r="J125" s="20">
        <f>I125*2*10000</f>
        <v>715000</v>
      </c>
      <c r="K125" s="20">
        <v>3000000</v>
      </c>
      <c r="L125" s="20">
        <f>J125*5</f>
        <v>3575000</v>
      </c>
      <c r="M125" s="22">
        <f>I125/(I125+I126)*100</f>
        <v>97.278911564625844</v>
      </c>
      <c r="N125" s="22">
        <f>I127/I125*100</f>
        <v>2.0979020979020979</v>
      </c>
      <c r="O125" s="23">
        <f>3.32*(LOG(L125)-LOG(K125))</f>
        <v>0.25283390750589146</v>
      </c>
      <c r="P125" s="23">
        <f>P122+O125</f>
        <v>24.846844273358187</v>
      </c>
    </row>
    <row r="126" spans="1:16" ht="14.25" customHeight="1" x14ac:dyDescent="0.35">
      <c r="A126" s="20"/>
      <c r="B126" s="92"/>
      <c r="C126" s="101"/>
      <c r="D126" s="92" t="s">
        <v>66</v>
      </c>
      <c r="E126" s="21">
        <v>1</v>
      </c>
      <c r="F126" s="21">
        <v>1</v>
      </c>
      <c r="G126" s="21">
        <v>0</v>
      </c>
      <c r="H126" s="21">
        <v>2</v>
      </c>
      <c r="I126" s="43">
        <f t="shared" si="0"/>
        <v>1</v>
      </c>
      <c r="J126" s="20"/>
      <c r="K126" s="20"/>
      <c r="L126" s="20"/>
      <c r="M126" s="20"/>
      <c r="N126" s="20"/>
      <c r="O126" s="20"/>
      <c r="P126" s="20"/>
    </row>
    <row r="127" spans="1:16" ht="14.25" customHeight="1" x14ac:dyDescent="0.35">
      <c r="A127" s="20"/>
      <c r="B127" s="92"/>
      <c r="C127" s="101"/>
      <c r="D127" s="92" t="s">
        <v>67</v>
      </c>
      <c r="E127" s="21">
        <v>0</v>
      </c>
      <c r="F127" s="21">
        <v>1</v>
      </c>
      <c r="G127" s="21">
        <v>2</v>
      </c>
      <c r="H127" s="21">
        <v>0</v>
      </c>
      <c r="I127" s="43">
        <f t="shared" si="0"/>
        <v>0.75</v>
      </c>
      <c r="J127" s="20"/>
      <c r="K127" s="20"/>
      <c r="L127" s="20"/>
      <c r="M127" s="20"/>
      <c r="N127" s="20"/>
      <c r="O127" s="20"/>
      <c r="P127" s="20"/>
    </row>
    <row r="128" spans="1:16" ht="14.25" customHeight="1" x14ac:dyDescent="0.35">
      <c r="A128" s="30">
        <v>44634</v>
      </c>
      <c r="B128" s="92">
        <f>B125+7</f>
        <v>284</v>
      </c>
      <c r="C128" s="101" t="s">
        <v>4</v>
      </c>
      <c r="D128" s="91" t="s">
        <v>65</v>
      </c>
      <c r="E128" s="21">
        <v>45</v>
      </c>
      <c r="F128" s="21">
        <v>45</v>
      </c>
      <c r="G128" s="21">
        <v>54</v>
      </c>
      <c r="H128" s="21">
        <v>49</v>
      </c>
      <c r="I128" s="43">
        <f t="shared" si="0"/>
        <v>48.25</v>
      </c>
      <c r="J128" s="20">
        <f>I128*2*10000</f>
        <v>965000</v>
      </c>
      <c r="K128" s="20">
        <v>3000000</v>
      </c>
      <c r="L128" s="20">
        <f>J128*5</f>
        <v>4825000</v>
      </c>
      <c r="M128" s="22">
        <f>I128/(I128+I129)*100</f>
        <v>98.469387755102048</v>
      </c>
      <c r="N128" s="22">
        <f>I130/I128*100</f>
        <v>1.0362694300518136</v>
      </c>
      <c r="O128" s="23">
        <f>3.32*(LOG(L128)-LOG(K128))</f>
        <v>0.68516852902769387</v>
      </c>
      <c r="P128" s="23">
        <f>P125+O128</f>
        <v>25.532012802385882</v>
      </c>
    </row>
    <row r="129" spans="1:16" ht="14.25" customHeight="1" x14ac:dyDescent="0.35">
      <c r="A129" s="20"/>
      <c r="B129" s="92"/>
      <c r="C129" s="101"/>
      <c r="D129" s="92" t="s">
        <v>66</v>
      </c>
      <c r="E129" s="21">
        <v>1</v>
      </c>
      <c r="F129" s="21">
        <v>1</v>
      </c>
      <c r="G129" s="21">
        <v>0</v>
      </c>
      <c r="H129" s="21">
        <v>1</v>
      </c>
      <c r="I129" s="43">
        <f t="shared" si="0"/>
        <v>0.75</v>
      </c>
      <c r="J129" s="20"/>
      <c r="K129" s="20"/>
      <c r="L129" s="20"/>
      <c r="M129" s="20"/>
      <c r="N129" s="20"/>
      <c r="O129" s="20"/>
      <c r="P129" s="20"/>
    </row>
    <row r="130" spans="1:16" ht="14.25" customHeight="1" x14ac:dyDescent="0.35">
      <c r="A130" s="20"/>
      <c r="B130" s="92"/>
      <c r="C130" s="101"/>
      <c r="D130" s="92" t="s">
        <v>67</v>
      </c>
      <c r="E130" s="21">
        <v>0</v>
      </c>
      <c r="F130" s="21">
        <v>1</v>
      </c>
      <c r="G130" s="21">
        <v>0</v>
      </c>
      <c r="H130" s="21">
        <v>1</v>
      </c>
      <c r="I130" s="43">
        <f t="shared" si="0"/>
        <v>0.5</v>
      </c>
      <c r="J130" s="20"/>
      <c r="K130" s="20"/>
      <c r="L130" s="20"/>
      <c r="M130" s="20"/>
      <c r="N130" s="20"/>
      <c r="O130" s="20"/>
      <c r="P130" s="20"/>
    </row>
    <row r="131" spans="1:16" ht="14.25" customHeight="1" x14ac:dyDescent="0.35">
      <c r="A131" s="30">
        <v>44641</v>
      </c>
      <c r="B131" s="92">
        <f>B128+7</f>
        <v>291</v>
      </c>
      <c r="C131" s="101" t="str">
        <f>$C$128</f>
        <v>3% FBS R3</v>
      </c>
      <c r="D131" s="91" t="s">
        <v>65</v>
      </c>
      <c r="E131" s="21">
        <v>43</v>
      </c>
      <c r="F131" s="21">
        <v>39</v>
      </c>
      <c r="G131" s="21">
        <v>31</v>
      </c>
      <c r="H131" s="21">
        <v>64</v>
      </c>
      <c r="I131" s="43">
        <f t="shared" si="0"/>
        <v>44.25</v>
      </c>
      <c r="J131" s="20">
        <f>I131*2*10000</f>
        <v>885000</v>
      </c>
      <c r="K131" s="20">
        <f>$K$128</f>
        <v>3000000</v>
      </c>
      <c r="L131" s="20">
        <f>J131*5</f>
        <v>4425000</v>
      </c>
      <c r="M131" s="22">
        <f>I131/(I131+I132)*100</f>
        <v>99.438202247191015</v>
      </c>
      <c r="N131" s="22">
        <f>I133/I131*100</f>
        <v>0.56497175141242939</v>
      </c>
      <c r="O131" s="23">
        <f>3.32*(LOG(L131)-LOG(K131))</f>
        <v>0.5603895074430818</v>
      </c>
      <c r="P131" s="23">
        <f>P128+O131</f>
        <v>26.092402309828962</v>
      </c>
    </row>
    <row r="132" spans="1:16" ht="14.25" customHeight="1" x14ac:dyDescent="0.35">
      <c r="A132" s="20"/>
      <c r="B132" s="92"/>
      <c r="C132" s="101"/>
      <c r="D132" s="92" t="s">
        <v>66</v>
      </c>
      <c r="E132" s="21">
        <v>1</v>
      </c>
      <c r="F132" s="21">
        <v>0</v>
      </c>
      <c r="G132" s="21">
        <v>0</v>
      </c>
      <c r="H132" s="21">
        <v>0</v>
      </c>
      <c r="I132" s="43">
        <f t="shared" si="0"/>
        <v>0.25</v>
      </c>
      <c r="J132" s="20"/>
      <c r="K132" s="20"/>
      <c r="L132" s="20"/>
      <c r="M132" s="20"/>
      <c r="N132" s="20"/>
      <c r="O132" s="20"/>
      <c r="P132" s="20"/>
    </row>
    <row r="133" spans="1:16" ht="14.25" customHeight="1" x14ac:dyDescent="0.35">
      <c r="A133" s="20"/>
      <c r="B133" s="92"/>
      <c r="C133" s="101"/>
      <c r="D133" s="92" t="s">
        <v>67</v>
      </c>
      <c r="E133" s="21">
        <v>0</v>
      </c>
      <c r="F133" s="21">
        <v>0</v>
      </c>
      <c r="G133" s="21">
        <v>1</v>
      </c>
      <c r="H133" s="21">
        <v>0</v>
      </c>
      <c r="I133" s="43">
        <f t="shared" si="0"/>
        <v>0.25</v>
      </c>
      <c r="J133" s="20"/>
      <c r="K133" s="20"/>
      <c r="L133" s="20"/>
      <c r="M133" s="20"/>
      <c r="N133" s="20"/>
      <c r="O133" s="20"/>
      <c r="P133" s="20"/>
    </row>
    <row r="134" spans="1:16" ht="14.25" customHeight="1" x14ac:dyDescent="0.35">
      <c r="A134" s="30">
        <v>44649</v>
      </c>
      <c r="B134" s="92">
        <f>B131+8</f>
        <v>299</v>
      </c>
      <c r="C134" s="101" t="str">
        <f>$C$128</f>
        <v>3% FBS R3</v>
      </c>
      <c r="D134" s="91" t="s">
        <v>65</v>
      </c>
      <c r="E134" s="21">
        <v>48</v>
      </c>
      <c r="F134" s="21">
        <v>40</v>
      </c>
      <c r="G134" s="21">
        <v>30</v>
      </c>
      <c r="H134" s="21">
        <v>37</v>
      </c>
      <c r="I134" s="43">
        <f t="shared" si="0"/>
        <v>38.75</v>
      </c>
      <c r="J134" s="20">
        <f>I134*2*10000</f>
        <v>775000</v>
      </c>
      <c r="K134" s="20">
        <f>$K$128</f>
        <v>3000000</v>
      </c>
      <c r="L134" s="20">
        <f>J134*5</f>
        <v>3875000</v>
      </c>
      <c r="M134" s="22">
        <f>I134/(I134+I135)*100</f>
        <v>95.092024539877301</v>
      </c>
      <c r="N134" s="22">
        <f>I136/I134*100</f>
        <v>0.64516129032258063</v>
      </c>
      <c r="O134" s="23">
        <f>3.32*(LOG(L134)-LOG(K134))</f>
        <v>0.36901950104725351</v>
      </c>
      <c r="P134" s="23">
        <f>P131+O134</f>
        <v>26.461421810876217</v>
      </c>
    </row>
    <row r="135" spans="1:16" ht="14.25" customHeight="1" x14ac:dyDescent="0.35">
      <c r="A135" s="20"/>
      <c r="B135" s="92"/>
      <c r="C135" s="101"/>
      <c r="D135" s="92" t="s">
        <v>66</v>
      </c>
      <c r="E135" s="21">
        <v>0</v>
      </c>
      <c r="F135" s="21">
        <v>6</v>
      </c>
      <c r="G135" s="21">
        <v>2</v>
      </c>
      <c r="H135" s="21">
        <v>0</v>
      </c>
      <c r="I135" s="43">
        <f t="shared" si="0"/>
        <v>2</v>
      </c>
      <c r="J135" s="20"/>
      <c r="K135" s="20"/>
      <c r="L135" s="20"/>
      <c r="M135" s="20"/>
      <c r="N135" s="20"/>
      <c r="O135" s="20"/>
      <c r="P135" s="20"/>
    </row>
    <row r="136" spans="1:16" ht="14.25" customHeight="1" x14ac:dyDescent="0.35">
      <c r="A136" s="20"/>
      <c r="B136" s="92"/>
      <c r="C136" s="101"/>
      <c r="D136" s="92" t="s">
        <v>67</v>
      </c>
      <c r="E136" s="21">
        <v>0</v>
      </c>
      <c r="F136" s="21">
        <v>0</v>
      </c>
      <c r="G136" s="21">
        <v>0</v>
      </c>
      <c r="H136" s="21">
        <v>1</v>
      </c>
      <c r="I136" s="43">
        <f t="shared" si="0"/>
        <v>0.25</v>
      </c>
      <c r="J136" s="20"/>
      <c r="K136" s="20"/>
      <c r="L136" s="20"/>
      <c r="M136" s="20"/>
      <c r="N136" s="20"/>
      <c r="O136" s="20"/>
      <c r="P136" s="20"/>
    </row>
    <row r="137" spans="1:16" ht="14.25" customHeight="1" x14ac:dyDescent="0.35">
      <c r="A137" s="30">
        <v>44653</v>
      </c>
      <c r="B137" s="92">
        <f>B134+7</f>
        <v>306</v>
      </c>
      <c r="C137" s="101" t="str">
        <f>$C$128</f>
        <v>3% FBS R3</v>
      </c>
      <c r="D137" s="91" t="s">
        <v>65</v>
      </c>
      <c r="E137" s="21">
        <v>34</v>
      </c>
      <c r="F137" s="21">
        <v>21</v>
      </c>
      <c r="G137" s="21">
        <v>21</v>
      </c>
      <c r="H137" s="21">
        <v>34</v>
      </c>
      <c r="I137" s="43">
        <f t="shared" si="0"/>
        <v>27.5</v>
      </c>
      <c r="J137" s="20">
        <f>I137*2*10000</f>
        <v>550000</v>
      </c>
      <c r="K137" s="20">
        <f>$K$128</f>
        <v>3000000</v>
      </c>
      <c r="L137" s="20">
        <f>J137*5</f>
        <v>2750000</v>
      </c>
      <c r="M137" s="22">
        <f>I137/(I137+I138)*100</f>
        <v>95.652173913043484</v>
      </c>
      <c r="N137" s="22">
        <f>I139/I137*100</f>
        <v>0</v>
      </c>
      <c r="O137" s="23">
        <f>3.32*(LOG(L137)-LOG(K137))</f>
        <v>-0.12545802215280716</v>
      </c>
      <c r="P137" s="23">
        <f>P134</f>
        <v>26.461421810876217</v>
      </c>
    </row>
    <row r="138" spans="1:16" ht="14.25" customHeight="1" x14ac:dyDescent="0.35">
      <c r="A138" s="20"/>
      <c r="B138" s="92"/>
      <c r="C138" s="101"/>
      <c r="D138" s="92" t="s">
        <v>66</v>
      </c>
      <c r="E138" s="21">
        <v>1</v>
      </c>
      <c r="F138" s="21">
        <v>2</v>
      </c>
      <c r="G138" s="21">
        <v>2</v>
      </c>
      <c r="H138" s="21">
        <v>0</v>
      </c>
      <c r="I138" s="43">
        <f t="shared" si="0"/>
        <v>1.25</v>
      </c>
      <c r="J138" s="20"/>
      <c r="K138" s="20"/>
      <c r="L138" s="20"/>
      <c r="M138" s="20"/>
      <c r="N138" s="20"/>
      <c r="O138" s="20"/>
      <c r="P138" s="20"/>
    </row>
    <row r="139" spans="1:16" ht="14.25" customHeight="1" x14ac:dyDescent="0.35">
      <c r="A139" s="20"/>
      <c r="B139" s="92"/>
      <c r="C139" s="101"/>
      <c r="D139" s="92" t="s">
        <v>67</v>
      </c>
      <c r="E139" s="21">
        <v>0</v>
      </c>
      <c r="F139" s="21">
        <v>0</v>
      </c>
      <c r="G139" s="21">
        <v>0</v>
      </c>
      <c r="H139" s="21">
        <v>0</v>
      </c>
      <c r="I139" s="43">
        <f t="shared" si="0"/>
        <v>0</v>
      </c>
      <c r="J139" s="20"/>
      <c r="K139" s="20"/>
      <c r="L139" s="20"/>
      <c r="M139" s="20"/>
      <c r="N139" s="20"/>
      <c r="O139" s="20"/>
      <c r="P139" s="20"/>
    </row>
    <row r="140" spans="1:16" ht="14.25" customHeight="1" x14ac:dyDescent="0.35">
      <c r="A140" s="30">
        <v>44662</v>
      </c>
      <c r="B140" s="92">
        <f>B137+7</f>
        <v>313</v>
      </c>
      <c r="C140" s="101" t="str">
        <f>$C$128</f>
        <v>3% FBS R3</v>
      </c>
      <c r="D140" s="91" t="s">
        <v>65</v>
      </c>
      <c r="E140" s="21">
        <v>32</v>
      </c>
      <c r="F140" s="21">
        <v>45</v>
      </c>
      <c r="G140" s="21">
        <v>32</v>
      </c>
      <c r="H140" s="21">
        <v>44</v>
      </c>
      <c r="I140" s="43">
        <f t="shared" si="0"/>
        <v>38.25</v>
      </c>
      <c r="J140" s="20">
        <f>I140*2*10000</f>
        <v>765000</v>
      </c>
      <c r="K140" s="20">
        <v>2750000</v>
      </c>
      <c r="L140" s="20">
        <f>J140*5</f>
        <v>3825000</v>
      </c>
      <c r="M140" s="22">
        <f>I140/(I140+I141)*100</f>
        <v>100</v>
      </c>
      <c r="N140" s="22">
        <f>I142/I140*100</f>
        <v>0.65359477124183007</v>
      </c>
      <c r="O140" s="23">
        <f>3.32*(LOG(L140)-LOG(K140))</f>
        <v>0.47575183558912149</v>
      </c>
      <c r="P140" s="23">
        <f>P137+O140</f>
        <v>26.93717364646534</v>
      </c>
    </row>
    <row r="141" spans="1:16" ht="14.25" customHeight="1" x14ac:dyDescent="0.35">
      <c r="A141" s="20"/>
      <c r="B141" s="92"/>
      <c r="C141" s="101"/>
      <c r="D141" s="92" t="s">
        <v>66</v>
      </c>
      <c r="E141" s="21">
        <v>0</v>
      </c>
      <c r="F141" s="21">
        <v>0</v>
      </c>
      <c r="G141" s="21">
        <v>0</v>
      </c>
      <c r="H141" s="21">
        <v>0</v>
      </c>
      <c r="I141" s="43">
        <f t="shared" si="0"/>
        <v>0</v>
      </c>
      <c r="J141" s="20"/>
      <c r="K141" s="20"/>
      <c r="L141" s="20"/>
      <c r="M141" s="20"/>
      <c r="N141" s="20"/>
      <c r="O141" s="20"/>
      <c r="P141" s="20"/>
    </row>
    <row r="142" spans="1:16" ht="14.25" customHeight="1" x14ac:dyDescent="0.35">
      <c r="A142" s="20"/>
      <c r="B142" s="92"/>
      <c r="C142" s="101"/>
      <c r="D142" s="92" t="s">
        <v>67</v>
      </c>
      <c r="E142" s="21">
        <v>1</v>
      </c>
      <c r="F142" s="21">
        <v>0</v>
      </c>
      <c r="G142" s="21">
        <v>0</v>
      </c>
      <c r="H142" s="21">
        <v>0</v>
      </c>
      <c r="I142" s="43">
        <f t="shared" si="0"/>
        <v>0.25</v>
      </c>
      <c r="J142" s="20"/>
      <c r="K142" s="20"/>
      <c r="L142" s="20"/>
      <c r="M142" s="20"/>
      <c r="N142" s="20"/>
      <c r="O142" s="20"/>
      <c r="P142" s="20"/>
    </row>
    <row r="143" spans="1:16" ht="14.25" customHeight="1" x14ac:dyDescent="0.35">
      <c r="A143" s="30">
        <v>44669</v>
      </c>
      <c r="B143" s="92">
        <f>B140+7</f>
        <v>320</v>
      </c>
      <c r="C143" s="101" t="str">
        <f>$C$128</f>
        <v>3% FBS R3</v>
      </c>
      <c r="D143" s="91" t="s">
        <v>65</v>
      </c>
      <c r="E143" s="21">
        <v>51</v>
      </c>
      <c r="F143" s="21">
        <v>62</v>
      </c>
      <c r="G143" s="21">
        <v>52</v>
      </c>
      <c r="H143" s="21">
        <v>69</v>
      </c>
      <c r="I143" s="43">
        <f t="shared" si="0"/>
        <v>58.5</v>
      </c>
      <c r="J143" s="20">
        <f>I143*2*10000</f>
        <v>1170000</v>
      </c>
      <c r="K143" s="20">
        <f>$K$128</f>
        <v>3000000</v>
      </c>
      <c r="L143" s="20">
        <f>J143*5</f>
        <v>5850000</v>
      </c>
      <c r="M143" s="22">
        <f>I143/(I143+I144)*100</f>
        <v>99.574468085106389</v>
      </c>
      <c r="N143" s="22">
        <f>I145/I143*100</f>
        <v>0</v>
      </c>
      <c r="O143" s="23">
        <f>3.32*(LOG(L143)-LOG(K143))</f>
        <v>0.96291490972356064</v>
      </c>
      <c r="P143" s="23">
        <f>P140+O143</f>
        <v>27.900088556188901</v>
      </c>
    </row>
    <row r="144" spans="1:16" ht="14.25" customHeight="1" x14ac:dyDescent="0.35">
      <c r="A144" s="20"/>
      <c r="B144" s="92"/>
      <c r="C144" s="101"/>
      <c r="D144" s="92" t="s">
        <v>66</v>
      </c>
      <c r="E144" s="21">
        <v>0</v>
      </c>
      <c r="F144" s="21">
        <v>1</v>
      </c>
      <c r="G144" s="21">
        <v>0</v>
      </c>
      <c r="H144" s="21">
        <v>0</v>
      </c>
      <c r="I144" s="43">
        <f t="shared" si="0"/>
        <v>0.25</v>
      </c>
      <c r="J144" s="20"/>
      <c r="K144" s="20"/>
      <c r="L144" s="20"/>
      <c r="M144" s="20"/>
      <c r="N144" s="20"/>
      <c r="O144" s="20"/>
      <c r="P144" s="20"/>
    </row>
    <row r="145" spans="1:16" ht="14.25" customHeight="1" x14ac:dyDescent="0.35">
      <c r="A145" s="20"/>
      <c r="B145" s="92"/>
      <c r="C145" s="101"/>
      <c r="D145" s="92" t="s">
        <v>67</v>
      </c>
      <c r="E145" s="21">
        <v>0</v>
      </c>
      <c r="F145" s="21">
        <v>0</v>
      </c>
      <c r="G145" s="21">
        <v>0</v>
      </c>
      <c r="H145" s="21">
        <v>0</v>
      </c>
      <c r="I145" s="43">
        <f t="shared" si="0"/>
        <v>0</v>
      </c>
      <c r="J145" s="20"/>
      <c r="K145" s="20"/>
      <c r="L145" s="20"/>
      <c r="M145" s="20"/>
      <c r="N145" s="20"/>
      <c r="O145" s="20"/>
      <c r="P145" s="20"/>
    </row>
    <row r="146" spans="1:16" ht="14.25" customHeight="1" x14ac:dyDescent="0.35">
      <c r="A146" s="30">
        <v>44676</v>
      </c>
      <c r="B146" s="92">
        <f>B143+7</f>
        <v>327</v>
      </c>
      <c r="C146" s="101" t="str">
        <f>$C$128</f>
        <v>3% FBS R3</v>
      </c>
      <c r="D146" s="91" t="s">
        <v>65</v>
      </c>
      <c r="E146" s="21">
        <v>62</v>
      </c>
      <c r="F146" s="21">
        <v>66</v>
      </c>
      <c r="G146" s="21">
        <v>59</v>
      </c>
      <c r="H146" s="21">
        <v>66</v>
      </c>
      <c r="I146" s="43">
        <f t="shared" si="0"/>
        <v>63.25</v>
      </c>
      <c r="J146" s="20">
        <f>I146*2*10000</f>
        <v>1265000</v>
      </c>
      <c r="K146" s="20">
        <f>$K$128</f>
        <v>3000000</v>
      </c>
      <c r="L146" s="20">
        <f>J146*5</f>
        <v>6325000</v>
      </c>
      <c r="M146" s="22">
        <f>I146/(I146+I147)*100</f>
        <v>97.307692307692307</v>
      </c>
      <c r="N146" s="22">
        <f>I148/I146*100</f>
        <v>0</v>
      </c>
      <c r="O146" s="23">
        <f>3.32*(LOG(L146)-LOG(K146))</f>
        <v>1.0754783934256018</v>
      </c>
      <c r="P146" s="23">
        <f>P143+O146</f>
        <v>28.975566949614503</v>
      </c>
    </row>
    <row r="147" spans="1:16" ht="14.25" customHeight="1" x14ac:dyDescent="0.35">
      <c r="A147" s="20"/>
      <c r="B147" s="92"/>
      <c r="C147" s="101"/>
      <c r="D147" s="92" t="s">
        <v>66</v>
      </c>
      <c r="E147" s="21">
        <v>3</v>
      </c>
      <c r="F147" s="21">
        <v>1</v>
      </c>
      <c r="G147" s="21">
        <v>2</v>
      </c>
      <c r="H147" s="21">
        <v>1</v>
      </c>
      <c r="I147" s="43">
        <f t="shared" si="0"/>
        <v>1.75</v>
      </c>
      <c r="J147" s="20"/>
      <c r="K147" s="20"/>
      <c r="L147" s="20"/>
      <c r="M147" s="20"/>
      <c r="N147" s="20"/>
      <c r="O147" s="20"/>
      <c r="P147" s="20"/>
    </row>
    <row r="148" spans="1:16" ht="14.25" customHeight="1" x14ac:dyDescent="0.35">
      <c r="A148" s="20"/>
      <c r="B148" s="92"/>
      <c r="C148" s="101"/>
      <c r="D148" s="92" t="s">
        <v>67</v>
      </c>
      <c r="E148" s="21">
        <v>0</v>
      </c>
      <c r="F148" s="21">
        <v>0</v>
      </c>
      <c r="G148" s="21">
        <v>0</v>
      </c>
      <c r="H148" s="21">
        <v>0</v>
      </c>
      <c r="I148" s="43">
        <f t="shared" si="0"/>
        <v>0</v>
      </c>
      <c r="J148" s="20"/>
      <c r="K148" s="20"/>
      <c r="L148" s="20"/>
      <c r="M148" s="20"/>
      <c r="N148" s="20"/>
      <c r="O148" s="20"/>
      <c r="P148" s="20"/>
    </row>
    <row r="149" spans="1:16" ht="14.25" customHeight="1" x14ac:dyDescent="0.35">
      <c r="A149" s="30">
        <v>44683</v>
      </c>
      <c r="B149" s="92">
        <f>B146+7</f>
        <v>334</v>
      </c>
      <c r="C149" s="101" t="str">
        <f>$C$128</f>
        <v>3% FBS R3</v>
      </c>
      <c r="D149" s="91" t="s">
        <v>65</v>
      </c>
      <c r="E149" s="21">
        <v>82</v>
      </c>
      <c r="F149" s="21">
        <v>66</v>
      </c>
      <c r="G149" s="21">
        <v>80</v>
      </c>
      <c r="H149" s="21">
        <v>88</v>
      </c>
      <c r="I149" s="43">
        <f t="shared" si="0"/>
        <v>79</v>
      </c>
      <c r="J149" s="20">
        <f>I149*2*10000</f>
        <v>1580000</v>
      </c>
      <c r="K149" s="20">
        <f>$K$128</f>
        <v>3000000</v>
      </c>
      <c r="L149" s="20">
        <f>J149*5</f>
        <v>7900000</v>
      </c>
      <c r="M149" s="22">
        <f>I149/(I149+I150)*100</f>
        <v>98.75</v>
      </c>
      <c r="N149" s="22">
        <f>I151/I149*100</f>
        <v>0</v>
      </c>
      <c r="O149" s="23">
        <f>3.32*(LOG(L149)-LOG(K149))</f>
        <v>1.3960793774149869</v>
      </c>
      <c r="P149" s="23">
        <f>P146+O149</f>
        <v>30.371646327029492</v>
      </c>
    </row>
    <row r="150" spans="1:16" ht="14.25" customHeight="1" x14ac:dyDescent="0.35">
      <c r="A150" s="20"/>
      <c r="B150" s="92"/>
      <c r="C150" s="101"/>
      <c r="D150" s="92" t="s">
        <v>66</v>
      </c>
      <c r="E150" s="21">
        <v>2</v>
      </c>
      <c r="F150" s="21">
        <v>0</v>
      </c>
      <c r="G150" s="21">
        <v>1</v>
      </c>
      <c r="H150" s="21">
        <v>1</v>
      </c>
      <c r="I150" s="43">
        <f t="shared" si="0"/>
        <v>1</v>
      </c>
      <c r="J150" s="20"/>
      <c r="K150" s="20"/>
      <c r="L150" s="20"/>
      <c r="M150" s="20"/>
      <c r="N150" s="20"/>
      <c r="O150" s="20"/>
      <c r="P150" s="20"/>
    </row>
    <row r="151" spans="1:16" ht="14.25" customHeight="1" x14ac:dyDescent="0.35">
      <c r="A151" s="20"/>
      <c r="B151" s="92"/>
      <c r="C151" s="101"/>
      <c r="D151" s="92" t="s">
        <v>67</v>
      </c>
      <c r="E151" s="21">
        <v>0</v>
      </c>
      <c r="F151" s="21">
        <v>0</v>
      </c>
      <c r="G151" s="21">
        <v>0</v>
      </c>
      <c r="H151" s="21">
        <v>0</v>
      </c>
      <c r="I151" s="43">
        <f t="shared" si="0"/>
        <v>0</v>
      </c>
      <c r="J151" s="20"/>
      <c r="K151" s="20"/>
      <c r="L151" s="20"/>
      <c r="M151" s="20"/>
      <c r="N151" s="20"/>
      <c r="O151" s="20"/>
      <c r="P151" s="20"/>
    </row>
    <row r="152" spans="1:16" ht="14.25" customHeight="1" x14ac:dyDescent="0.35">
      <c r="A152" s="30">
        <v>44692</v>
      </c>
      <c r="B152" s="92">
        <f>B149+9</f>
        <v>343</v>
      </c>
      <c r="C152" s="101" t="str">
        <f>$C$128</f>
        <v>3% FBS R3</v>
      </c>
      <c r="D152" s="91" t="s">
        <v>65</v>
      </c>
      <c r="E152" s="21">
        <v>230</v>
      </c>
      <c r="F152" s="21">
        <v>225</v>
      </c>
      <c r="G152" s="21">
        <v>237</v>
      </c>
      <c r="H152" s="21">
        <v>253</v>
      </c>
      <c r="I152" s="43">
        <f t="shared" si="0"/>
        <v>236.25</v>
      </c>
      <c r="J152" s="20">
        <f>I152*2*10000</f>
        <v>4725000</v>
      </c>
      <c r="K152" s="20">
        <f>$K$128</f>
        <v>3000000</v>
      </c>
      <c r="L152" s="20">
        <f>J152*5</f>
        <v>23625000</v>
      </c>
      <c r="M152" s="22">
        <f>I152/(I152+I153)*100</f>
        <v>98.84937238493724</v>
      </c>
      <c r="N152" s="22">
        <f>I154/I152*100</f>
        <v>0</v>
      </c>
      <c r="O152" s="23">
        <f>3.32*(LOG(L152)-LOG(K152))</f>
        <v>2.9755518673726393</v>
      </c>
      <c r="P152" s="23">
        <f>P149+O152</f>
        <v>33.347198194402132</v>
      </c>
    </row>
    <row r="153" spans="1:16" ht="14.25" customHeight="1" x14ac:dyDescent="0.35">
      <c r="A153" s="20"/>
      <c r="B153" s="92"/>
      <c r="C153" s="101"/>
      <c r="D153" s="92" t="s">
        <v>66</v>
      </c>
      <c r="E153" s="21">
        <v>2</v>
      </c>
      <c r="F153" s="21">
        <v>1</v>
      </c>
      <c r="G153" s="21">
        <v>8</v>
      </c>
      <c r="H153" s="21">
        <v>0</v>
      </c>
      <c r="I153" s="43">
        <f t="shared" si="0"/>
        <v>2.75</v>
      </c>
      <c r="J153" s="20"/>
      <c r="K153" s="20"/>
      <c r="L153" s="20"/>
      <c r="M153" s="20"/>
      <c r="N153" s="20"/>
      <c r="O153" s="20"/>
      <c r="P153" s="20"/>
    </row>
    <row r="154" spans="1:16" ht="14.25" customHeight="1" x14ac:dyDescent="0.35">
      <c r="A154" s="20"/>
      <c r="B154" s="92"/>
      <c r="C154" s="101"/>
      <c r="D154" s="92" t="s">
        <v>67</v>
      </c>
      <c r="E154" s="21">
        <v>0</v>
      </c>
      <c r="F154" s="21">
        <v>0</v>
      </c>
      <c r="G154" s="21">
        <v>0</v>
      </c>
      <c r="H154" s="21">
        <v>0</v>
      </c>
      <c r="I154" s="43">
        <f t="shared" si="0"/>
        <v>0</v>
      </c>
      <c r="J154" s="20"/>
      <c r="K154" s="20"/>
      <c r="L154" s="20"/>
      <c r="M154" s="20"/>
      <c r="N154" s="20"/>
      <c r="O154" s="20"/>
      <c r="P154" s="20"/>
    </row>
    <row r="155" spans="1:16" ht="14.25" customHeight="1" x14ac:dyDescent="0.35">
      <c r="A155" s="30">
        <v>44697</v>
      </c>
      <c r="B155" s="92">
        <f>B152+5</f>
        <v>348</v>
      </c>
      <c r="C155" s="101" t="str">
        <f>$C$128</f>
        <v>3% FBS R3</v>
      </c>
      <c r="D155" s="91" t="s">
        <v>65</v>
      </c>
      <c r="E155" s="21">
        <v>46</v>
      </c>
      <c r="F155" s="21">
        <v>74</v>
      </c>
      <c r="G155" s="21">
        <v>70</v>
      </c>
      <c r="H155" s="21">
        <v>70</v>
      </c>
      <c r="I155" s="43">
        <f t="shared" si="0"/>
        <v>65</v>
      </c>
      <c r="J155" s="20">
        <f>I155*2*10000</f>
        <v>1300000</v>
      </c>
      <c r="K155" s="20">
        <f>$K$128</f>
        <v>3000000</v>
      </c>
      <c r="L155" s="20">
        <f>J155*5</f>
        <v>6500000</v>
      </c>
      <c r="M155" s="22">
        <f>I155/(I155+I156)*100</f>
        <v>99.616858237547888</v>
      </c>
      <c r="N155" s="22">
        <f>I157/I155*100</f>
        <v>0</v>
      </c>
      <c r="O155" s="23">
        <f>3.32*(LOG(L155)-LOG(K155))</f>
        <v>1.114829778385001</v>
      </c>
      <c r="P155" s="23">
        <f>P152+O155</f>
        <v>34.462027972787133</v>
      </c>
    </row>
    <row r="156" spans="1:16" ht="14.25" customHeight="1" x14ac:dyDescent="0.35">
      <c r="A156" s="20"/>
      <c r="B156" s="92"/>
      <c r="C156" s="101"/>
      <c r="D156" s="92" t="s">
        <v>66</v>
      </c>
      <c r="E156" s="21">
        <v>0</v>
      </c>
      <c r="F156" s="21">
        <v>1</v>
      </c>
      <c r="G156" s="21">
        <v>0</v>
      </c>
      <c r="H156" s="21">
        <v>0</v>
      </c>
      <c r="I156" s="43">
        <f t="shared" si="0"/>
        <v>0.25</v>
      </c>
      <c r="J156" s="20"/>
      <c r="K156" s="20"/>
      <c r="L156" s="20"/>
      <c r="M156" s="20"/>
      <c r="N156" s="20"/>
      <c r="O156" s="20"/>
      <c r="P156" s="20"/>
    </row>
    <row r="157" spans="1:16" ht="14.25" customHeight="1" x14ac:dyDescent="0.35">
      <c r="A157" s="20"/>
      <c r="B157" s="92"/>
      <c r="C157" s="101"/>
      <c r="D157" s="92" t="s">
        <v>67</v>
      </c>
      <c r="E157" s="21">
        <v>0</v>
      </c>
      <c r="F157" s="21">
        <v>0</v>
      </c>
      <c r="G157" s="21">
        <v>0</v>
      </c>
      <c r="H157" s="21">
        <v>0</v>
      </c>
      <c r="I157" s="43">
        <f t="shared" si="0"/>
        <v>0</v>
      </c>
      <c r="J157" s="20"/>
      <c r="K157" s="20"/>
      <c r="L157" s="20"/>
      <c r="M157" s="20"/>
      <c r="N157" s="20"/>
      <c r="O157" s="20"/>
      <c r="P157" s="20"/>
    </row>
    <row r="158" spans="1:16" ht="14.25" customHeight="1" x14ac:dyDescent="0.35">
      <c r="A158" s="30">
        <v>44704</v>
      </c>
      <c r="B158" s="92">
        <f>B155+7</f>
        <v>355</v>
      </c>
      <c r="C158" s="101" t="str">
        <f>$C$128</f>
        <v>3% FBS R3</v>
      </c>
      <c r="D158" s="91" t="s">
        <v>65</v>
      </c>
      <c r="E158" s="21">
        <v>162</v>
      </c>
      <c r="F158" s="21">
        <v>156</v>
      </c>
      <c r="G158" s="21">
        <v>165</v>
      </c>
      <c r="H158" s="21">
        <v>186</v>
      </c>
      <c r="I158" s="43">
        <f t="shared" si="0"/>
        <v>167.25</v>
      </c>
      <c r="J158" s="20">
        <f>I158*2*10000</f>
        <v>3345000</v>
      </c>
      <c r="K158" s="20">
        <f>$K$128</f>
        <v>3000000</v>
      </c>
      <c r="L158" s="20">
        <f>J158*5</f>
        <v>16725000</v>
      </c>
      <c r="M158" s="22">
        <f>I158/(I158+I159)*100</f>
        <v>99.553571428571431</v>
      </c>
      <c r="N158" s="22">
        <f>I160/I158*100</f>
        <v>0.14947683109118087</v>
      </c>
      <c r="O158" s="23">
        <f>3.32*(LOG(L158)-LOG(K158))</f>
        <v>2.4775329741110577</v>
      </c>
      <c r="P158" s="23">
        <f>P155+O158</f>
        <v>36.93956094689819</v>
      </c>
    </row>
    <row r="159" spans="1:16" ht="14.25" customHeight="1" x14ac:dyDescent="0.35">
      <c r="A159" s="20"/>
      <c r="B159" s="92"/>
      <c r="C159" s="101"/>
      <c r="D159" s="92" t="s">
        <v>66</v>
      </c>
      <c r="E159" s="21">
        <v>0</v>
      </c>
      <c r="F159" s="21">
        <v>3</v>
      </c>
      <c r="G159" s="21">
        <v>0</v>
      </c>
      <c r="H159" s="21">
        <v>0</v>
      </c>
      <c r="I159" s="43">
        <f t="shared" si="0"/>
        <v>0.75</v>
      </c>
      <c r="J159" s="20"/>
      <c r="K159" s="20"/>
      <c r="L159" s="20"/>
      <c r="M159" s="20"/>
      <c r="N159" s="20"/>
      <c r="O159" s="20"/>
      <c r="P159" s="20"/>
    </row>
    <row r="160" spans="1:16" ht="14.25" customHeight="1" x14ac:dyDescent="0.35">
      <c r="A160" s="20"/>
      <c r="B160" s="92"/>
      <c r="C160" s="101"/>
      <c r="D160" s="92" t="s">
        <v>67</v>
      </c>
      <c r="E160" s="21">
        <v>0</v>
      </c>
      <c r="F160" s="21">
        <v>0</v>
      </c>
      <c r="G160" s="21">
        <v>1</v>
      </c>
      <c r="H160" s="21">
        <v>0</v>
      </c>
      <c r="I160" s="43">
        <f t="shared" si="0"/>
        <v>0.25</v>
      </c>
      <c r="J160" s="20"/>
      <c r="K160" s="20"/>
      <c r="L160" s="20"/>
      <c r="M160" s="20"/>
      <c r="N160" s="20"/>
      <c r="O160" s="20"/>
      <c r="P160" s="20"/>
    </row>
    <row r="161" spans="1:16" ht="14.25" customHeight="1" x14ac:dyDescent="0.35">
      <c r="A161" s="30">
        <v>44712</v>
      </c>
      <c r="B161" s="92">
        <f>B158+8</f>
        <v>363</v>
      </c>
      <c r="C161" s="101" t="str">
        <f>$C$128</f>
        <v>3% FBS R3</v>
      </c>
      <c r="D161" s="91" t="s">
        <v>65</v>
      </c>
      <c r="E161" s="21">
        <v>190</v>
      </c>
      <c r="F161" s="21">
        <v>184</v>
      </c>
      <c r="G161" s="21">
        <v>200</v>
      </c>
      <c r="H161" s="21">
        <v>190</v>
      </c>
      <c r="I161" s="43">
        <f t="shared" si="0"/>
        <v>191</v>
      </c>
      <c r="J161" s="20">
        <f>I161*2*10000</f>
        <v>3820000</v>
      </c>
      <c r="K161" s="20">
        <f>$K$128</f>
        <v>3000000</v>
      </c>
      <c r="L161" s="20">
        <f>J161*5</f>
        <v>19100000</v>
      </c>
      <c r="M161" s="22">
        <f>I161/(I161+I162)*100</f>
        <v>99.092088197146566</v>
      </c>
      <c r="N161" s="22">
        <f>I163/I161*100</f>
        <v>0</v>
      </c>
      <c r="O161" s="23">
        <f>3.32*(LOG(L161)-LOG(K161))</f>
        <v>2.6689882135931744</v>
      </c>
      <c r="P161" s="23">
        <f>P158+O161</f>
        <v>39.608549160491364</v>
      </c>
    </row>
    <row r="162" spans="1:16" ht="14.25" customHeight="1" x14ac:dyDescent="0.35">
      <c r="A162" s="20"/>
      <c r="B162" s="92"/>
      <c r="C162" s="101"/>
      <c r="D162" s="92" t="s">
        <v>66</v>
      </c>
      <c r="E162" s="21">
        <v>2</v>
      </c>
      <c r="F162" s="21">
        <v>1</v>
      </c>
      <c r="G162" s="21">
        <v>3</v>
      </c>
      <c r="H162" s="21">
        <v>1</v>
      </c>
      <c r="I162" s="43">
        <f t="shared" si="0"/>
        <v>1.75</v>
      </c>
      <c r="J162" s="20"/>
      <c r="K162" s="20"/>
      <c r="L162" s="20"/>
      <c r="M162" s="20"/>
      <c r="N162" s="20"/>
      <c r="O162" s="20"/>
      <c r="P162" s="20"/>
    </row>
    <row r="163" spans="1:16" ht="14.25" customHeight="1" x14ac:dyDescent="0.35">
      <c r="A163" s="20"/>
      <c r="B163" s="92"/>
      <c r="C163" s="101"/>
      <c r="D163" s="92" t="s">
        <v>67</v>
      </c>
      <c r="E163" s="21">
        <v>0</v>
      </c>
      <c r="F163" s="21">
        <v>0</v>
      </c>
      <c r="G163" s="21">
        <v>0</v>
      </c>
      <c r="H163" s="21">
        <v>0</v>
      </c>
      <c r="I163" s="43">
        <f t="shared" si="0"/>
        <v>0</v>
      </c>
      <c r="J163" s="20"/>
      <c r="K163" s="20"/>
      <c r="L163" s="20"/>
      <c r="M163" s="20"/>
      <c r="N163" s="20"/>
      <c r="O163" s="20"/>
      <c r="P163" s="20"/>
    </row>
    <row r="164" spans="1:16" ht="14.25" customHeight="1" x14ac:dyDescent="0.35">
      <c r="A164" s="30">
        <v>44718</v>
      </c>
      <c r="B164" s="92">
        <f>B161+6</f>
        <v>369</v>
      </c>
      <c r="C164" s="101" t="str">
        <f>$C$128</f>
        <v>3% FBS R3</v>
      </c>
      <c r="D164" s="91" t="s">
        <v>65</v>
      </c>
      <c r="E164" s="21">
        <v>36</v>
      </c>
      <c r="F164" s="21">
        <v>38</v>
      </c>
      <c r="G164" s="21">
        <v>40</v>
      </c>
      <c r="H164" s="21">
        <v>35</v>
      </c>
      <c r="I164" s="43">
        <f t="shared" si="0"/>
        <v>37.25</v>
      </c>
      <c r="J164" s="20">
        <f>I164*2*10000</f>
        <v>745000</v>
      </c>
      <c r="K164" s="20">
        <f>$K$128</f>
        <v>3000000</v>
      </c>
      <c r="L164" s="20">
        <f>J164*5</f>
        <v>3725000</v>
      </c>
      <c r="M164" s="22">
        <f>I164/(I164+I165)*100</f>
        <v>100</v>
      </c>
      <c r="N164" s="22">
        <f>I166/I164*100</f>
        <v>0.67114093959731547</v>
      </c>
      <c r="O164" s="23">
        <f>3.32*(LOG(L164)-LOG(K164))</f>
        <v>0.31209667425063436</v>
      </c>
      <c r="P164" s="23">
        <f>P161+O164</f>
        <v>39.920645834741997</v>
      </c>
    </row>
    <row r="165" spans="1:16" ht="14.25" customHeight="1" x14ac:dyDescent="0.35">
      <c r="A165" s="20"/>
      <c r="B165" s="92"/>
      <c r="C165" s="101"/>
      <c r="D165" s="92" t="s">
        <v>66</v>
      </c>
      <c r="E165" s="21">
        <v>0</v>
      </c>
      <c r="F165" s="21">
        <v>0</v>
      </c>
      <c r="G165" s="21">
        <v>0</v>
      </c>
      <c r="H165" s="21">
        <v>0</v>
      </c>
      <c r="I165" s="43">
        <f t="shared" si="0"/>
        <v>0</v>
      </c>
      <c r="J165" s="20"/>
      <c r="K165" s="20"/>
      <c r="L165" s="20"/>
      <c r="M165" s="20"/>
      <c r="N165" s="20"/>
      <c r="O165" s="20"/>
      <c r="P165" s="20"/>
    </row>
    <row r="166" spans="1:16" ht="14.25" customHeight="1" x14ac:dyDescent="0.35">
      <c r="A166" s="20"/>
      <c r="B166" s="92"/>
      <c r="C166" s="101"/>
      <c r="D166" s="92" t="s">
        <v>67</v>
      </c>
      <c r="E166" s="21">
        <v>0</v>
      </c>
      <c r="F166" s="21">
        <v>0</v>
      </c>
      <c r="G166" s="21">
        <v>1</v>
      </c>
      <c r="H166" s="21">
        <v>0</v>
      </c>
      <c r="I166" s="43">
        <f t="shared" si="0"/>
        <v>0.25</v>
      </c>
      <c r="J166" s="20"/>
      <c r="K166" s="20"/>
      <c r="L166" s="20"/>
      <c r="M166" s="20"/>
      <c r="N166" s="20"/>
      <c r="O166" s="20"/>
      <c r="P166" s="20"/>
    </row>
    <row r="167" spans="1:16" ht="14.25" customHeight="1" x14ac:dyDescent="0.35">
      <c r="A167" s="30">
        <v>44725</v>
      </c>
      <c r="B167" s="92">
        <f>B164+7</f>
        <v>376</v>
      </c>
      <c r="C167" s="101" t="str">
        <f>$C$128</f>
        <v>3% FBS R3</v>
      </c>
      <c r="D167" s="91" t="s">
        <v>65</v>
      </c>
      <c r="E167" s="21">
        <v>234</v>
      </c>
      <c r="F167" s="21">
        <v>258</v>
      </c>
      <c r="G167" s="21">
        <v>258</v>
      </c>
      <c r="H167" s="21">
        <v>235</v>
      </c>
      <c r="I167" s="43">
        <f t="shared" si="0"/>
        <v>246.25</v>
      </c>
      <c r="J167" s="20">
        <f>I167*2*10000</f>
        <v>4925000</v>
      </c>
      <c r="K167" s="20">
        <f>$K$128</f>
        <v>3000000</v>
      </c>
      <c r="L167" s="20">
        <f>J167*5</f>
        <v>24625000</v>
      </c>
      <c r="M167" s="22">
        <f>I167/(I167+I168)*100</f>
        <v>99.494949494949495</v>
      </c>
      <c r="N167" s="22">
        <f>I169/I167*100</f>
        <v>0</v>
      </c>
      <c r="O167" s="23">
        <f>3.32*(LOG(L167)-LOG(K167))</f>
        <v>3.0353265483739564</v>
      </c>
      <c r="P167" s="23">
        <f>P164+O167</f>
        <v>42.955972383115956</v>
      </c>
    </row>
    <row r="168" spans="1:16" ht="14.25" customHeight="1" x14ac:dyDescent="0.35">
      <c r="A168" s="20"/>
      <c r="B168" s="92"/>
      <c r="C168" s="101"/>
      <c r="D168" s="92" t="s">
        <v>66</v>
      </c>
      <c r="E168" s="21">
        <v>0</v>
      </c>
      <c r="F168" s="21">
        <v>2</v>
      </c>
      <c r="G168" s="21">
        <v>3</v>
      </c>
      <c r="H168" s="21">
        <v>0</v>
      </c>
      <c r="I168" s="43">
        <f t="shared" si="0"/>
        <v>1.25</v>
      </c>
      <c r="J168" s="20"/>
      <c r="K168" s="20"/>
      <c r="L168" s="20"/>
      <c r="M168" s="20"/>
      <c r="N168" s="20"/>
      <c r="O168" s="20"/>
      <c r="P168" s="20"/>
    </row>
    <row r="169" spans="1:16" ht="14.25" customHeight="1" x14ac:dyDescent="0.35">
      <c r="A169" s="20"/>
      <c r="B169" s="92"/>
      <c r="C169" s="101"/>
      <c r="D169" s="92" t="s">
        <v>67</v>
      </c>
      <c r="E169" s="21">
        <v>0</v>
      </c>
      <c r="F169" s="21">
        <v>0</v>
      </c>
      <c r="G169" s="21">
        <v>0</v>
      </c>
      <c r="H169" s="21">
        <v>0</v>
      </c>
      <c r="I169" s="43">
        <f t="shared" si="0"/>
        <v>0</v>
      </c>
      <c r="J169" s="20"/>
      <c r="K169" s="20"/>
      <c r="L169" s="20"/>
      <c r="M169" s="20"/>
      <c r="N169" s="20"/>
      <c r="O169" s="20"/>
      <c r="P169" s="20"/>
    </row>
    <row r="170" spans="1:16" ht="14.25" customHeight="1" x14ac:dyDescent="0.35">
      <c r="A170" s="30">
        <v>44732</v>
      </c>
      <c r="B170" s="92">
        <f>B167+7</f>
        <v>383</v>
      </c>
      <c r="C170" s="101" t="str">
        <f>$C$128</f>
        <v>3% FBS R3</v>
      </c>
      <c r="D170" s="91" t="s">
        <v>65</v>
      </c>
      <c r="E170" s="21">
        <v>30</v>
      </c>
      <c r="F170" s="21">
        <v>40</v>
      </c>
      <c r="G170" s="21">
        <v>29</v>
      </c>
      <c r="H170" s="21">
        <v>42</v>
      </c>
      <c r="I170" s="43">
        <f t="shared" si="0"/>
        <v>35.25</v>
      </c>
      <c r="J170" s="20">
        <f>I170*2*10000</f>
        <v>705000</v>
      </c>
      <c r="K170" s="20">
        <f>$K$128</f>
        <v>3000000</v>
      </c>
      <c r="L170" s="20">
        <f>J170*5</f>
        <v>3525000</v>
      </c>
      <c r="M170" s="22">
        <f>I170/(I170+I171)*100</f>
        <v>99.295774647887328</v>
      </c>
      <c r="N170" s="22">
        <f>I172/I170*100</f>
        <v>0</v>
      </c>
      <c r="O170" s="23">
        <f>3.32*(LOG(L170)-LOG(K170))</f>
        <v>0.23252571713774517</v>
      </c>
      <c r="P170" s="23">
        <f>P167+O170</f>
        <v>43.188498100253703</v>
      </c>
    </row>
    <row r="171" spans="1:16" ht="14.25" customHeight="1" x14ac:dyDescent="0.35">
      <c r="A171" s="20"/>
      <c r="B171" s="92"/>
      <c r="C171" s="101"/>
      <c r="D171" s="92" t="s">
        <v>66</v>
      </c>
      <c r="E171" s="21">
        <v>0</v>
      </c>
      <c r="F171" s="21">
        <v>0</v>
      </c>
      <c r="G171" s="21">
        <v>1</v>
      </c>
      <c r="H171" s="21">
        <v>0</v>
      </c>
      <c r="I171" s="43">
        <f t="shared" si="0"/>
        <v>0.25</v>
      </c>
      <c r="J171" s="20"/>
      <c r="K171" s="20"/>
      <c r="L171" s="20"/>
      <c r="M171" s="20"/>
      <c r="N171" s="20"/>
      <c r="O171" s="20"/>
      <c r="P171" s="20"/>
    </row>
    <row r="172" spans="1:16" ht="14.25" customHeight="1" x14ac:dyDescent="0.35">
      <c r="A172" s="20"/>
      <c r="B172" s="92"/>
      <c r="C172" s="101"/>
      <c r="D172" s="92" t="s">
        <v>67</v>
      </c>
      <c r="E172" s="21">
        <v>0</v>
      </c>
      <c r="F172" s="21">
        <v>0</v>
      </c>
      <c r="G172" s="21">
        <v>0</v>
      </c>
      <c r="H172" s="21">
        <v>0</v>
      </c>
      <c r="I172" s="43">
        <f t="shared" si="0"/>
        <v>0</v>
      </c>
      <c r="J172" s="20"/>
      <c r="K172" s="20"/>
      <c r="L172" s="20"/>
      <c r="M172" s="20"/>
      <c r="N172" s="20"/>
      <c r="O172" s="20"/>
      <c r="P172" s="20"/>
    </row>
    <row r="173" spans="1:16" ht="14.25" customHeight="1" x14ac:dyDescent="0.35">
      <c r="A173" s="30">
        <v>44740</v>
      </c>
      <c r="B173" s="92">
        <f>B170+7</f>
        <v>390</v>
      </c>
      <c r="C173" s="101" t="str">
        <f>$C$128</f>
        <v>3% FBS R3</v>
      </c>
      <c r="D173" s="91" t="s">
        <v>65</v>
      </c>
      <c r="E173" s="21">
        <v>88</v>
      </c>
      <c r="F173" s="21">
        <v>86</v>
      </c>
      <c r="G173" s="21">
        <v>91</v>
      </c>
      <c r="H173" s="21">
        <v>82</v>
      </c>
      <c r="I173" s="43">
        <f t="shared" si="0"/>
        <v>86.75</v>
      </c>
      <c r="J173" s="20">
        <f>I173*2*10000</f>
        <v>1735000</v>
      </c>
      <c r="K173" s="20">
        <f>$K$128</f>
        <v>3000000</v>
      </c>
      <c r="L173" s="20">
        <f>J173*5</f>
        <v>8675000</v>
      </c>
      <c r="M173" s="22">
        <f>I173/(I173+I174)*100</f>
        <v>99.712643678160916</v>
      </c>
      <c r="N173" s="22">
        <f>I175/I173*100</f>
        <v>0</v>
      </c>
      <c r="O173" s="23">
        <f>3.32*(LOG(L173)-LOG(K173))</f>
        <v>1.5310121194275863</v>
      </c>
      <c r="P173" s="23">
        <f>P170+O173</f>
        <v>44.71951021968129</v>
      </c>
    </row>
    <row r="174" spans="1:16" ht="14.25" customHeight="1" x14ac:dyDescent="0.35">
      <c r="A174" s="20"/>
      <c r="B174" s="92"/>
      <c r="C174" s="101"/>
      <c r="D174" s="92" t="s">
        <v>66</v>
      </c>
      <c r="E174" s="21">
        <v>1</v>
      </c>
      <c r="F174" s="21">
        <v>0</v>
      </c>
      <c r="G174" s="21">
        <v>0</v>
      </c>
      <c r="H174" s="21">
        <v>0</v>
      </c>
      <c r="I174" s="43">
        <f t="shared" si="0"/>
        <v>0.25</v>
      </c>
      <c r="J174" s="20"/>
      <c r="K174" s="20"/>
      <c r="L174" s="20"/>
      <c r="M174" s="20"/>
      <c r="N174" s="20"/>
      <c r="O174" s="20"/>
      <c r="P174" s="20"/>
    </row>
    <row r="175" spans="1:16" ht="14.25" customHeight="1" x14ac:dyDescent="0.35">
      <c r="A175" s="20"/>
      <c r="B175" s="92"/>
      <c r="C175" s="101"/>
      <c r="D175" s="92" t="s">
        <v>67</v>
      </c>
      <c r="E175" s="21">
        <v>0</v>
      </c>
      <c r="F175" s="21">
        <v>0</v>
      </c>
      <c r="G175" s="21">
        <v>0</v>
      </c>
      <c r="H175" s="21">
        <v>0</v>
      </c>
      <c r="I175" s="43">
        <f t="shared" si="0"/>
        <v>0</v>
      </c>
      <c r="J175" s="20"/>
      <c r="K175" s="20"/>
      <c r="L175" s="20"/>
      <c r="M175" s="20"/>
      <c r="N175" s="20"/>
      <c r="O175" s="20"/>
      <c r="P175" s="20"/>
    </row>
    <row r="176" spans="1:16" ht="14.25" customHeight="1" x14ac:dyDescent="0.35">
      <c r="A176" s="30">
        <v>44747</v>
      </c>
      <c r="B176" s="92">
        <f>B173+8</f>
        <v>398</v>
      </c>
      <c r="C176" s="101" t="str">
        <f>$C$128</f>
        <v>3% FBS R3</v>
      </c>
      <c r="D176" s="91" t="s">
        <v>65</v>
      </c>
      <c r="E176" s="21">
        <v>277</v>
      </c>
      <c r="F176" s="21">
        <v>307</v>
      </c>
      <c r="G176" s="21">
        <v>404</v>
      </c>
      <c r="H176" s="21">
        <v>394</v>
      </c>
      <c r="I176" s="43">
        <f t="shared" si="0"/>
        <v>345.5</v>
      </c>
      <c r="J176" s="20">
        <f>I176*2*10000</f>
        <v>6910000</v>
      </c>
      <c r="K176" s="20">
        <f>$K$128</f>
        <v>3000000</v>
      </c>
      <c r="L176" s="20">
        <f>J176*5</f>
        <v>34550000</v>
      </c>
      <c r="M176" s="22">
        <f>I176/(I176+I177)*100</f>
        <v>99.567723342939487</v>
      </c>
      <c r="N176" s="22">
        <f>I178/I176*100</f>
        <v>0</v>
      </c>
      <c r="O176" s="23">
        <f>3.32*(LOG(L176)-LOG(K176))</f>
        <v>3.5236049660086413</v>
      </c>
      <c r="P176" s="23">
        <f>P173+O176</f>
        <v>48.243115185689931</v>
      </c>
    </row>
    <row r="177" spans="1:16" ht="14.25" customHeight="1" x14ac:dyDescent="0.35">
      <c r="A177" s="20"/>
      <c r="B177" s="92"/>
      <c r="C177" s="101"/>
      <c r="D177" s="92" t="s">
        <v>66</v>
      </c>
      <c r="E177" s="21">
        <v>1</v>
      </c>
      <c r="F177" s="21">
        <v>3</v>
      </c>
      <c r="G177" s="21">
        <v>2</v>
      </c>
      <c r="H177" s="21">
        <v>0</v>
      </c>
      <c r="I177" s="43">
        <f t="shared" si="0"/>
        <v>1.5</v>
      </c>
      <c r="J177" s="20"/>
      <c r="K177" s="20"/>
      <c r="L177" s="20"/>
      <c r="M177" s="20"/>
      <c r="N177" s="20"/>
      <c r="O177" s="20"/>
      <c r="P177" s="20"/>
    </row>
    <row r="178" spans="1:16" ht="14.25" customHeight="1" x14ac:dyDescent="0.35">
      <c r="A178" s="20"/>
      <c r="B178" s="92"/>
      <c r="C178" s="101"/>
      <c r="D178" s="92" t="s">
        <v>67</v>
      </c>
      <c r="E178" s="21">
        <v>0</v>
      </c>
      <c r="F178" s="21">
        <v>0</v>
      </c>
      <c r="G178" s="21">
        <v>0</v>
      </c>
      <c r="H178" s="21">
        <v>0</v>
      </c>
      <c r="I178" s="43">
        <f t="shared" si="0"/>
        <v>0</v>
      </c>
      <c r="J178" s="20"/>
      <c r="K178" s="20"/>
      <c r="L178" s="20"/>
      <c r="M178" s="20"/>
      <c r="N178" s="20"/>
      <c r="O178" s="20"/>
      <c r="P178" s="20"/>
    </row>
    <row r="179" spans="1:16" ht="14.25" customHeight="1" x14ac:dyDescent="0.35">
      <c r="A179" s="30">
        <v>44753</v>
      </c>
      <c r="B179" s="92">
        <f>B176+6</f>
        <v>404</v>
      </c>
      <c r="C179" s="101" t="str">
        <f>$C$128</f>
        <v>3% FBS R3</v>
      </c>
      <c r="D179" s="91" t="s">
        <v>65</v>
      </c>
      <c r="E179" s="21">
        <v>52</v>
      </c>
      <c r="F179" s="21">
        <v>28</v>
      </c>
      <c r="G179" s="21">
        <v>29</v>
      </c>
      <c r="H179" s="21">
        <v>162</v>
      </c>
      <c r="I179" s="43">
        <f t="shared" si="0"/>
        <v>67.75</v>
      </c>
      <c r="J179" s="20">
        <f>I179*2*10000</f>
        <v>1355000</v>
      </c>
      <c r="K179" s="20">
        <f>$K$128</f>
        <v>3000000</v>
      </c>
      <c r="L179" s="20">
        <f>J179*5</f>
        <v>6775000</v>
      </c>
      <c r="M179" s="22">
        <f>I179/(I179+I180)*100</f>
        <v>90.939597315436231</v>
      </c>
      <c r="N179" s="22">
        <f>I181/I179*100</f>
        <v>0</v>
      </c>
      <c r="O179" s="23">
        <f>3.32*(LOG(L179)-LOG(K179))</f>
        <v>1.1745763088249135</v>
      </c>
      <c r="P179" s="23">
        <f>P176+O179</f>
        <v>49.417691494514841</v>
      </c>
    </row>
    <row r="180" spans="1:16" ht="14.25" customHeight="1" x14ac:dyDescent="0.35">
      <c r="A180" s="20"/>
      <c r="B180" s="92"/>
      <c r="C180" s="101"/>
      <c r="D180" s="92" t="s">
        <v>66</v>
      </c>
      <c r="E180" s="21">
        <v>0</v>
      </c>
      <c r="F180" s="21">
        <v>0</v>
      </c>
      <c r="G180" s="21">
        <v>0</v>
      </c>
      <c r="H180" s="21">
        <v>27</v>
      </c>
      <c r="I180" s="43">
        <f t="shared" si="0"/>
        <v>6.75</v>
      </c>
      <c r="J180" s="20"/>
      <c r="K180" s="20"/>
      <c r="L180" s="20"/>
      <c r="M180" s="20"/>
      <c r="N180" s="20"/>
      <c r="O180" s="20"/>
      <c r="P180" s="20"/>
    </row>
    <row r="181" spans="1:16" ht="14.25" customHeight="1" x14ac:dyDescent="0.35">
      <c r="A181" s="20"/>
      <c r="B181" s="92"/>
      <c r="C181" s="101"/>
      <c r="D181" s="92" t="s">
        <v>67</v>
      </c>
      <c r="E181" s="21">
        <v>0</v>
      </c>
      <c r="F181" s="21">
        <v>0</v>
      </c>
      <c r="G181" s="21">
        <v>0</v>
      </c>
      <c r="H181" s="21">
        <v>0</v>
      </c>
      <c r="I181" s="43">
        <f t="shared" si="0"/>
        <v>0</v>
      </c>
      <c r="J181" s="20"/>
      <c r="K181" s="20"/>
      <c r="L181" s="20"/>
      <c r="M181" s="20"/>
      <c r="N181" s="20"/>
      <c r="O181" s="20"/>
      <c r="P181" s="20"/>
    </row>
    <row r="182" spans="1:16" ht="14.25" customHeight="1" x14ac:dyDescent="0.35">
      <c r="A182" s="30">
        <v>44760</v>
      </c>
      <c r="B182" s="92">
        <f>B179+7</f>
        <v>411</v>
      </c>
      <c r="C182" s="101" t="str">
        <f>$C$128</f>
        <v>3% FBS R3</v>
      </c>
      <c r="D182" s="91" t="s">
        <v>65</v>
      </c>
      <c r="E182" s="21">
        <v>229</v>
      </c>
      <c r="F182" s="21">
        <v>267</v>
      </c>
      <c r="G182" s="21">
        <v>314</v>
      </c>
      <c r="H182" s="21">
        <v>260</v>
      </c>
      <c r="I182" s="43">
        <f t="shared" si="0"/>
        <v>267.5</v>
      </c>
      <c r="J182" s="20">
        <f>I182*2*10000</f>
        <v>5350000</v>
      </c>
      <c r="K182" s="20">
        <f>$K$128</f>
        <v>3000000</v>
      </c>
      <c r="L182" s="20">
        <f>J182*5</f>
        <v>26750000</v>
      </c>
      <c r="M182" s="22">
        <f>I182/(I182+I183)*100</f>
        <v>99.534883720930239</v>
      </c>
      <c r="N182" s="22">
        <f>I184/I182*100</f>
        <v>9.3457943925233655E-2</v>
      </c>
      <c r="O182" s="23">
        <f>3.32*(LOG(L182)-LOG(K182))</f>
        <v>3.1546724050367807</v>
      </c>
      <c r="P182" s="23">
        <f>P179+O182</f>
        <v>52.572363899551618</v>
      </c>
    </row>
    <row r="183" spans="1:16" ht="14.25" customHeight="1" x14ac:dyDescent="0.35">
      <c r="A183" s="20"/>
      <c r="B183" s="92"/>
      <c r="C183" s="101"/>
      <c r="D183" s="92" t="s">
        <v>66</v>
      </c>
      <c r="E183" s="21">
        <v>2</v>
      </c>
      <c r="F183" s="21">
        <v>0</v>
      </c>
      <c r="G183" s="21">
        <v>2</v>
      </c>
      <c r="H183" s="21">
        <v>1</v>
      </c>
      <c r="I183" s="43">
        <f t="shared" si="0"/>
        <v>1.25</v>
      </c>
      <c r="J183" s="20"/>
      <c r="K183" s="20"/>
      <c r="L183" s="20"/>
      <c r="M183" s="20"/>
      <c r="N183" s="20"/>
      <c r="O183" s="20"/>
      <c r="P183" s="20"/>
    </row>
    <row r="184" spans="1:16" ht="14.25" customHeight="1" x14ac:dyDescent="0.35">
      <c r="A184" s="20"/>
      <c r="B184" s="92"/>
      <c r="C184" s="101"/>
      <c r="D184" s="92" t="s">
        <v>67</v>
      </c>
      <c r="E184" s="21">
        <v>0</v>
      </c>
      <c r="F184" s="21">
        <v>0</v>
      </c>
      <c r="G184" s="21">
        <v>1</v>
      </c>
      <c r="H184" s="21">
        <v>0</v>
      </c>
      <c r="I184" s="43">
        <f t="shared" si="0"/>
        <v>0.25</v>
      </c>
      <c r="J184" s="20"/>
      <c r="K184" s="20"/>
      <c r="L184" s="20"/>
      <c r="M184" s="20"/>
      <c r="N184" s="20"/>
      <c r="O184" s="20"/>
      <c r="P184" s="20"/>
    </row>
    <row r="185" spans="1:16" ht="14.25" customHeight="1" x14ac:dyDescent="0.35">
      <c r="A185" s="30">
        <v>44768</v>
      </c>
      <c r="B185" s="92">
        <f>B182+7</f>
        <v>418</v>
      </c>
      <c r="C185" s="101" t="str">
        <f>$C$128</f>
        <v>3% FBS R3</v>
      </c>
      <c r="D185" s="91" t="s">
        <v>65</v>
      </c>
      <c r="E185" s="21">
        <v>42</v>
      </c>
      <c r="F185" s="21">
        <v>32</v>
      </c>
      <c r="G185" s="21">
        <v>48</v>
      </c>
      <c r="H185" s="21">
        <v>51</v>
      </c>
      <c r="I185" s="43">
        <f t="shared" si="0"/>
        <v>43.25</v>
      </c>
      <c r="J185" s="20">
        <f>I185*2*10000</f>
        <v>865000</v>
      </c>
      <c r="K185" s="20">
        <f>$K$128</f>
        <v>3000000</v>
      </c>
      <c r="L185" s="20">
        <f>J185*5</f>
        <v>4325000</v>
      </c>
      <c r="M185" s="22">
        <f>I185/(I185+I186)*100</f>
        <v>99.425287356321832</v>
      </c>
      <c r="N185" s="22">
        <f>I187/I185*100</f>
        <v>0</v>
      </c>
      <c r="O185" s="23">
        <f>3.32*(LOG(L185)-LOG(K185))</f>
        <v>0.52743132550948713</v>
      </c>
      <c r="P185" s="23">
        <f>P182+O185</f>
        <v>53.099795225061108</v>
      </c>
    </row>
    <row r="186" spans="1:16" ht="14.25" customHeight="1" x14ac:dyDescent="0.35">
      <c r="A186" s="20"/>
      <c r="B186" s="92"/>
      <c r="C186" s="101"/>
      <c r="D186" s="92" t="s">
        <v>66</v>
      </c>
      <c r="E186" s="21">
        <v>1</v>
      </c>
      <c r="F186" s="21">
        <v>0</v>
      </c>
      <c r="G186" s="21">
        <v>0</v>
      </c>
      <c r="H186" s="21">
        <v>0</v>
      </c>
      <c r="I186" s="43">
        <f t="shared" si="0"/>
        <v>0.25</v>
      </c>
      <c r="J186" s="20"/>
      <c r="K186" s="20"/>
      <c r="L186" s="20"/>
      <c r="M186" s="20"/>
      <c r="N186" s="20"/>
      <c r="O186" s="20"/>
      <c r="P186" s="20"/>
    </row>
    <row r="187" spans="1:16" ht="14.25" customHeight="1" x14ac:dyDescent="0.35">
      <c r="A187" s="20"/>
      <c r="B187" s="92"/>
      <c r="C187" s="101"/>
      <c r="D187" s="92" t="s">
        <v>67</v>
      </c>
      <c r="E187" s="21">
        <v>0</v>
      </c>
      <c r="F187" s="21">
        <v>0</v>
      </c>
      <c r="G187" s="21">
        <v>0</v>
      </c>
      <c r="H187" s="21">
        <v>0</v>
      </c>
      <c r="I187" s="43">
        <f t="shared" si="0"/>
        <v>0</v>
      </c>
      <c r="J187" s="20"/>
      <c r="K187" s="20"/>
      <c r="L187" s="20"/>
      <c r="M187" s="20"/>
      <c r="N187" s="20"/>
      <c r="O187" s="20"/>
      <c r="P187" s="20"/>
    </row>
    <row r="188" spans="1:16" ht="14.25" customHeight="1" x14ac:dyDescent="0.35">
      <c r="A188" s="30">
        <v>44775</v>
      </c>
      <c r="B188" s="92">
        <f>B185+7</f>
        <v>425</v>
      </c>
      <c r="C188" s="101" t="str">
        <f>$C$128</f>
        <v>3% FBS R3</v>
      </c>
      <c r="D188" s="91" t="s">
        <v>65</v>
      </c>
      <c r="E188" s="21">
        <v>70</v>
      </c>
      <c r="F188" s="21">
        <v>60</v>
      </c>
      <c r="G188" s="21">
        <v>82</v>
      </c>
      <c r="H188" s="21">
        <v>82</v>
      </c>
      <c r="I188" s="43">
        <f t="shared" si="0"/>
        <v>73.5</v>
      </c>
      <c r="J188" s="20">
        <f>I188*2*10000</f>
        <v>1470000</v>
      </c>
      <c r="K188" s="20">
        <f>$K$128</f>
        <v>3000000</v>
      </c>
      <c r="L188" s="20">
        <f>J188*5</f>
        <v>7350000</v>
      </c>
      <c r="M188" s="22">
        <f>I188/(I188+I189)*100</f>
        <v>99.661016949152554</v>
      </c>
      <c r="N188" s="22">
        <f>I190/I188*100</f>
        <v>0.3401360544217687</v>
      </c>
      <c r="O188" s="23">
        <f>3.32*(LOG(L188)-LOG(K188))</f>
        <v>1.2920314000902482</v>
      </c>
      <c r="P188" s="23">
        <f>P185+O188</f>
        <v>54.391826625151353</v>
      </c>
    </row>
    <row r="189" spans="1:16" ht="14.25" customHeight="1" x14ac:dyDescent="0.35">
      <c r="A189" s="20"/>
      <c r="B189" s="92"/>
      <c r="C189" s="101"/>
      <c r="D189" s="92" t="s">
        <v>66</v>
      </c>
      <c r="E189" s="21">
        <v>0</v>
      </c>
      <c r="F189" s="21">
        <v>0</v>
      </c>
      <c r="G189" s="21">
        <v>1</v>
      </c>
      <c r="H189" s="21">
        <v>0</v>
      </c>
      <c r="I189" s="43">
        <f t="shared" si="0"/>
        <v>0.25</v>
      </c>
      <c r="J189" s="20"/>
      <c r="K189" s="20"/>
      <c r="L189" s="20"/>
      <c r="M189" s="20"/>
      <c r="N189" s="20"/>
      <c r="O189" s="20"/>
      <c r="P189" s="20"/>
    </row>
    <row r="190" spans="1:16" ht="14.25" customHeight="1" x14ac:dyDescent="0.35">
      <c r="A190" s="20"/>
      <c r="B190" s="92"/>
      <c r="C190" s="101"/>
      <c r="D190" s="92" t="s">
        <v>67</v>
      </c>
      <c r="E190" s="21">
        <v>0</v>
      </c>
      <c r="F190" s="21">
        <v>0</v>
      </c>
      <c r="G190" s="21">
        <v>0</v>
      </c>
      <c r="H190" s="21">
        <v>1</v>
      </c>
      <c r="I190" s="43">
        <f t="shared" si="0"/>
        <v>0.25</v>
      </c>
      <c r="J190" s="20"/>
      <c r="K190" s="20"/>
      <c r="L190" s="20"/>
      <c r="M190" s="20"/>
      <c r="N190" s="20"/>
      <c r="O190" s="20"/>
      <c r="P190" s="20"/>
    </row>
    <row r="191" spans="1:16" ht="14.25" customHeight="1" x14ac:dyDescent="0.35">
      <c r="A191" s="30">
        <v>44782</v>
      </c>
      <c r="B191" s="92">
        <f>B188+7</f>
        <v>432</v>
      </c>
      <c r="C191" s="101" t="str">
        <f>$C$128</f>
        <v>3% FBS R3</v>
      </c>
      <c r="D191" s="91" t="s">
        <v>65</v>
      </c>
      <c r="E191" s="21">
        <v>228</v>
      </c>
      <c r="F191" s="21">
        <v>255</v>
      </c>
      <c r="G191" s="21">
        <v>423</v>
      </c>
      <c r="H191" s="21">
        <v>314</v>
      </c>
      <c r="I191" s="43">
        <f t="shared" si="0"/>
        <v>305</v>
      </c>
      <c r="J191" s="20">
        <f>I191*2*10000</f>
        <v>6100000</v>
      </c>
      <c r="K191" s="20">
        <f>$K$128</f>
        <v>3000000</v>
      </c>
      <c r="L191" s="20">
        <f>J191*5</f>
        <v>30500000</v>
      </c>
      <c r="M191" s="22">
        <f>I191/(I191+I192)*100</f>
        <v>99.348534201954394</v>
      </c>
      <c r="N191" s="22">
        <f>I193/I191*100</f>
        <v>0</v>
      </c>
      <c r="O191" s="23">
        <f>3.32*(LOG(L191)-LOG(K191))</f>
        <v>3.3438329009620493</v>
      </c>
      <c r="P191" s="23">
        <f>P188+O191</f>
        <v>57.735659526113402</v>
      </c>
    </row>
    <row r="192" spans="1:16" ht="14.25" customHeight="1" x14ac:dyDescent="0.35">
      <c r="A192" s="20"/>
      <c r="B192" s="92"/>
      <c r="C192" s="101"/>
      <c r="D192" s="92" t="s">
        <v>66</v>
      </c>
      <c r="E192" s="21">
        <v>0</v>
      </c>
      <c r="F192" s="21">
        <v>3</v>
      </c>
      <c r="G192" s="21">
        <v>4</v>
      </c>
      <c r="H192" s="21">
        <v>1</v>
      </c>
      <c r="I192" s="43">
        <f t="shared" si="0"/>
        <v>2</v>
      </c>
      <c r="J192" s="20"/>
      <c r="K192" s="20"/>
      <c r="L192" s="20"/>
      <c r="M192" s="20"/>
      <c r="N192" s="20"/>
      <c r="O192" s="20"/>
      <c r="P192" s="20"/>
    </row>
    <row r="193" spans="1:16" ht="14.25" customHeight="1" x14ac:dyDescent="0.35">
      <c r="A193" s="20"/>
      <c r="B193" s="92"/>
      <c r="C193" s="101"/>
      <c r="D193" s="92" t="s">
        <v>67</v>
      </c>
      <c r="E193" s="21">
        <v>0</v>
      </c>
      <c r="F193" s="21">
        <v>0</v>
      </c>
      <c r="G193" s="21">
        <v>0</v>
      </c>
      <c r="H193" s="21">
        <v>0</v>
      </c>
      <c r="I193" s="43">
        <f t="shared" si="0"/>
        <v>0</v>
      </c>
      <c r="J193" s="20"/>
      <c r="K193" s="20"/>
      <c r="L193" s="20"/>
      <c r="M193" s="20"/>
      <c r="N193" s="20"/>
      <c r="O193" s="20"/>
      <c r="P193" s="20"/>
    </row>
    <row r="194" spans="1:16" ht="14.25" customHeight="1" x14ac:dyDescent="0.35">
      <c r="A194" s="30">
        <v>44789</v>
      </c>
      <c r="B194" s="92">
        <f>B191+7</f>
        <v>439</v>
      </c>
      <c r="C194" s="101" t="str">
        <f>$C$128</f>
        <v>3% FBS R3</v>
      </c>
      <c r="D194" s="91" t="s">
        <v>65</v>
      </c>
      <c r="E194" s="21">
        <v>31</v>
      </c>
      <c r="F194" s="21">
        <v>27</v>
      </c>
      <c r="G194" s="21">
        <v>51</v>
      </c>
      <c r="H194" s="21">
        <v>26</v>
      </c>
      <c r="I194" s="43">
        <f t="shared" si="0"/>
        <v>33.75</v>
      </c>
      <c r="J194" s="20">
        <f>I194*2*10000</f>
        <v>675000</v>
      </c>
      <c r="K194" s="20">
        <f>$K$128</f>
        <v>3000000</v>
      </c>
      <c r="L194" s="20">
        <f>J194*5</f>
        <v>3375000</v>
      </c>
      <c r="M194" s="22">
        <f>I194/(I194+I195)*100</f>
        <v>100</v>
      </c>
      <c r="N194" s="22">
        <f>I196/I194*100</f>
        <v>0</v>
      </c>
      <c r="O194" s="23">
        <f>3.32*(LOG(L194)-LOG(K194))</f>
        <v>0.16982637452530638</v>
      </c>
      <c r="P194" s="23">
        <f>P191+O194</f>
        <v>57.905485900638709</v>
      </c>
    </row>
    <row r="195" spans="1:16" ht="14.25" customHeight="1" x14ac:dyDescent="0.35">
      <c r="A195" s="20"/>
      <c r="B195" s="92"/>
      <c r="C195" s="101"/>
      <c r="D195" s="92" t="s">
        <v>66</v>
      </c>
      <c r="E195" s="21">
        <v>0</v>
      </c>
      <c r="F195" s="21">
        <v>0</v>
      </c>
      <c r="G195" s="21">
        <v>0</v>
      </c>
      <c r="H195" s="21">
        <v>0</v>
      </c>
      <c r="I195" s="43">
        <f t="shared" si="0"/>
        <v>0</v>
      </c>
      <c r="J195" s="20"/>
      <c r="K195" s="20"/>
      <c r="L195" s="20"/>
      <c r="M195" s="20"/>
      <c r="N195" s="20"/>
      <c r="O195" s="20"/>
      <c r="P195" s="20"/>
    </row>
    <row r="196" spans="1:16" ht="14.25" customHeight="1" x14ac:dyDescent="0.35">
      <c r="A196" s="20"/>
      <c r="B196" s="92"/>
      <c r="C196" s="101"/>
      <c r="D196" s="92" t="s">
        <v>67</v>
      </c>
      <c r="E196" s="21">
        <v>0</v>
      </c>
      <c r="F196" s="21">
        <v>0</v>
      </c>
      <c r="G196" s="21">
        <v>0</v>
      </c>
      <c r="H196" s="21">
        <v>0</v>
      </c>
      <c r="I196" s="43">
        <f t="shared" si="0"/>
        <v>0</v>
      </c>
      <c r="J196" s="20"/>
      <c r="K196" s="20"/>
      <c r="L196" s="20"/>
      <c r="M196" s="20"/>
      <c r="N196" s="20"/>
      <c r="O196" s="20"/>
      <c r="P196" s="20"/>
    </row>
    <row r="197" spans="1:16" ht="14.25" customHeight="1" x14ac:dyDescent="0.35">
      <c r="A197" s="30">
        <v>44795</v>
      </c>
      <c r="B197" s="92">
        <f>B194+6</f>
        <v>445</v>
      </c>
      <c r="C197" s="101" t="str">
        <f>$C$128</f>
        <v>3% FBS R3</v>
      </c>
      <c r="D197" s="91" t="s">
        <v>65</v>
      </c>
      <c r="E197" s="21">
        <v>54</v>
      </c>
      <c r="F197" s="21">
        <v>36</v>
      </c>
      <c r="G197" s="21">
        <v>59</v>
      </c>
      <c r="H197" s="21">
        <v>46</v>
      </c>
      <c r="I197" s="43">
        <f t="shared" si="0"/>
        <v>48.75</v>
      </c>
      <c r="J197" s="20">
        <f>I197*2*10000</f>
        <v>975000</v>
      </c>
      <c r="K197" s="20">
        <f>$K$128</f>
        <v>3000000</v>
      </c>
      <c r="L197" s="20">
        <f>J197*5</f>
        <v>4875000</v>
      </c>
      <c r="M197" s="22">
        <f>I197/(I197+I198)*100</f>
        <v>99.489795918367349</v>
      </c>
      <c r="N197" s="22">
        <f>I199/I197*100</f>
        <v>0.51282051282051277</v>
      </c>
      <c r="O197" s="23">
        <f>3.32*(LOG(L197)-LOG(K197))</f>
        <v>0.70003317284544531</v>
      </c>
      <c r="P197" s="23">
        <f>P194+O197</f>
        <v>58.605519073484153</v>
      </c>
    </row>
    <row r="198" spans="1:16" ht="14.25" customHeight="1" x14ac:dyDescent="0.35">
      <c r="A198" s="20"/>
      <c r="B198" s="92"/>
      <c r="C198" s="101"/>
      <c r="D198" s="92" t="s">
        <v>66</v>
      </c>
      <c r="E198" s="21">
        <v>0</v>
      </c>
      <c r="F198" s="21">
        <v>0</v>
      </c>
      <c r="G198" s="21">
        <v>0</v>
      </c>
      <c r="H198" s="21">
        <v>1</v>
      </c>
      <c r="I198" s="43">
        <f t="shared" si="0"/>
        <v>0.25</v>
      </c>
      <c r="J198" s="20"/>
      <c r="K198" s="20"/>
      <c r="L198" s="20"/>
      <c r="M198" s="20"/>
      <c r="N198" s="20"/>
      <c r="O198" s="20"/>
      <c r="P198" s="20"/>
    </row>
    <row r="199" spans="1:16" ht="14.25" customHeight="1" x14ac:dyDescent="0.35">
      <c r="A199" s="20"/>
      <c r="B199" s="92"/>
      <c r="C199" s="101"/>
      <c r="D199" s="92" t="s">
        <v>67</v>
      </c>
      <c r="E199" s="21">
        <v>1</v>
      </c>
      <c r="F199" s="21">
        <v>0</v>
      </c>
      <c r="G199" s="21">
        <v>0</v>
      </c>
      <c r="H199" s="21">
        <v>0</v>
      </c>
      <c r="I199" s="43">
        <f t="shared" si="0"/>
        <v>0.25</v>
      </c>
      <c r="J199" s="20"/>
      <c r="K199" s="20"/>
      <c r="L199" s="20"/>
      <c r="M199" s="20"/>
      <c r="N199" s="20"/>
      <c r="O199" s="20"/>
      <c r="P199" s="20"/>
    </row>
    <row r="200" spans="1:16" ht="14.25" customHeight="1" x14ac:dyDescent="0.35">
      <c r="A200" s="30">
        <v>44802</v>
      </c>
      <c r="B200" s="92">
        <f>B197+7</f>
        <v>452</v>
      </c>
      <c r="C200" s="101" t="str">
        <f>$C$128</f>
        <v>3% FBS R3</v>
      </c>
      <c r="D200" s="91" t="s">
        <v>65</v>
      </c>
      <c r="E200" s="21">
        <v>50</v>
      </c>
      <c r="F200" s="21">
        <v>35</v>
      </c>
      <c r="G200" s="21">
        <v>42</v>
      </c>
      <c r="H200" s="21">
        <v>37</v>
      </c>
      <c r="I200" s="43">
        <f t="shared" si="0"/>
        <v>41</v>
      </c>
      <c r="J200" s="20">
        <f>I200*2*10000</f>
        <v>820000</v>
      </c>
      <c r="K200" s="20">
        <f>$K$128</f>
        <v>3000000</v>
      </c>
      <c r="L200" s="20">
        <f>J200*5</f>
        <v>4100000</v>
      </c>
      <c r="M200" s="22">
        <f>I200/(I200+I201)*100</f>
        <v>99.393939393939391</v>
      </c>
      <c r="N200" s="22">
        <f>I202/I200*100</f>
        <v>0</v>
      </c>
      <c r="O200" s="23">
        <f>3.32*(LOG(L200)-LOG(K200))</f>
        <v>0.45039983864024186</v>
      </c>
      <c r="P200" s="23">
        <f>P197+O200</f>
        <v>59.055918912124397</v>
      </c>
    </row>
    <row r="201" spans="1:16" ht="14.25" customHeight="1" x14ac:dyDescent="0.35">
      <c r="A201" s="20"/>
      <c r="B201" s="92"/>
      <c r="C201" s="101"/>
      <c r="D201" s="92" t="s">
        <v>66</v>
      </c>
      <c r="E201" s="21">
        <v>0</v>
      </c>
      <c r="F201" s="21">
        <v>1</v>
      </c>
      <c r="G201" s="21">
        <v>0</v>
      </c>
      <c r="H201" s="21">
        <v>0</v>
      </c>
      <c r="I201" s="43">
        <f t="shared" si="0"/>
        <v>0.25</v>
      </c>
      <c r="J201" s="20"/>
      <c r="K201" s="20"/>
      <c r="L201" s="20"/>
      <c r="M201" s="20"/>
      <c r="N201" s="20"/>
      <c r="O201" s="20"/>
      <c r="P201" s="20"/>
    </row>
    <row r="202" spans="1:16" ht="14.25" customHeight="1" x14ac:dyDescent="0.35">
      <c r="A202" s="20"/>
      <c r="B202" s="92"/>
      <c r="C202" s="101"/>
      <c r="D202" s="92" t="s">
        <v>67</v>
      </c>
      <c r="E202" s="21">
        <v>0</v>
      </c>
      <c r="F202" s="21">
        <v>0</v>
      </c>
      <c r="G202" s="21">
        <v>0</v>
      </c>
      <c r="H202" s="21">
        <v>0</v>
      </c>
      <c r="I202" s="43">
        <f t="shared" si="0"/>
        <v>0</v>
      </c>
      <c r="J202" s="20"/>
      <c r="K202" s="20"/>
      <c r="L202" s="20"/>
      <c r="M202" s="20"/>
      <c r="N202" s="20"/>
      <c r="O202" s="20"/>
      <c r="P202" s="20"/>
    </row>
    <row r="203" spans="1:16" ht="14.25" customHeight="1" x14ac:dyDescent="0.35">
      <c r="A203" s="30">
        <v>44810</v>
      </c>
      <c r="B203" s="92">
        <f>B200+8</f>
        <v>460</v>
      </c>
      <c r="C203" s="101" t="str">
        <f>$C$128</f>
        <v>3% FBS R3</v>
      </c>
      <c r="D203" s="91" t="s">
        <v>65</v>
      </c>
      <c r="E203" s="21">
        <v>41</v>
      </c>
      <c r="F203" s="21">
        <v>34</v>
      </c>
      <c r="G203" s="21">
        <v>49</v>
      </c>
      <c r="H203" s="21">
        <v>23</v>
      </c>
      <c r="I203" s="43">
        <f t="shared" si="0"/>
        <v>36.75</v>
      </c>
      <c r="J203" s="20">
        <f>I203*2*10000</f>
        <v>735000</v>
      </c>
      <c r="K203" s="20">
        <f>$K$128</f>
        <v>3000000</v>
      </c>
      <c r="L203" s="20">
        <f>J203*5</f>
        <v>3675000</v>
      </c>
      <c r="M203" s="22">
        <f>I203/(I203+I204)*100</f>
        <v>97.350993377483448</v>
      </c>
      <c r="N203" s="22">
        <f>I205/I203*100</f>
        <v>0</v>
      </c>
      <c r="O203" s="23">
        <f>3.32*(LOG(L203)-LOG(K203))</f>
        <v>0.29261181448583046</v>
      </c>
      <c r="P203" s="23">
        <f>P200+O203</f>
        <v>59.348530726610228</v>
      </c>
    </row>
    <row r="204" spans="1:16" ht="14.25" customHeight="1" x14ac:dyDescent="0.35">
      <c r="A204" s="20"/>
      <c r="B204" s="92"/>
      <c r="C204" s="101"/>
      <c r="D204" s="92" t="s">
        <v>66</v>
      </c>
      <c r="E204" s="21">
        <v>1</v>
      </c>
      <c r="F204" s="21">
        <v>2</v>
      </c>
      <c r="G204" s="21">
        <v>0</v>
      </c>
      <c r="H204" s="21">
        <v>1</v>
      </c>
      <c r="I204" s="43">
        <f t="shared" si="0"/>
        <v>1</v>
      </c>
      <c r="J204" s="20"/>
      <c r="K204" s="20"/>
      <c r="L204" s="20"/>
      <c r="M204" s="20"/>
      <c r="N204" s="20"/>
      <c r="O204" s="20"/>
      <c r="P204" s="20"/>
    </row>
    <row r="205" spans="1:16" ht="14.25" customHeight="1" x14ac:dyDescent="0.35">
      <c r="A205" s="20"/>
      <c r="B205" s="92"/>
      <c r="C205" s="101"/>
      <c r="D205" s="92" t="s">
        <v>67</v>
      </c>
      <c r="E205" s="21">
        <v>0</v>
      </c>
      <c r="F205" s="21">
        <v>0</v>
      </c>
      <c r="G205" s="21">
        <v>0</v>
      </c>
      <c r="H205" s="21">
        <v>0</v>
      </c>
      <c r="I205" s="43">
        <f t="shared" si="0"/>
        <v>0</v>
      </c>
      <c r="J205" s="20"/>
      <c r="K205" s="20"/>
      <c r="L205" s="20"/>
      <c r="M205" s="20"/>
      <c r="N205" s="20"/>
      <c r="O205" s="20"/>
      <c r="P205" s="20"/>
    </row>
    <row r="206" spans="1:16" ht="14.25" customHeight="1" x14ac:dyDescent="0.35">
      <c r="A206" s="30">
        <v>44816</v>
      </c>
      <c r="B206" s="92">
        <f>B203+6</f>
        <v>466</v>
      </c>
      <c r="C206" s="101" t="str">
        <f>$C$128</f>
        <v>3% FBS R3</v>
      </c>
      <c r="D206" s="91" t="s">
        <v>65</v>
      </c>
      <c r="E206" s="21">
        <v>97</v>
      </c>
      <c r="F206" s="21">
        <v>80</v>
      </c>
      <c r="G206" s="21">
        <v>98</v>
      </c>
      <c r="H206" s="21">
        <v>117</v>
      </c>
      <c r="I206" s="43">
        <f t="shared" si="0"/>
        <v>98</v>
      </c>
      <c r="J206" s="20">
        <f>I206*2*10000</f>
        <v>1960000</v>
      </c>
      <c r="K206" s="20">
        <f>$K$128</f>
        <v>3000000</v>
      </c>
      <c r="L206" s="20">
        <f>J206*5</f>
        <v>9800000</v>
      </c>
      <c r="M206" s="22">
        <f>I206/(I206+I207)*100</f>
        <v>97.512437810945272</v>
      </c>
      <c r="N206" s="22">
        <f>I208/I206*100</f>
        <v>0</v>
      </c>
      <c r="O206" s="23">
        <f>3.32*(LOG(L206)-LOG(K206))</f>
        <v>1.7068280056298037</v>
      </c>
      <c r="P206" s="23">
        <f>P203+O206</f>
        <v>61.05535873224003</v>
      </c>
    </row>
    <row r="207" spans="1:16" ht="14.25" customHeight="1" x14ac:dyDescent="0.35">
      <c r="A207" s="20"/>
      <c r="B207" s="92"/>
      <c r="C207" s="101"/>
      <c r="D207" s="92" t="s">
        <v>66</v>
      </c>
      <c r="E207" s="21">
        <v>1</v>
      </c>
      <c r="F207" s="21">
        <v>2</v>
      </c>
      <c r="G207" s="21">
        <v>3</v>
      </c>
      <c r="H207" s="21">
        <v>4</v>
      </c>
      <c r="I207" s="43">
        <f t="shared" si="0"/>
        <v>2.5</v>
      </c>
      <c r="J207" s="20"/>
      <c r="K207" s="20"/>
      <c r="L207" s="20"/>
      <c r="M207" s="20"/>
      <c r="N207" s="20"/>
      <c r="O207" s="20"/>
      <c r="P207" s="20"/>
    </row>
    <row r="208" spans="1:16" ht="14.25" customHeight="1" x14ac:dyDescent="0.35">
      <c r="A208" s="20"/>
      <c r="B208" s="92"/>
      <c r="C208" s="101"/>
      <c r="D208" s="92" t="s">
        <v>67</v>
      </c>
      <c r="E208" s="21">
        <v>0</v>
      </c>
      <c r="F208" s="21">
        <v>0</v>
      </c>
      <c r="G208" s="21">
        <v>0</v>
      </c>
      <c r="H208" s="21">
        <v>0</v>
      </c>
      <c r="I208" s="43">
        <f t="shared" si="0"/>
        <v>0</v>
      </c>
      <c r="J208" s="20"/>
      <c r="K208" s="20"/>
      <c r="L208" s="20"/>
      <c r="M208" s="20"/>
      <c r="N208" s="20"/>
      <c r="O208" s="20"/>
      <c r="P208" s="20"/>
    </row>
    <row r="209" spans="1:16" ht="14.25" customHeight="1" x14ac:dyDescent="0.35">
      <c r="A209" s="30">
        <v>44823</v>
      </c>
      <c r="B209" s="92">
        <f>B206+7</f>
        <v>473</v>
      </c>
      <c r="C209" s="101" t="str">
        <f>$C$128</f>
        <v>3% FBS R3</v>
      </c>
      <c r="D209" s="91" t="s">
        <v>65</v>
      </c>
      <c r="E209" s="21">
        <v>53</v>
      </c>
      <c r="F209" s="21">
        <v>45</v>
      </c>
      <c r="G209" s="21">
        <v>76</v>
      </c>
      <c r="H209" s="21">
        <v>58</v>
      </c>
      <c r="I209" s="43">
        <f t="shared" si="0"/>
        <v>58</v>
      </c>
      <c r="J209" s="20">
        <f>I209*2*10000</f>
        <v>1160000</v>
      </c>
      <c r="K209" s="20">
        <f>$K$128</f>
        <v>3000000</v>
      </c>
      <c r="L209" s="20">
        <f>J209*5</f>
        <v>5800000</v>
      </c>
      <c r="M209" s="22">
        <f>I209/(I209+I210)*100</f>
        <v>98.305084745762713</v>
      </c>
      <c r="N209" s="22">
        <f>I211/I209*100</f>
        <v>0</v>
      </c>
      <c r="O209" s="23">
        <f>3.32*(LOG(L209)-LOG(K209))</f>
        <v>0.95053837295967059</v>
      </c>
      <c r="P209" s="23">
        <f>P206+O209</f>
        <v>62.005897105199701</v>
      </c>
    </row>
    <row r="210" spans="1:16" ht="14.25" customHeight="1" x14ac:dyDescent="0.35">
      <c r="A210" s="20"/>
      <c r="B210" s="92"/>
      <c r="C210" s="101"/>
      <c r="D210" s="92" t="s">
        <v>66</v>
      </c>
      <c r="E210" s="21">
        <v>0</v>
      </c>
      <c r="F210" s="21">
        <v>3</v>
      </c>
      <c r="G210" s="21">
        <v>0</v>
      </c>
      <c r="H210" s="21">
        <v>1</v>
      </c>
      <c r="I210" s="43">
        <f t="shared" si="0"/>
        <v>1</v>
      </c>
      <c r="J210" s="20"/>
      <c r="K210" s="20"/>
      <c r="L210" s="20"/>
      <c r="M210" s="20"/>
      <c r="N210" s="20"/>
      <c r="O210" s="20"/>
      <c r="P210" s="20"/>
    </row>
    <row r="211" spans="1:16" ht="14.25" customHeight="1" x14ac:dyDescent="0.35">
      <c r="A211" s="20"/>
      <c r="B211" s="92"/>
      <c r="C211" s="101"/>
      <c r="D211" s="92" t="s">
        <v>67</v>
      </c>
      <c r="E211" s="21">
        <v>0</v>
      </c>
      <c r="F211" s="21">
        <v>0</v>
      </c>
      <c r="G211" s="21">
        <v>0</v>
      </c>
      <c r="H211" s="21">
        <v>0</v>
      </c>
      <c r="I211" s="43">
        <f t="shared" si="0"/>
        <v>0</v>
      </c>
      <c r="J211" s="20"/>
      <c r="K211" s="20"/>
      <c r="L211" s="20"/>
      <c r="M211" s="20"/>
      <c r="N211" s="20"/>
      <c r="O211" s="20"/>
      <c r="P211" s="20"/>
    </row>
    <row r="212" spans="1:16" ht="14.25" customHeight="1" x14ac:dyDescent="0.35">
      <c r="A212" s="30">
        <v>44830</v>
      </c>
      <c r="B212" s="92">
        <f>B209+7</f>
        <v>480</v>
      </c>
      <c r="C212" s="101" t="str">
        <f>$C$128</f>
        <v>3% FBS R3</v>
      </c>
      <c r="D212" s="91" t="s">
        <v>65</v>
      </c>
      <c r="E212" s="21">
        <v>57</v>
      </c>
      <c r="F212" s="21">
        <v>63</v>
      </c>
      <c r="G212" s="21">
        <v>49</v>
      </c>
      <c r="H212" s="21">
        <v>50</v>
      </c>
      <c r="I212" s="43">
        <f t="shared" si="0"/>
        <v>54.75</v>
      </c>
      <c r="J212" s="20">
        <f>I212*2*10000</f>
        <v>1095000</v>
      </c>
      <c r="K212" s="20">
        <f>$K$128</f>
        <v>3000000</v>
      </c>
      <c r="L212" s="20">
        <f>J212*5</f>
        <v>5475000</v>
      </c>
      <c r="M212" s="22">
        <f>I212/(I212+I213)*100</f>
        <v>98.648648648648646</v>
      </c>
      <c r="N212" s="22">
        <f>I214/I212*100</f>
        <v>0</v>
      </c>
      <c r="O212" s="23">
        <f>3.32*(LOG(L212)-LOG(K212))</f>
        <v>0.86739272439107795</v>
      </c>
      <c r="P212" s="23">
        <f>P209+O212</f>
        <v>62.873289829590782</v>
      </c>
    </row>
    <row r="213" spans="1:16" ht="14.25" customHeight="1" x14ac:dyDescent="0.35">
      <c r="A213" s="20"/>
      <c r="B213" s="92"/>
      <c r="C213" s="101"/>
      <c r="D213" s="92" t="s">
        <v>66</v>
      </c>
      <c r="E213" s="21">
        <v>0</v>
      </c>
      <c r="F213" s="21">
        <v>3</v>
      </c>
      <c r="G213" s="21">
        <v>0</v>
      </c>
      <c r="H213" s="21">
        <v>0</v>
      </c>
      <c r="I213" s="43">
        <f t="shared" si="0"/>
        <v>0.75</v>
      </c>
      <c r="J213" s="20"/>
      <c r="K213" s="20"/>
      <c r="L213" s="20"/>
      <c r="M213" s="20"/>
      <c r="N213" s="20"/>
      <c r="O213" s="20"/>
      <c r="P213" s="20"/>
    </row>
    <row r="214" spans="1:16" ht="14.25" customHeight="1" x14ac:dyDescent="0.35">
      <c r="A214" s="20"/>
      <c r="B214" s="92"/>
      <c r="C214" s="101"/>
      <c r="D214" s="92" t="s">
        <v>67</v>
      </c>
      <c r="E214" s="21">
        <v>0</v>
      </c>
      <c r="F214" s="21">
        <v>0</v>
      </c>
      <c r="G214" s="21">
        <v>0</v>
      </c>
      <c r="H214" s="21">
        <v>0</v>
      </c>
      <c r="I214" s="43">
        <f t="shared" si="0"/>
        <v>0</v>
      </c>
      <c r="J214" s="20"/>
      <c r="K214" s="20"/>
      <c r="L214" s="20"/>
      <c r="M214" s="20"/>
      <c r="N214" s="20"/>
      <c r="O214" s="20"/>
      <c r="P214" s="20"/>
    </row>
    <row r="215" spans="1:16" ht="14.25" customHeight="1" x14ac:dyDescent="0.35">
      <c r="A215" s="30">
        <v>44837</v>
      </c>
      <c r="B215" s="92">
        <f>B212+7</f>
        <v>487</v>
      </c>
      <c r="C215" s="101" t="str">
        <f>$C$128</f>
        <v>3% FBS R3</v>
      </c>
      <c r="D215" s="91" t="s">
        <v>65</v>
      </c>
      <c r="E215" s="21">
        <v>43</v>
      </c>
      <c r="F215" s="21">
        <v>35</v>
      </c>
      <c r="G215" s="21">
        <v>37</v>
      </c>
      <c r="H215" s="21">
        <v>48</v>
      </c>
      <c r="I215" s="43">
        <f t="shared" si="0"/>
        <v>40.75</v>
      </c>
      <c r="J215" s="20">
        <f>I215*2*10000</f>
        <v>815000</v>
      </c>
      <c r="K215" s="20">
        <f>$K$128</f>
        <v>3000000</v>
      </c>
      <c r="L215" s="20">
        <f>J215*5</f>
        <v>4075000</v>
      </c>
      <c r="M215" s="22">
        <f>I215/(I215+I216)*100</f>
        <v>99.390243902439025</v>
      </c>
      <c r="N215" s="22">
        <f>I217/I215*100</f>
        <v>0</v>
      </c>
      <c r="O215" s="23">
        <f>3.32*(LOG(L215)-LOG(K215))</f>
        <v>0.44158110974302556</v>
      </c>
      <c r="P215" s="23">
        <f>P212+O215</f>
        <v>63.314870939333808</v>
      </c>
    </row>
    <row r="216" spans="1:16" ht="14.25" customHeight="1" x14ac:dyDescent="0.35">
      <c r="A216" s="20"/>
      <c r="B216" s="92"/>
      <c r="C216" s="101"/>
      <c r="D216" s="92" t="s">
        <v>66</v>
      </c>
      <c r="E216" s="21">
        <v>0</v>
      </c>
      <c r="F216" s="21">
        <v>0</v>
      </c>
      <c r="G216" s="21">
        <v>1</v>
      </c>
      <c r="H216" s="21">
        <v>0</v>
      </c>
      <c r="I216" s="43">
        <f t="shared" si="0"/>
        <v>0.25</v>
      </c>
      <c r="J216" s="20"/>
      <c r="K216" s="20"/>
      <c r="L216" s="20"/>
      <c r="M216" s="20"/>
      <c r="N216" s="20"/>
      <c r="O216" s="20"/>
      <c r="P216" s="20"/>
    </row>
    <row r="217" spans="1:16" ht="14.25" customHeight="1" x14ac:dyDescent="0.35">
      <c r="A217" s="20"/>
      <c r="B217" s="92"/>
      <c r="C217" s="101"/>
      <c r="D217" s="92" t="s">
        <v>67</v>
      </c>
      <c r="E217" s="21">
        <v>0</v>
      </c>
      <c r="F217" s="21">
        <v>0</v>
      </c>
      <c r="G217" s="21">
        <v>0</v>
      </c>
      <c r="H217" s="21">
        <v>0</v>
      </c>
      <c r="I217" s="43">
        <f t="shared" si="0"/>
        <v>0</v>
      </c>
      <c r="J217" s="20"/>
      <c r="K217" s="20"/>
      <c r="L217" s="20"/>
      <c r="M217" s="20"/>
      <c r="N217" s="20"/>
      <c r="O217" s="20"/>
      <c r="P217" s="20"/>
    </row>
    <row r="218" spans="1:16" ht="14.25" customHeight="1" x14ac:dyDescent="0.35">
      <c r="A218" s="30">
        <v>44844</v>
      </c>
      <c r="B218" s="92">
        <f>B215+7</f>
        <v>494</v>
      </c>
      <c r="C218" s="101" t="str">
        <f>$C$128</f>
        <v>3% FBS R3</v>
      </c>
      <c r="D218" s="91" t="s">
        <v>65</v>
      </c>
      <c r="E218" s="21">
        <v>43</v>
      </c>
      <c r="F218" s="21">
        <v>59</v>
      </c>
      <c r="G218" s="21">
        <v>38</v>
      </c>
      <c r="H218" s="21">
        <v>42</v>
      </c>
      <c r="I218" s="43">
        <f t="shared" si="0"/>
        <v>45.5</v>
      </c>
      <c r="J218" s="20">
        <f>I218*2*10000</f>
        <v>910000</v>
      </c>
      <c r="K218" s="20">
        <f>$K$128</f>
        <v>3000000</v>
      </c>
      <c r="L218" s="20">
        <f>J218*5</f>
        <v>4550000</v>
      </c>
      <c r="M218" s="22">
        <f>I218/(I218+I219)*100</f>
        <v>97.326203208556151</v>
      </c>
      <c r="N218" s="22">
        <f>I220/I218*100</f>
        <v>0</v>
      </c>
      <c r="O218" s="23">
        <f>3.32*(LOG(L218)-LOG(K218))</f>
        <v>0.60055527123233399</v>
      </c>
      <c r="P218" s="23">
        <f>P215+O218</f>
        <v>63.915426210566139</v>
      </c>
    </row>
    <row r="219" spans="1:16" ht="14.25" customHeight="1" x14ac:dyDescent="0.35">
      <c r="A219" s="20"/>
      <c r="B219" s="92"/>
      <c r="C219" s="101"/>
      <c r="D219" s="92" t="s">
        <v>66</v>
      </c>
      <c r="E219" s="21">
        <v>1</v>
      </c>
      <c r="F219" s="21">
        <v>1</v>
      </c>
      <c r="G219" s="21">
        <v>2</v>
      </c>
      <c r="H219" s="21">
        <v>1</v>
      </c>
      <c r="I219" s="43">
        <f t="shared" si="0"/>
        <v>1.25</v>
      </c>
      <c r="J219" s="20"/>
      <c r="K219" s="20"/>
      <c r="L219" s="20"/>
      <c r="M219" s="20"/>
      <c r="N219" s="20"/>
      <c r="O219" s="20"/>
      <c r="P219" s="20"/>
    </row>
    <row r="220" spans="1:16" ht="14.25" customHeight="1" x14ac:dyDescent="0.35">
      <c r="A220" s="20"/>
      <c r="B220" s="92"/>
      <c r="C220" s="101"/>
      <c r="D220" s="92" t="s">
        <v>67</v>
      </c>
      <c r="E220" s="21">
        <v>0</v>
      </c>
      <c r="F220" s="21">
        <v>0</v>
      </c>
      <c r="G220" s="21">
        <v>0</v>
      </c>
      <c r="H220" s="21">
        <v>0</v>
      </c>
      <c r="I220" s="43">
        <f t="shared" si="0"/>
        <v>0</v>
      </c>
      <c r="J220" s="20"/>
      <c r="K220" s="20"/>
      <c r="L220" s="20"/>
      <c r="M220" s="20"/>
      <c r="N220" s="20"/>
      <c r="O220" s="20"/>
      <c r="P220" s="20"/>
    </row>
    <row r="221" spans="1:16" ht="14.25" customHeight="1" x14ac:dyDescent="0.35">
      <c r="A221" s="30">
        <v>44851</v>
      </c>
      <c r="B221" s="92">
        <f>B218+7</f>
        <v>501</v>
      </c>
      <c r="C221" s="101" t="str">
        <f>$C$128</f>
        <v>3% FBS R3</v>
      </c>
      <c r="D221" s="91" t="s">
        <v>65</v>
      </c>
      <c r="E221" s="21">
        <v>64</v>
      </c>
      <c r="F221" s="21">
        <v>73</v>
      </c>
      <c r="G221" s="21">
        <v>79</v>
      </c>
      <c r="H221" s="21">
        <v>67</v>
      </c>
      <c r="I221" s="43">
        <f t="shared" si="0"/>
        <v>70.75</v>
      </c>
      <c r="J221" s="20">
        <f>I221*2*10000</f>
        <v>1415000</v>
      </c>
      <c r="K221" s="20">
        <f>$K$128</f>
        <v>3000000</v>
      </c>
      <c r="L221" s="20">
        <f>J221*5</f>
        <v>7075000</v>
      </c>
      <c r="M221" s="22">
        <f>I221/(I221+I222)*100</f>
        <v>96.258503401360542</v>
      </c>
      <c r="N221" s="22">
        <f>I223/I221*100</f>
        <v>0</v>
      </c>
      <c r="O221" s="23">
        <f>3.32*(LOG(L221)-LOG(K221))</f>
        <v>1.2370492290625295</v>
      </c>
      <c r="P221" s="23">
        <f>P218+O221</f>
        <v>65.152475439628674</v>
      </c>
    </row>
    <row r="222" spans="1:16" ht="14.25" customHeight="1" x14ac:dyDescent="0.35">
      <c r="A222" s="20"/>
      <c r="B222" s="92"/>
      <c r="C222" s="101"/>
      <c r="D222" s="92" t="s">
        <v>66</v>
      </c>
      <c r="E222" s="21">
        <v>3</v>
      </c>
      <c r="F222" s="21">
        <v>2</v>
      </c>
      <c r="G222" s="21">
        <v>5</v>
      </c>
      <c r="H222" s="21">
        <v>1</v>
      </c>
      <c r="I222" s="43">
        <f t="shared" si="0"/>
        <v>2.75</v>
      </c>
      <c r="J222" s="20"/>
      <c r="K222" s="20"/>
      <c r="L222" s="20"/>
      <c r="M222" s="20"/>
      <c r="N222" s="20"/>
      <c r="O222" s="20"/>
      <c r="P222" s="20"/>
    </row>
    <row r="223" spans="1:16" ht="14.25" customHeight="1" x14ac:dyDescent="0.35">
      <c r="A223" s="20"/>
      <c r="B223" s="92"/>
      <c r="C223" s="101"/>
      <c r="D223" s="92" t="s">
        <v>67</v>
      </c>
      <c r="E223" s="21">
        <v>0</v>
      </c>
      <c r="F223" s="21">
        <v>0</v>
      </c>
      <c r="G223" s="21">
        <v>0</v>
      </c>
      <c r="H223" s="21">
        <v>0</v>
      </c>
      <c r="I223" s="43">
        <f t="shared" si="0"/>
        <v>0</v>
      </c>
      <c r="J223" s="20"/>
      <c r="K223" s="20"/>
      <c r="L223" s="20"/>
      <c r="M223" s="20"/>
      <c r="N223" s="20"/>
      <c r="O223" s="20"/>
      <c r="P223" s="20"/>
    </row>
    <row r="224" spans="1:16" ht="14.25" customHeight="1" x14ac:dyDescent="0.35">
      <c r="A224" s="30">
        <v>44858</v>
      </c>
      <c r="B224" s="92">
        <f>B221+7</f>
        <v>508</v>
      </c>
      <c r="C224" s="101" t="str">
        <f>$C$128</f>
        <v>3% FBS R3</v>
      </c>
      <c r="D224" s="91" t="s">
        <v>65</v>
      </c>
      <c r="E224" s="21">
        <v>158</v>
      </c>
      <c r="F224" s="21">
        <v>156</v>
      </c>
      <c r="G224" s="21">
        <v>155</v>
      </c>
      <c r="H224" s="21">
        <v>185</v>
      </c>
      <c r="I224" s="43">
        <f t="shared" si="0"/>
        <v>163.5</v>
      </c>
      <c r="J224" s="20">
        <f>I224*2*10000</f>
        <v>3270000</v>
      </c>
      <c r="K224" s="20">
        <f>$K$128</f>
        <v>3000000</v>
      </c>
      <c r="L224" s="20">
        <f>J224*5</f>
        <v>16350000</v>
      </c>
      <c r="M224" s="22">
        <f>I224/(I224+I225)*100</f>
        <v>99.695121951219505</v>
      </c>
      <c r="N224" s="22">
        <f>I226/I224*100</f>
        <v>0</v>
      </c>
      <c r="O224" s="23">
        <f>3.32*(LOG(L224)-LOG(K224))</f>
        <v>2.4448363875584533</v>
      </c>
      <c r="P224" s="23">
        <f>P221+O224</f>
        <v>67.597311827187127</v>
      </c>
    </row>
    <row r="225" spans="1:16" ht="14.25" customHeight="1" x14ac:dyDescent="0.35">
      <c r="A225" s="20"/>
      <c r="B225" s="92"/>
      <c r="C225" s="101"/>
      <c r="D225" s="92" t="s">
        <v>66</v>
      </c>
      <c r="E225" s="21">
        <v>1</v>
      </c>
      <c r="F225" s="21">
        <v>0</v>
      </c>
      <c r="G225" s="21">
        <v>1</v>
      </c>
      <c r="H225" s="21">
        <v>0</v>
      </c>
      <c r="I225" s="43">
        <f t="shared" si="0"/>
        <v>0.5</v>
      </c>
      <c r="J225" s="20"/>
      <c r="K225" s="20"/>
      <c r="L225" s="20"/>
      <c r="M225" s="20"/>
      <c r="N225" s="20"/>
      <c r="O225" s="20"/>
      <c r="P225" s="20"/>
    </row>
    <row r="226" spans="1:16" ht="14.25" customHeight="1" x14ac:dyDescent="0.35">
      <c r="A226" s="20"/>
      <c r="B226" s="92"/>
      <c r="C226" s="101"/>
      <c r="D226" s="92" t="s">
        <v>67</v>
      </c>
      <c r="E226" s="21">
        <v>0</v>
      </c>
      <c r="F226" s="21">
        <v>0</v>
      </c>
      <c r="G226" s="21">
        <v>0</v>
      </c>
      <c r="H226" s="21">
        <v>0</v>
      </c>
      <c r="I226" s="43">
        <f t="shared" si="0"/>
        <v>0</v>
      </c>
      <c r="J226" s="20"/>
      <c r="K226" s="20"/>
      <c r="L226" s="20"/>
      <c r="M226" s="20"/>
      <c r="N226" s="20"/>
      <c r="O226" s="20"/>
      <c r="P226" s="20"/>
    </row>
    <row r="227" spans="1:16" ht="14.25" customHeight="1" x14ac:dyDescent="0.35">
      <c r="A227" s="30">
        <v>44865</v>
      </c>
      <c r="B227" s="92">
        <f>B224+7</f>
        <v>515</v>
      </c>
      <c r="C227" s="101" t="str">
        <f>$C$128</f>
        <v>3% FBS R3</v>
      </c>
      <c r="D227" s="91" t="s">
        <v>65</v>
      </c>
      <c r="E227" s="21">
        <v>64</v>
      </c>
      <c r="F227" s="21">
        <v>70</v>
      </c>
      <c r="G227" s="21">
        <v>84</v>
      </c>
      <c r="H227" s="21">
        <v>75</v>
      </c>
      <c r="I227" s="43">
        <f t="shared" si="0"/>
        <v>73.25</v>
      </c>
      <c r="J227" s="20">
        <f>I227*2*10000</f>
        <v>1465000</v>
      </c>
      <c r="K227" s="20">
        <f>$K$128</f>
        <v>3000000</v>
      </c>
      <c r="L227" s="20">
        <f>J227*5</f>
        <v>7325000</v>
      </c>
      <c r="M227" s="22">
        <f>I227/(I227+I228)*100</f>
        <v>97.666666666666671</v>
      </c>
      <c r="N227" s="22">
        <f>I229/I227*100</f>
        <v>0</v>
      </c>
      <c r="O227" s="23">
        <f>3.32*(LOG(L227)-LOG(K227))</f>
        <v>1.2871187626975298</v>
      </c>
      <c r="P227" s="23">
        <f>P224+O227</f>
        <v>68.884430589884659</v>
      </c>
    </row>
    <row r="228" spans="1:16" ht="14.25" customHeight="1" x14ac:dyDescent="0.35">
      <c r="A228" s="20"/>
      <c r="B228" s="92"/>
      <c r="C228" s="101"/>
      <c r="D228" s="92" t="s">
        <v>66</v>
      </c>
      <c r="E228" s="21">
        <v>1</v>
      </c>
      <c r="F228" s="21">
        <v>1</v>
      </c>
      <c r="G228" s="21">
        <v>2</v>
      </c>
      <c r="H228" s="21">
        <v>3</v>
      </c>
      <c r="I228" s="43">
        <f t="shared" si="0"/>
        <v>1.75</v>
      </c>
      <c r="J228" s="20"/>
      <c r="K228" s="20"/>
      <c r="L228" s="20"/>
      <c r="M228" s="20"/>
      <c r="N228" s="20"/>
      <c r="O228" s="20"/>
      <c r="P228" s="20"/>
    </row>
    <row r="229" spans="1:16" ht="14.25" customHeight="1" x14ac:dyDescent="0.35">
      <c r="A229" s="20"/>
      <c r="B229" s="92"/>
      <c r="C229" s="101"/>
      <c r="D229" s="92" t="s">
        <v>67</v>
      </c>
      <c r="E229" s="21">
        <v>0</v>
      </c>
      <c r="F229" s="21">
        <v>0</v>
      </c>
      <c r="G229" s="21">
        <v>0</v>
      </c>
      <c r="H229" s="21">
        <v>0</v>
      </c>
      <c r="I229" s="43">
        <f t="shared" si="0"/>
        <v>0</v>
      </c>
      <c r="J229" s="20"/>
      <c r="K229" s="20"/>
      <c r="L229" s="20"/>
      <c r="M229" s="20"/>
      <c r="N229" s="20"/>
      <c r="O229" s="20"/>
      <c r="P229" s="20"/>
    </row>
    <row r="230" spans="1:16" ht="14.25" customHeight="1" x14ac:dyDescent="0.35">
      <c r="A230" s="30">
        <v>44872</v>
      </c>
      <c r="B230" s="92">
        <f>B227+7</f>
        <v>522</v>
      </c>
      <c r="C230" s="101" t="str">
        <f>$C$128</f>
        <v>3% FBS R3</v>
      </c>
      <c r="D230" s="91" t="s">
        <v>65</v>
      </c>
      <c r="E230" s="21">
        <v>44</v>
      </c>
      <c r="F230" s="21">
        <v>33</v>
      </c>
      <c r="G230" s="21">
        <v>43</v>
      </c>
      <c r="H230" s="21">
        <v>49</v>
      </c>
      <c r="I230" s="43">
        <f t="shared" ref="I230:I340" si="1">AVERAGE(E230:H230)</f>
        <v>42.25</v>
      </c>
      <c r="J230" s="20">
        <f>I230*2*10000</f>
        <v>845000</v>
      </c>
      <c r="K230" s="20">
        <f>$K$128</f>
        <v>3000000</v>
      </c>
      <c r="L230" s="20">
        <f>J230*5</f>
        <v>4225000</v>
      </c>
      <c r="M230" s="22">
        <f>I230/(I230+I231)*100</f>
        <v>99.411764705882348</v>
      </c>
      <c r="N230" s="22">
        <f>I232/I230*100</f>
        <v>0</v>
      </c>
      <c r="O230" s="23">
        <f>3.32*(LOG(L230)-LOG(K230))</f>
        <v>0.49370212243928191</v>
      </c>
      <c r="P230" s="23">
        <f>P227+O230</f>
        <v>69.378132712323946</v>
      </c>
    </row>
    <row r="231" spans="1:16" ht="14.25" customHeight="1" x14ac:dyDescent="0.35">
      <c r="A231" s="20"/>
      <c r="B231" s="92"/>
      <c r="C231" s="101"/>
      <c r="D231" s="92" t="s">
        <v>66</v>
      </c>
      <c r="E231" s="21">
        <v>0</v>
      </c>
      <c r="F231" s="21">
        <v>1</v>
      </c>
      <c r="G231" s="21">
        <v>0</v>
      </c>
      <c r="H231" s="21">
        <v>0</v>
      </c>
      <c r="I231" s="43">
        <f t="shared" si="1"/>
        <v>0.25</v>
      </c>
      <c r="J231" s="20"/>
      <c r="K231" s="20"/>
      <c r="L231" s="20"/>
      <c r="M231" s="20"/>
      <c r="N231" s="20"/>
      <c r="O231" s="20"/>
      <c r="P231" s="20"/>
    </row>
    <row r="232" spans="1:16" ht="14.25" customHeight="1" x14ac:dyDescent="0.35">
      <c r="A232" s="20"/>
      <c r="B232" s="92"/>
      <c r="C232" s="101"/>
      <c r="D232" s="92" t="s">
        <v>67</v>
      </c>
      <c r="E232" s="21">
        <v>0</v>
      </c>
      <c r="F232" s="21">
        <v>0</v>
      </c>
      <c r="G232" s="21">
        <v>0</v>
      </c>
      <c r="H232" s="21">
        <v>0</v>
      </c>
      <c r="I232" s="43">
        <f t="shared" si="1"/>
        <v>0</v>
      </c>
      <c r="J232" s="20"/>
      <c r="K232" s="20"/>
      <c r="L232" s="20"/>
      <c r="M232" s="20"/>
      <c r="N232" s="20"/>
      <c r="O232" s="20"/>
      <c r="P232" s="20"/>
    </row>
    <row r="233" spans="1:16" ht="14.25" customHeight="1" x14ac:dyDescent="0.35">
      <c r="A233" s="30">
        <v>44879</v>
      </c>
      <c r="B233" s="92">
        <f>B230+7</f>
        <v>529</v>
      </c>
      <c r="C233" s="101" t="str">
        <f>$C$128</f>
        <v>3% FBS R3</v>
      </c>
      <c r="D233" s="91" t="s">
        <v>65</v>
      </c>
      <c r="E233" s="31">
        <v>24</v>
      </c>
      <c r="F233" s="31">
        <v>34</v>
      </c>
      <c r="G233" s="31">
        <v>36</v>
      </c>
      <c r="H233" s="31">
        <v>32</v>
      </c>
      <c r="I233" s="43">
        <f t="shared" si="1"/>
        <v>31.5</v>
      </c>
      <c r="J233" s="20">
        <f>I233*2*10000</f>
        <v>630000</v>
      </c>
      <c r="K233" s="20">
        <f>$K$128</f>
        <v>3000000</v>
      </c>
      <c r="L233" s="20">
        <f>J233*5</f>
        <v>3150000</v>
      </c>
      <c r="M233" s="22">
        <f>I233/(I233+I234)*100</f>
        <v>96.92307692307692</v>
      </c>
      <c r="N233" s="22">
        <f>I235/I233*100</f>
        <v>0</v>
      </c>
      <c r="O233" s="23">
        <f>3.32*(LOG(L233)-LOG(K233))</f>
        <v>7.0348472912195065E-2</v>
      </c>
      <c r="P233" s="23">
        <f>P230+O233</f>
        <v>69.448481185236147</v>
      </c>
    </row>
    <row r="234" spans="1:16" ht="14.25" customHeight="1" x14ac:dyDescent="0.35">
      <c r="A234" s="20"/>
      <c r="B234" s="92"/>
      <c r="C234" s="101"/>
      <c r="D234" s="92" t="s">
        <v>66</v>
      </c>
      <c r="E234" s="31">
        <v>0</v>
      </c>
      <c r="F234" s="31">
        <v>2</v>
      </c>
      <c r="G234" s="31">
        <v>1</v>
      </c>
      <c r="H234" s="31">
        <v>1</v>
      </c>
      <c r="I234" s="43">
        <f t="shared" si="1"/>
        <v>1</v>
      </c>
      <c r="J234" s="20"/>
      <c r="K234" s="20"/>
      <c r="L234" s="20"/>
      <c r="M234" s="20"/>
      <c r="N234" s="20"/>
      <c r="O234" s="20"/>
      <c r="P234" s="20"/>
    </row>
    <row r="235" spans="1:16" ht="14.25" customHeight="1" x14ac:dyDescent="0.35">
      <c r="A235" s="20"/>
      <c r="B235" s="92"/>
      <c r="C235" s="101"/>
      <c r="D235" s="92" t="s">
        <v>67</v>
      </c>
      <c r="E235" s="31">
        <v>0</v>
      </c>
      <c r="F235" s="31">
        <v>0</v>
      </c>
      <c r="G235" s="31">
        <v>0</v>
      </c>
      <c r="H235" s="31">
        <v>0</v>
      </c>
      <c r="I235" s="43">
        <f t="shared" si="1"/>
        <v>0</v>
      </c>
      <c r="J235" s="20"/>
      <c r="K235" s="20"/>
      <c r="L235" s="20"/>
      <c r="M235" s="20"/>
      <c r="N235" s="20"/>
      <c r="O235" s="20"/>
      <c r="P235" s="20"/>
    </row>
    <row r="236" spans="1:16" ht="14.25" customHeight="1" x14ac:dyDescent="0.35">
      <c r="A236" s="30">
        <v>44886</v>
      </c>
      <c r="B236" s="92">
        <f>B233+7</f>
        <v>536</v>
      </c>
      <c r="C236" s="101" t="str">
        <f>$C$128</f>
        <v>3% FBS R3</v>
      </c>
      <c r="D236" s="91" t="s">
        <v>65</v>
      </c>
      <c r="E236" s="21">
        <v>74</v>
      </c>
      <c r="F236" s="21">
        <v>64</v>
      </c>
      <c r="G236" s="21">
        <v>65</v>
      </c>
      <c r="H236" s="21">
        <v>64</v>
      </c>
      <c r="I236" s="43">
        <f t="shared" si="1"/>
        <v>66.75</v>
      </c>
      <c r="J236" s="20">
        <f>I236*2*10000</f>
        <v>1335000</v>
      </c>
      <c r="K236" s="20">
        <f>$K$128</f>
        <v>3000000</v>
      </c>
      <c r="L236" s="20">
        <f>J236*5</f>
        <v>6675000</v>
      </c>
      <c r="M236" s="22">
        <f>I236/(I236+I237)*100</f>
        <v>98.161764705882348</v>
      </c>
      <c r="N236" s="22">
        <f>I238/I236*100</f>
        <v>0</v>
      </c>
      <c r="O236" s="23">
        <f>3.32*(LOG(L236)-LOG(K236))</f>
        <v>1.1531356508522734</v>
      </c>
      <c r="P236" s="23">
        <f>P233+O236</f>
        <v>70.601616836088425</v>
      </c>
    </row>
    <row r="237" spans="1:16" ht="14.25" customHeight="1" x14ac:dyDescent="0.35">
      <c r="A237" s="20"/>
      <c r="B237" s="92"/>
      <c r="C237" s="101"/>
      <c r="D237" s="92" t="s">
        <v>66</v>
      </c>
      <c r="E237" s="21">
        <v>0</v>
      </c>
      <c r="F237" s="21">
        <v>0</v>
      </c>
      <c r="G237" s="21">
        <v>2</v>
      </c>
      <c r="H237" s="21">
        <v>3</v>
      </c>
      <c r="I237" s="43">
        <f t="shared" si="1"/>
        <v>1.25</v>
      </c>
      <c r="J237" s="20"/>
      <c r="K237" s="20"/>
      <c r="L237" s="20"/>
      <c r="M237" s="20"/>
      <c r="N237" s="20"/>
      <c r="O237" s="20"/>
      <c r="P237" s="20"/>
    </row>
    <row r="238" spans="1:16" ht="14.25" customHeight="1" x14ac:dyDescent="0.35">
      <c r="A238" s="20"/>
      <c r="B238" s="92"/>
      <c r="C238" s="101"/>
      <c r="D238" s="92" t="s">
        <v>67</v>
      </c>
      <c r="E238" s="21">
        <v>0</v>
      </c>
      <c r="F238" s="21">
        <v>0</v>
      </c>
      <c r="G238" s="21">
        <v>0</v>
      </c>
      <c r="H238" s="21">
        <v>0</v>
      </c>
      <c r="I238" s="43">
        <f t="shared" si="1"/>
        <v>0</v>
      </c>
      <c r="J238" s="20"/>
      <c r="K238" s="20"/>
      <c r="L238" s="20"/>
      <c r="M238" s="20"/>
      <c r="N238" s="20"/>
      <c r="O238" s="20"/>
      <c r="P238" s="20"/>
    </row>
    <row r="239" spans="1:16" ht="14.25" customHeight="1" x14ac:dyDescent="0.35">
      <c r="A239" s="30">
        <v>44893</v>
      </c>
      <c r="B239" s="92">
        <f>B236+7</f>
        <v>543</v>
      </c>
      <c r="C239" s="101" t="str">
        <f>$C$128</f>
        <v>3% FBS R3</v>
      </c>
      <c r="D239" s="91" t="s">
        <v>65</v>
      </c>
      <c r="E239" s="21">
        <v>87</v>
      </c>
      <c r="F239" s="21">
        <v>127</v>
      </c>
      <c r="G239" s="21">
        <v>103</v>
      </c>
      <c r="H239" s="21">
        <v>102</v>
      </c>
      <c r="I239" s="43">
        <f t="shared" si="1"/>
        <v>104.75</v>
      </c>
      <c r="J239" s="20">
        <f>I239*2*10000</f>
        <v>2095000</v>
      </c>
      <c r="K239" s="20">
        <f>$K$128</f>
        <v>3000000</v>
      </c>
      <c r="L239" s="20">
        <f>J239*5</f>
        <v>10475000</v>
      </c>
      <c r="M239" s="22">
        <f>I239/(I239+I240)*100</f>
        <v>98.820754716981128</v>
      </c>
      <c r="N239" s="22">
        <f>I241/I239*100</f>
        <v>0</v>
      </c>
      <c r="O239" s="23">
        <f>3.32*(LOG(L239)-LOG(K239))</f>
        <v>1.8028688193699844</v>
      </c>
      <c r="P239" s="23">
        <f>P236+O239</f>
        <v>72.404485655458416</v>
      </c>
    </row>
    <row r="240" spans="1:16" ht="14.25" customHeight="1" x14ac:dyDescent="0.35">
      <c r="A240" s="20"/>
      <c r="B240" s="92"/>
      <c r="C240" s="101"/>
      <c r="D240" s="92" t="s">
        <v>66</v>
      </c>
      <c r="E240" s="21">
        <v>1</v>
      </c>
      <c r="F240" s="21">
        <v>1</v>
      </c>
      <c r="G240" s="21">
        <v>3</v>
      </c>
      <c r="H240" s="21">
        <v>0</v>
      </c>
      <c r="I240" s="43">
        <f t="shared" si="1"/>
        <v>1.25</v>
      </c>
      <c r="J240" s="20"/>
      <c r="K240" s="20"/>
      <c r="L240" s="20"/>
      <c r="M240" s="20"/>
      <c r="N240" s="20"/>
      <c r="O240" s="20"/>
      <c r="P240" s="20"/>
    </row>
    <row r="241" spans="1:16" ht="14.25" customHeight="1" x14ac:dyDescent="0.35">
      <c r="A241" s="20"/>
      <c r="B241" s="92"/>
      <c r="C241" s="101"/>
      <c r="D241" s="92" t="s">
        <v>67</v>
      </c>
      <c r="E241" s="21">
        <v>0</v>
      </c>
      <c r="F241" s="21">
        <v>0</v>
      </c>
      <c r="G241" s="21">
        <v>0</v>
      </c>
      <c r="H241" s="21">
        <v>0</v>
      </c>
      <c r="I241" s="43">
        <f t="shared" si="1"/>
        <v>0</v>
      </c>
      <c r="J241" s="20"/>
      <c r="K241" s="20"/>
      <c r="L241" s="20"/>
      <c r="M241" s="20"/>
      <c r="N241" s="20"/>
      <c r="O241" s="20"/>
      <c r="P241" s="20"/>
    </row>
    <row r="242" spans="1:16" ht="14.25" customHeight="1" x14ac:dyDescent="0.35">
      <c r="A242" s="30">
        <v>44900</v>
      </c>
      <c r="B242" s="92">
        <f>B239+7</f>
        <v>550</v>
      </c>
      <c r="C242" s="101" t="str">
        <f>$C$128</f>
        <v>3% FBS R3</v>
      </c>
      <c r="D242" s="91" t="s">
        <v>65</v>
      </c>
      <c r="E242" s="21">
        <v>124</v>
      </c>
      <c r="F242" s="21">
        <v>110</v>
      </c>
      <c r="G242" s="21">
        <v>127</v>
      </c>
      <c r="H242" s="21">
        <v>164</v>
      </c>
      <c r="I242" s="43">
        <f t="shared" si="1"/>
        <v>131.25</v>
      </c>
      <c r="J242" s="20">
        <f>I242*2*10000</f>
        <v>2625000</v>
      </c>
      <c r="K242" s="20">
        <f>$K$128</f>
        <v>3000000</v>
      </c>
      <c r="L242" s="20">
        <f>J242*5</f>
        <v>13125000</v>
      </c>
      <c r="M242" s="22">
        <f>I242/(I242+I243)*100</f>
        <v>99.243856332703217</v>
      </c>
      <c r="N242" s="22">
        <f>I244/I242*100</f>
        <v>0.19047619047619047</v>
      </c>
      <c r="O242" s="23">
        <f>3.32*(LOG(L242)-LOG(K242))</f>
        <v>2.1280471504296616</v>
      </c>
      <c r="P242" s="23">
        <f>P239+O242</f>
        <v>74.532532805888081</v>
      </c>
    </row>
    <row r="243" spans="1:16" ht="14.25" customHeight="1" x14ac:dyDescent="0.35">
      <c r="A243" s="20"/>
      <c r="B243" s="92"/>
      <c r="C243" s="101"/>
      <c r="D243" s="92" t="s">
        <v>66</v>
      </c>
      <c r="E243" s="21">
        <v>2</v>
      </c>
      <c r="F243" s="21">
        <v>0</v>
      </c>
      <c r="G243" s="21">
        <v>1</v>
      </c>
      <c r="H243" s="21">
        <v>1</v>
      </c>
      <c r="I243" s="43">
        <f t="shared" si="1"/>
        <v>1</v>
      </c>
      <c r="J243" s="20"/>
      <c r="K243" s="20"/>
      <c r="L243" s="20"/>
      <c r="M243" s="20"/>
      <c r="N243" s="20"/>
      <c r="O243" s="20"/>
      <c r="P243" s="20"/>
    </row>
    <row r="244" spans="1:16" ht="14.25" customHeight="1" x14ac:dyDescent="0.35">
      <c r="A244" s="20"/>
      <c r="B244" s="92"/>
      <c r="C244" s="101"/>
      <c r="D244" s="92" t="s">
        <v>67</v>
      </c>
      <c r="E244" s="21">
        <v>1</v>
      </c>
      <c r="F244" s="21">
        <v>0</v>
      </c>
      <c r="G244" s="21">
        <v>0</v>
      </c>
      <c r="H244" s="21">
        <v>0</v>
      </c>
      <c r="I244" s="43">
        <f t="shared" si="1"/>
        <v>0.25</v>
      </c>
      <c r="J244" s="20"/>
      <c r="K244" s="20"/>
      <c r="L244" s="20"/>
      <c r="M244" s="20"/>
      <c r="N244" s="20"/>
      <c r="O244" s="20"/>
      <c r="P244" s="20"/>
    </row>
    <row r="245" spans="1:16" ht="14.25" customHeight="1" x14ac:dyDescent="0.35">
      <c r="A245" s="30">
        <v>44907</v>
      </c>
      <c r="B245" s="92">
        <f>B242+7</f>
        <v>557</v>
      </c>
      <c r="C245" s="101" t="str">
        <f>$C$128</f>
        <v>3% FBS R3</v>
      </c>
      <c r="D245" s="91" t="s">
        <v>65</v>
      </c>
      <c r="E245" s="21">
        <v>105</v>
      </c>
      <c r="F245" s="21">
        <v>104</v>
      </c>
      <c r="G245" s="21">
        <v>97</v>
      </c>
      <c r="H245" s="21">
        <v>100</v>
      </c>
      <c r="I245" s="43">
        <f t="shared" si="1"/>
        <v>101.5</v>
      </c>
      <c r="J245" s="20">
        <f>I245*2*10000</f>
        <v>2030000</v>
      </c>
      <c r="K245" s="20">
        <f>$K$128</f>
        <v>3000000</v>
      </c>
      <c r="L245" s="20">
        <f>J245*5</f>
        <v>10150000</v>
      </c>
      <c r="M245" s="22">
        <f>I245/(I245+I246)*100</f>
        <v>99.509803921568633</v>
      </c>
      <c r="N245" s="22">
        <f>I247/I245*100</f>
        <v>0</v>
      </c>
      <c r="O245" s="23">
        <f>3.32*(LOG(L245)-LOG(K245))</f>
        <v>1.757424694598168</v>
      </c>
      <c r="P245" s="23">
        <f>P242+O245</f>
        <v>76.289957500486253</v>
      </c>
    </row>
    <row r="246" spans="1:16" ht="14.25" customHeight="1" x14ac:dyDescent="0.35">
      <c r="A246" s="20"/>
      <c r="B246" s="92"/>
      <c r="C246" s="101"/>
      <c r="D246" s="92" t="s">
        <v>66</v>
      </c>
      <c r="E246" s="21">
        <v>0</v>
      </c>
      <c r="F246" s="21">
        <v>0</v>
      </c>
      <c r="G246" s="21">
        <v>1</v>
      </c>
      <c r="H246" s="21">
        <v>1</v>
      </c>
      <c r="I246" s="43">
        <f t="shared" si="1"/>
        <v>0.5</v>
      </c>
      <c r="J246" s="20"/>
      <c r="K246" s="20"/>
      <c r="L246" s="20"/>
      <c r="M246" s="20"/>
      <c r="N246" s="20"/>
      <c r="O246" s="20"/>
      <c r="P246" s="20"/>
    </row>
    <row r="247" spans="1:16" ht="14.25" customHeight="1" x14ac:dyDescent="0.35">
      <c r="A247" s="20"/>
      <c r="B247" s="92"/>
      <c r="C247" s="101"/>
      <c r="D247" s="92" t="s">
        <v>67</v>
      </c>
      <c r="E247" s="21">
        <v>0</v>
      </c>
      <c r="F247" s="21">
        <v>0</v>
      </c>
      <c r="G247" s="21">
        <v>0</v>
      </c>
      <c r="H247" s="21">
        <v>0</v>
      </c>
      <c r="I247" s="43">
        <f t="shared" si="1"/>
        <v>0</v>
      </c>
      <c r="J247" s="20"/>
      <c r="K247" s="20"/>
      <c r="L247" s="20"/>
      <c r="M247" s="20"/>
      <c r="N247" s="20"/>
      <c r="O247" s="20"/>
      <c r="P247" s="20"/>
    </row>
    <row r="248" spans="1:16" ht="14.25" customHeight="1" x14ac:dyDescent="0.35">
      <c r="A248" s="30">
        <v>44914</v>
      </c>
      <c r="B248" s="92">
        <f>B245+7</f>
        <v>564</v>
      </c>
      <c r="C248" s="101" t="str">
        <f>$C$128</f>
        <v>3% FBS R3</v>
      </c>
      <c r="D248" s="91" t="s">
        <v>65</v>
      </c>
      <c r="E248" s="21">
        <v>20</v>
      </c>
      <c r="F248" s="21">
        <v>20</v>
      </c>
      <c r="G248" s="21">
        <v>17</v>
      </c>
      <c r="H248" s="21">
        <v>17</v>
      </c>
      <c r="I248" s="43">
        <f t="shared" si="1"/>
        <v>18.5</v>
      </c>
      <c r="J248" s="20">
        <f>I248*2*10000</f>
        <v>370000</v>
      </c>
      <c r="K248" s="20">
        <f>$K$128</f>
        <v>3000000</v>
      </c>
      <c r="L248" s="20">
        <f>J248*5</f>
        <v>1850000</v>
      </c>
      <c r="M248" s="22">
        <f>I248/(I248+I249)*100</f>
        <v>100</v>
      </c>
      <c r="N248" s="22">
        <f>I250/I248*100</f>
        <v>0</v>
      </c>
      <c r="O248" s="23">
        <f>3.32*(LOG(L248)-LOG(K248))</f>
        <v>-0.69703242737127424</v>
      </c>
      <c r="P248" s="23">
        <f>P245</f>
        <v>76.289957500486253</v>
      </c>
    </row>
    <row r="249" spans="1:16" ht="14.25" customHeight="1" x14ac:dyDescent="0.35">
      <c r="A249" s="20"/>
      <c r="B249" s="92"/>
      <c r="C249" s="101"/>
      <c r="D249" s="92" t="s">
        <v>66</v>
      </c>
      <c r="E249" s="21">
        <v>0</v>
      </c>
      <c r="F249" s="21">
        <v>0</v>
      </c>
      <c r="G249" s="21">
        <v>0</v>
      </c>
      <c r="H249" s="21">
        <v>0</v>
      </c>
      <c r="I249" s="43">
        <f t="shared" si="1"/>
        <v>0</v>
      </c>
      <c r="J249" s="20"/>
      <c r="K249" s="20"/>
      <c r="L249" s="20"/>
      <c r="M249" s="20"/>
      <c r="N249" s="20"/>
      <c r="O249" s="20"/>
      <c r="P249" s="20"/>
    </row>
    <row r="250" spans="1:16" ht="14.25" customHeight="1" x14ac:dyDescent="0.35">
      <c r="A250" s="20"/>
      <c r="B250" s="92"/>
      <c r="C250" s="101"/>
      <c r="D250" s="92" t="s">
        <v>67</v>
      </c>
      <c r="E250" s="21">
        <v>0</v>
      </c>
      <c r="F250" s="21">
        <v>0</v>
      </c>
      <c r="G250" s="21">
        <v>0</v>
      </c>
      <c r="H250" s="21">
        <v>0</v>
      </c>
      <c r="I250" s="43">
        <f t="shared" si="1"/>
        <v>0</v>
      </c>
      <c r="J250" s="20"/>
      <c r="K250" s="20"/>
      <c r="L250" s="20"/>
      <c r="M250" s="20"/>
      <c r="N250" s="20"/>
      <c r="O250" s="20"/>
      <c r="P250" s="20"/>
    </row>
    <row r="251" spans="1:16" ht="14.25" customHeight="1" x14ac:dyDescent="0.35">
      <c r="A251" s="30">
        <v>44922</v>
      </c>
      <c r="B251" s="92">
        <f>B248+8</f>
        <v>572</v>
      </c>
      <c r="C251" s="101" t="str">
        <f>$C$128</f>
        <v>3% FBS R3</v>
      </c>
      <c r="D251" s="91" t="s">
        <v>65</v>
      </c>
      <c r="E251" s="21">
        <v>30</v>
      </c>
      <c r="F251" s="21">
        <v>36</v>
      </c>
      <c r="G251" s="21">
        <v>48</v>
      </c>
      <c r="H251" s="21">
        <v>40</v>
      </c>
      <c r="I251" s="43">
        <f t="shared" si="1"/>
        <v>38.5</v>
      </c>
      <c r="J251" s="20">
        <f>I251*2*10000</f>
        <v>770000</v>
      </c>
      <c r="K251" s="20">
        <v>1850000</v>
      </c>
      <c r="L251" s="20">
        <f>J251*5</f>
        <v>3850000</v>
      </c>
      <c r="M251" s="22">
        <f>I251/(I251+I252)*100</f>
        <v>95.652173913043484</v>
      </c>
      <c r="N251" s="22">
        <f>I253/I251*100</f>
        <v>0</v>
      </c>
      <c r="O251" s="23">
        <f>3.32*(LOG(L251)-LOG(K251))</f>
        <v>1.0567194836702178</v>
      </c>
      <c r="P251" s="23">
        <f>P248+O251</f>
        <v>77.346676984156474</v>
      </c>
    </row>
    <row r="252" spans="1:16" ht="14.25" customHeight="1" x14ac:dyDescent="0.35">
      <c r="A252" s="20"/>
      <c r="B252" s="92"/>
      <c r="C252" s="101"/>
      <c r="D252" s="92" t="s">
        <v>66</v>
      </c>
      <c r="E252" s="21">
        <v>2</v>
      </c>
      <c r="F252" s="21">
        <v>2</v>
      </c>
      <c r="G252" s="21">
        <v>2</v>
      </c>
      <c r="H252" s="21">
        <v>1</v>
      </c>
      <c r="I252" s="43">
        <f t="shared" si="1"/>
        <v>1.75</v>
      </c>
      <c r="J252" s="20"/>
      <c r="K252" s="20"/>
      <c r="L252" s="20"/>
      <c r="M252" s="20"/>
      <c r="N252" s="20"/>
      <c r="O252" s="20"/>
      <c r="P252" s="20"/>
    </row>
    <row r="253" spans="1:16" ht="14.25" customHeight="1" x14ac:dyDescent="0.35">
      <c r="A253" s="20"/>
      <c r="B253" s="92"/>
      <c r="C253" s="101"/>
      <c r="D253" s="92" t="s">
        <v>67</v>
      </c>
      <c r="E253" s="21">
        <v>0</v>
      </c>
      <c r="F253" s="21">
        <v>0</v>
      </c>
      <c r="G253" s="21">
        <v>0</v>
      </c>
      <c r="H253" s="21">
        <v>0</v>
      </c>
      <c r="I253" s="43">
        <f t="shared" si="1"/>
        <v>0</v>
      </c>
      <c r="J253" s="20"/>
      <c r="K253" s="20"/>
      <c r="L253" s="20"/>
      <c r="M253" s="20"/>
      <c r="N253" s="20"/>
      <c r="O253" s="20"/>
      <c r="P253" s="20"/>
    </row>
    <row r="254" spans="1:16" ht="14.25" customHeight="1" x14ac:dyDescent="0.35">
      <c r="A254" s="30">
        <v>44929</v>
      </c>
      <c r="B254" s="92">
        <f>B251+6</f>
        <v>578</v>
      </c>
      <c r="C254" s="101" t="str">
        <f>$C$128</f>
        <v>3% FBS R3</v>
      </c>
      <c r="D254" s="91" t="s">
        <v>65</v>
      </c>
      <c r="E254" s="21">
        <v>52</v>
      </c>
      <c r="F254" s="21">
        <v>84</v>
      </c>
      <c r="G254" s="21">
        <v>73</v>
      </c>
      <c r="H254" s="21">
        <v>63</v>
      </c>
      <c r="I254" s="43">
        <f t="shared" si="1"/>
        <v>68</v>
      </c>
      <c r="J254" s="20">
        <f>I254*2*10000</f>
        <v>1360000</v>
      </c>
      <c r="K254" s="20">
        <f>$K$128</f>
        <v>3000000</v>
      </c>
      <c r="L254" s="20">
        <f>J254*5</f>
        <v>6800000</v>
      </c>
      <c r="M254" s="22">
        <f>I254/(I254+I255)*100</f>
        <v>98.550724637681171</v>
      </c>
      <c r="N254" s="22">
        <f>I256/I254*100</f>
        <v>0</v>
      </c>
      <c r="O254" s="23">
        <f>3.32*(LOG(L254)-LOG(K254))</f>
        <v>1.1798870245154256</v>
      </c>
      <c r="P254" s="23">
        <f>P251+O254</f>
        <v>78.526564008671897</v>
      </c>
    </row>
    <row r="255" spans="1:16" ht="14.25" customHeight="1" x14ac:dyDescent="0.35">
      <c r="A255" s="20"/>
      <c r="B255" s="92"/>
      <c r="C255" s="101"/>
      <c r="D255" s="92" t="s">
        <v>66</v>
      </c>
      <c r="E255" s="21">
        <v>1</v>
      </c>
      <c r="F255" s="21">
        <v>3</v>
      </c>
      <c r="G255" s="21">
        <v>0</v>
      </c>
      <c r="H255" s="21">
        <v>0</v>
      </c>
      <c r="I255" s="43">
        <f t="shared" si="1"/>
        <v>1</v>
      </c>
      <c r="J255" s="20"/>
      <c r="K255" s="20"/>
      <c r="L255" s="20"/>
      <c r="M255" s="20"/>
      <c r="N255" s="20"/>
      <c r="O255" s="20"/>
      <c r="P255" s="20"/>
    </row>
    <row r="256" spans="1:16" ht="14.25" customHeight="1" x14ac:dyDescent="0.35">
      <c r="A256" s="20"/>
      <c r="B256" s="92"/>
      <c r="C256" s="101"/>
      <c r="D256" s="92" t="s">
        <v>67</v>
      </c>
      <c r="E256" s="21">
        <v>0</v>
      </c>
      <c r="F256" s="21">
        <v>0</v>
      </c>
      <c r="G256" s="21">
        <v>0</v>
      </c>
      <c r="H256" s="21">
        <v>0</v>
      </c>
      <c r="I256" s="43">
        <f t="shared" si="1"/>
        <v>0</v>
      </c>
      <c r="J256" s="20"/>
      <c r="K256" s="20"/>
      <c r="L256" s="20"/>
      <c r="M256" s="20"/>
      <c r="N256" s="20"/>
      <c r="O256" s="20"/>
      <c r="P256" s="20"/>
    </row>
    <row r="257" spans="1:16" ht="14.25" customHeight="1" x14ac:dyDescent="0.35">
      <c r="A257" s="30">
        <f t="shared" ref="A257:B257" si="2">A254+6</f>
        <v>44935</v>
      </c>
      <c r="B257" s="92">
        <f t="shared" si="2"/>
        <v>584</v>
      </c>
      <c r="C257" s="101" t="str">
        <f>$C$128</f>
        <v>3% FBS R3</v>
      </c>
      <c r="D257" s="91" t="s">
        <v>65</v>
      </c>
      <c r="E257" s="21">
        <v>89</v>
      </c>
      <c r="F257" s="21">
        <v>87</v>
      </c>
      <c r="G257" s="21">
        <v>82</v>
      </c>
      <c r="H257" s="21">
        <v>99</v>
      </c>
      <c r="I257" s="43">
        <f t="shared" si="1"/>
        <v>89.25</v>
      </c>
      <c r="J257" s="20">
        <f>I257*2*10000</f>
        <v>1785000</v>
      </c>
      <c r="K257" s="20">
        <f>$K$128</f>
        <v>3000000</v>
      </c>
      <c r="L257" s="20">
        <f>J257*5</f>
        <v>8925000</v>
      </c>
      <c r="M257" s="22">
        <f>I257/(I257+I258)*100</f>
        <v>96.747967479674799</v>
      </c>
      <c r="N257" s="22">
        <f>I259/I257*100</f>
        <v>0</v>
      </c>
      <c r="O257" s="23">
        <f>3.32*(LOG(L257)-LOG(K257))</f>
        <v>1.5719767406143674</v>
      </c>
      <c r="P257" s="23">
        <f>P254+O257</f>
        <v>80.098540749286258</v>
      </c>
    </row>
    <row r="258" spans="1:16" ht="14.25" customHeight="1" x14ac:dyDescent="0.35">
      <c r="A258" s="20"/>
      <c r="B258" s="92"/>
      <c r="C258" s="101"/>
      <c r="D258" s="92" t="s">
        <v>66</v>
      </c>
      <c r="E258" s="21">
        <v>1</v>
      </c>
      <c r="F258" s="21">
        <v>3</v>
      </c>
      <c r="G258" s="21">
        <v>2</v>
      </c>
      <c r="H258" s="21">
        <v>6</v>
      </c>
      <c r="I258" s="43">
        <f t="shared" si="1"/>
        <v>3</v>
      </c>
      <c r="J258" s="20"/>
      <c r="K258" s="20"/>
      <c r="L258" s="20"/>
      <c r="M258" s="20"/>
      <c r="N258" s="20"/>
      <c r="O258" s="20"/>
      <c r="P258" s="20"/>
    </row>
    <row r="259" spans="1:16" ht="14.25" customHeight="1" x14ac:dyDescent="0.35">
      <c r="A259" s="20"/>
      <c r="B259" s="92"/>
      <c r="C259" s="101"/>
      <c r="D259" s="92" t="s">
        <v>67</v>
      </c>
      <c r="E259" s="21">
        <v>0</v>
      </c>
      <c r="F259" s="21">
        <v>0</v>
      </c>
      <c r="G259" s="21">
        <v>0</v>
      </c>
      <c r="H259" s="21">
        <v>0</v>
      </c>
      <c r="I259" s="43">
        <f t="shared" si="1"/>
        <v>0</v>
      </c>
      <c r="J259" s="20"/>
      <c r="K259" s="20"/>
      <c r="L259" s="20"/>
      <c r="M259" s="20"/>
      <c r="N259" s="20"/>
      <c r="O259" s="20"/>
      <c r="P259" s="20"/>
    </row>
    <row r="260" spans="1:16" ht="14.25" customHeight="1" x14ac:dyDescent="0.35">
      <c r="A260" s="30">
        <f t="shared" ref="A260:B260" si="3">A257+8</f>
        <v>44943</v>
      </c>
      <c r="B260" s="92">
        <f t="shared" si="3"/>
        <v>592</v>
      </c>
      <c r="C260" s="101" t="str">
        <f>$C$128</f>
        <v>3% FBS R3</v>
      </c>
      <c r="D260" s="91" t="s">
        <v>65</v>
      </c>
      <c r="E260" s="21">
        <v>265</v>
      </c>
      <c r="F260" s="21">
        <f>72*4</f>
        <v>288</v>
      </c>
      <c r="G260" s="21">
        <f>65*4</f>
        <v>260</v>
      </c>
      <c r="H260" s="21">
        <f>61*4</f>
        <v>244</v>
      </c>
      <c r="I260" s="43">
        <f t="shared" si="1"/>
        <v>264.25</v>
      </c>
      <c r="J260" s="20">
        <f>I260*2*10000</f>
        <v>5285000</v>
      </c>
      <c r="K260" s="20">
        <f>$K$128</f>
        <v>3000000</v>
      </c>
      <c r="L260" s="20">
        <f>J260*5</f>
        <v>26425000</v>
      </c>
      <c r="M260" s="22">
        <f>I260/(I260+I261)*100</f>
        <v>95.91651542649727</v>
      </c>
      <c r="N260" s="22">
        <f>I262/I260*100</f>
        <v>0</v>
      </c>
      <c r="O260" s="23">
        <f>3.32*(LOG(L260)-LOG(K260))</f>
        <v>3.1370472209825411</v>
      </c>
      <c r="P260" s="23">
        <f>P257+O260</f>
        <v>83.235587970268796</v>
      </c>
    </row>
    <row r="261" spans="1:16" ht="14.25" customHeight="1" x14ac:dyDescent="0.35">
      <c r="A261" s="20"/>
      <c r="B261" s="92"/>
      <c r="C261" s="101"/>
      <c r="D261" s="92" t="s">
        <v>66</v>
      </c>
      <c r="E261" s="21">
        <v>9</v>
      </c>
      <c r="F261" s="21">
        <f>4*4</f>
        <v>16</v>
      </c>
      <c r="G261" s="21">
        <v>4</v>
      </c>
      <c r="H261" s="21">
        <f>4*4</f>
        <v>16</v>
      </c>
      <c r="I261" s="43">
        <f t="shared" si="1"/>
        <v>11.25</v>
      </c>
      <c r="J261" s="20"/>
      <c r="K261" s="20"/>
      <c r="L261" s="20"/>
      <c r="M261" s="20"/>
      <c r="N261" s="20"/>
      <c r="O261" s="20"/>
      <c r="P261" s="20"/>
    </row>
    <row r="262" spans="1:16" ht="14.25" customHeight="1" x14ac:dyDescent="0.35">
      <c r="A262" s="20"/>
      <c r="B262" s="92"/>
      <c r="C262" s="101"/>
      <c r="D262" s="92" t="s">
        <v>67</v>
      </c>
      <c r="E262" s="21">
        <v>0</v>
      </c>
      <c r="F262" s="21">
        <v>0</v>
      </c>
      <c r="G262" s="21">
        <v>0</v>
      </c>
      <c r="H262" s="21">
        <v>0</v>
      </c>
      <c r="I262" s="43">
        <f t="shared" si="1"/>
        <v>0</v>
      </c>
      <c r="J262" s="20"/>
      <c r="K262" s="20"/>
      <c r="L262" s="20"/>
      <c r="M262" s="20"/>
      <c r="N262" s="20"/>
      <c r="O262" s="20"/>
      <c r="P262" s="20"/>
    </row>
    <row r="263" spans="1:16" ht="14.25" customHeight="1" x14ac:dyDescent="0.35">
      <c r="A263" s="30">
        <f t="shared" ref="A263:B263" si="4">A260+6</f>
        <v>44949</v>
      </c>
      <c r="B263" s="92">
        <f t="shared" si="4"/>
        <v>598</v>
      </c>
      <c r="C263" s="101" t="str">
        <f>$C$128</f>
        <v>3% FBS R3</v>
      </c>
      <c r="D263" s="91" t="s">
        <v>65</v>
      </c>
      <c r="E263" s="21">
        <v>94</v>
      </c>
      <c r="F263" s="21">
        <v>95</v>
      </c>
      <c r="G263" s="21">
        <v>107</v>
      </c>
      <c r="H263" s="21">
        <v>129</v>
      </c>
      <c r="I263" s="43">
        <f t="shared" si="1"/>
        <v>106.25</v>
      </c>
      <c r="J263" s="20">
        <f>I263*2*10000</f>
        <v>2125000</v>
      </c>
      <c r="K263" s="20">
        <f>$K$128</f>
        <v>3000000</v>
      </c>
      <c r="L263" s="20">
        <f>J263*5</f>
        <v>10625000</v>
      </c>
      <c r="M263" s="22">
        <f>I263/(I263+I264)*100</f>
        <v>97.031963470319639</v>
      </c>
      <c r="N263" s="22">
        <f>I265/I263*100</f>
        <v>0.23529411764705879</v>
      </c>
      <c r="O263" s="23">
        <f>3.32*(LOG(L263)-LOG(K263))</f>
        <v>1.823369510888919</v>
      </c>
      <c r="P263" s="23">
        <f>P260+O263</f>
        <v>85.058957481157719</v>
      </c>
    </row>
    <row r="264" spans="1:16" ht="14.25" customHeight="1" x14ac:dyDescent="0.35">
      <c r="A264" s="20"/>
      <c r="B264" s="92"/>
      <c r="C264" s="101"/>
      <c r="D264" s="92" t="s">
        <v>66</v>
      </c>
      <c r="E264" s="21">
        <v>2</v>
      </c>
      <c r="F264" s="21">
        <v>0</v>
      </c>
      <c r="G264" s="21">
        <v>3</v>
      </c>
      <c r="H264" s="21">
        <v>8</v>
      </c>
      <c r="I264" s="43">
        <f t="shared" si="1"/>
        <v>3.25</v>
      </c>
      <c r="J264" s="20"/>
      <c r="K264" s="20"/>
      <c r="L264" s="20"/>
      <c r="M264" s="20"/>
      <c r="N264" s="20"/>
      <c r="O264" s="20"/>
      <c r="P264" s="20"/>
    </row>
    <row r="265" spans="1:16" ht="14.25" customHeight="1" x14ac:dyDescent="0.35">
      <c r="A265" s="20"/>
      <c r="B265" s="92"/>
      <c r="C265" s="101"/>
      <c r="D265" s="92" t="s">
        <v>67</v>
      </c>
      <c r="E265" s="21">
        <v>0</v>
      </c>
      <c r="F265" s="21">
        <v>0</v>
      </c>
      <c r="G265" s="21">
        <v>1</v>
      </c>
      <c r="H265" s="21">
        <v>0</v>
      </c>
      <c r="I265" s="43">
        <f t="shared" si="1"/>
        <v>0.25</v>
      </c>
      <c r="J265" s="20"/>
      <c r="K265" s="20"/>
      <c r="L265" s="20"/>
      <c r="M265" s="20"/>
      <c r="N265" s="20"/>
      <c r="O265" s="20"/>
      <c r="P265" s="20"/>
    </row>
    <row r="266" spans="1:16" ht="14.25" customHeight="1" x14ac:dyDescent="0.35">
      <c r="A266" s="30">
        <f t="shared" ref="A266:B266" si="5">A263+8</f>
        <v>44957</v>
      </c>
      <c r="B266" s="92">
        <f t="shared" si="5"/>
        <v>606</v>
      </c>
      <c r="C266" s="101" t="str">
        <f>$C$128</f>
        <v>3% FBS R3</v>
      </c>
      <c r="D266" s="91" t="s">
        <v>65</v>
      </c>
      <c r="E266" s="21">
        <v>50</v>
      </c>
      <c r="F266" s="21">
        <v>61</v>
      </c>
      <c r="G266" s="21">
        <v>76</v>
      </c>
      <c r="H266" s="21">
        <v>54</v>
      </c>
      <c r="I266" s="43">
        <f t="shared" si="1"/>
        <v>60.25</v>
      </c>
      <c r="J266" s="20">
        <f>I266*2*10000</f>
        <v>1205000</v>
      </c>
      <c r="K266" s="20">
        <f>$K$128</f>
        <v>3000000</v>
      </c>
      <c r="L266" s="20">
        <f>J266*5</f>
        <v>6025000</v>
      </c>
      <c r="M266" s="22">
        <f>I266/(I266+I267)*100</f>
        <v>97.967479674796749</v>
      </c>
      <c r="N266" s="22">
        <f>I268/I266*100</f>
        <v>0</v>
      </c>
      <c r="O266" s="23">
        <f>3.32*(LOG(L266)-LOG(K266))</f>
        <v>1.0054148444704476</v>
      </c>
      <c r="P266" s="23">
        <f>P263+O266</f>
        <v>86.06437232562817</v>
      </c>
    </row>
    <row r="267" spans="1:16" ht="14.25" customHeight="1" x14ac:dyDescent="0.35">
      <c r="A267" s="20"/>
      <c r="B267" s="92"/>
      <c r="C267" s="101"/>
      <c r="D267" s="92" t="s">
        <v>66</v>
      </c>
      <c r="E267" s="21">
        <v>0</v>
      </c>
      <c r="F267" s="21">
        <v>0</v>
      </c>
      <c r="G267" s="21">
        <v>3</v>
      </c>
      <c r="H267" s="21">
        <v>2</v>
      </c>
      <c r="I267" s="43">
        <f t="shared" si="1"/>
        <v>1.25</v>
      </c>
      <c r="J267" s="20"/>
      <c r="K267" s="20"/>
      <c r="L267" s="20"/>
      <c r="M267" s="20"/>
      <c r="N267" s="20"/>
      <c r="O267" s="20"/>
      <c r="P267" s="20"/>
    </row>
    <row r="268" spans="1:16" ht="14.25" customHeight="1" x14ac:dyDescent="0.35">
      <c r="A268" s="20"/>
      <c r="B268" s="92"/>
      <c r="C268" s="101"/>
      <c r="D268" s="92" t="s">
        <v>67</v>
      </c>
      <c r="E268" s="21">
        <v>0</v>
      </c>
      <c r="F268" s="21">
        <v>0</v>
      </c>
      <c r="G268" s="21">
        <v>0</v>
      </c>
      <c r="H268" s="21">
        <v>0</v>
      </c>
      <c r="I268" s="43">
        <f t="shared" si="1"/>
        <v>0</v>
      </c>
      <c r="J268" s="20"/>
      <c r="K268" s="20"/>
      <c r="L268" s="20"/>
      <c r="M268" s="20"/>
      <c r="N268" s="20"/>
      <c r="O268" s="20"/>
      <c r="P268" s="20"/>
    </row>
    <row r="269" spans="1:16" ht="14.25" customHeight="1" x14ac:dyDescent="0.35">
      <c r="A269" s="30">
        <f t="shared" ref="A269:B269" si="6">A266+6</f>
        <v>44963</v>
      </c>
      <c r="B269" s="92">
        <f t="shared" si="6"/>
        <v>612</v>
      </c>
      <c r="C269" s="101" t="str">
        <f>$C$128</f>
        <v>3% FBS R3</v>
      </c>
      <c r="D269" s="91" t="s">
        <v>65</v>
      </c>
      <c r="E269" s="21">
        <v>34</v>
      </c>
      <c r="F269" s="21">
        <v>37</v>
      </c>
      <c r="G269" s="21">
        <v>40</v>
      </c>
      <c r="H269" s="21">
        <v>29</v>
      </c>
      <c r="I269" s="43">
        <f t="shared" si="1"/>
        <v>35</v>
      </c>
      <c r="J269" s="20">
        <f>I269*2*10000</f>
        <v>700000</v>
      </c>
      <c r="K269" s="20">
        <f>$K$128</f>
        <v>3000000</v>
      </c>
      <c r="L269" s="20">
        <f>J269*5</f>
        <v>3500000</v>
      </c>
      <c r="M269" s="22">
        <f>I269/(I269+I270)*100</f>
        <v>100</v>
      </c>
      <c r="N269" s="22">
        <f>I271/I269*100</f>
        <v>0</v>
      </c>
      <c r="O269" s="23">
        <f>3.32*(LOG(L269)-LOG(K269))</f>
        <v>0.22226334157363536</v>
      </c>
      <c r="P269" s="23">
        <f>P266+O269</f>
        <v>86.286635667201807</v>
      </c>
    </row>
    <row r="270" spans="1:16" ht="14.25" customHeight="1" x14ac:dyDescent="0.35">
      <c r="A270" s="20"/>
      <c r="B270" s="92"/>
      <c r="C270" s="101"/>
      <c r="D270" s="92" t="s">
        <v>66</v>
      </c>
      <c r="E270" s="21">
        <v>0</v>
      </c>
      <c r="F270" s="21">
        <v>0</v>
      </c>
      <c r="G270" s="21">
        <v>0</v>
      </c>
      <c r="H270" s="21">
        <v>0</v>
      </c>
      <c r="I270" s="43">
        <f t="shared" si="1"/>
        <v>0</v>
      </c>
      <c r="J270" s="20"/>
      <c r="K270" s="20"/>
      <c r="L270" s="20"/>
      <c r="M270" s="20"/>
      <c r="N270" s="20"/>
      <c r="O270" s="20"/>
      <c r="P270" s="20"/>
    </row>
    <row r="271" spans="1:16" ht="14.25" customHeight="1" x14ac:dyDescent="0.35">
      <c r="A271" s="20"/>
      <c r="B271" s="92"/>
      <c r="C271" s="101"/>
      <c r="D271" s="92" t="s">
        <v>67</v>
      </c>
      <c r="E271" s="21">
        <v>0</v>
      </c>
      <c r="F271" s="21">
        <v>0</v>
      </c>
      <c r="G271" s="21">
        <v>0</v>
      </c>
      <c r="H271" s="21">
        <v>0</v>
      </c>
      <c r="I271" s="43">
        <f t="shared" si="1"/>
        <v>0</v>
      </c>
      <c r="J271" s="20"/>
      <c r="K271" s="20"/>
      <c r="L271" s="20"/>
      <c r="M271" s="20"/>
      <c r="N271" s="20"/>
      <c r="O271" s="20"/>
      <c r="P271" s="20"/>
    </row>
    <row r="272" spans="1:16" ht="14.25" customHeight="1" x14ac:dyDescent="0.35">
      <c r="A272" s="30">
        <f t="shared" ref="A272:B272" si="7">A269+7</f>
        <v>44970</v>
      </c>
      <c r="B272" s="92">
        <f t="shared" si="7"/>
        <v>619</v>
      </c>
      <c r="C272" s="101" t="str">
        <f>$C$128</f>
        <v>3% FBS R3</v>
      </c>
      <c r="D272" s="91" t="s">
        <v>65</v>
      </c>
      <c r="E272" s="21">
        <v>42</v>
      </c>
      <c r="F272" s="21">
        <v>50</v>
      </c>
      <c r="G272" s="21">
        <v>52</v>
      </c>
      <c r="H272" s="21">
        <v>40</v>
      </c>
      <c r="I272" s="43">
        <f t="shared" si="1"/>
        <v>46</v>
      </c>
      <c r="J272" s="20">
        <f>I272*2*10000</f>
        <v>920000</v>
      </c>
      <c r="K272" s="20">
        <f>$K$128</f>
        <v>3000000</v>
      </c>
      <c r="L272" s="20">
        <f>J272*5</f>
        <v>4600000</v>
      </c>
      <c r="M272" s="22">
        <f>I272/(I272+I273)*100</f>
        <v>97.872340425531917</v>
      </c>
      <c r="N272" s="22">
        <f>I274/I272*100</f>
        <v>0</v>
      </c>
      <c r="O272" s="23">
        <f>3.32*(LOG(L272)-LOG(K272))</f>
        <v>0.61631343551354689</v>
      </c>
      <c r="P272" s="23">
        <f>P269+O272</f>
        <v>86.902949102715354</v>
      </c>
    </row>
    <row r="273" spans="1:16" ht="14.25" customHeight="1" x14ac:dyDescent="0.35">
      <c r="A273" s="20"/>
      <c r="B273" s="92"/>
      <c r="C273" s="101"/>
      <c r="D273" s="92" t="s">
        <v>66</v>
      </c>
      <c r="E273" s="21">
        <v>0</v>
      </c>
      <c r="F273" s="21">
        <v>2</v>
      </c>
      <c r="G273" s="21">
        <v>1</v>
      </c>
      <c r="H273" s="21">
        <v>1</v>
      </c>
      <c r="I273" s="43">
        <f t="shared" si="1"/>
        <v>1</v>
      </c>
      <c r="J273" s="20"/>
      <c r="K273" s="20"/>
      <c r="L273" s="20"/>
      <c r="M273" s="20"/>
      <c r="N273" s="20"/>
      <c r="O273" s="20"/>
      <c r="P273" s="20"/>
    </row>
    <row r="274" spans="1:16" ht="14.25" customHeight="1" x14ac:dyDescent="0.35">
      <c r="A274" s="20"/>
      <c r="B274" s="92"/>
      <c r="C274" s="101"/>
      <c r="D274" s="92" t="s">
        <v>67</v>
      </c>
      <c r="E274" s="21">
        <v>0</v>
      </c>
      <c r="F274" s="21">
        <v>0</v>
      </c>
      <c r="G274" s="21">
        <v>0</v>
      </c>
      <c r="H274" s="21">
        <v>0</v>
      </c>
      <c r="I274" s="43">
        <f t="shared" si="1"/>
        <v>0</v>
      </c>
      <c r="J274" s="20"/>
      <c r="K274" s="20"/>
      <c r="L274" s="20"/>
      <c r="M274" s="20"/>
      <c r="N274" s="20"/>
      <c r="O274" s="20"/>
      <c r="P274" s="20"/>
    </row>
    <row r="275" spans="1:16" ht="14.25" customHeight="1" x14ac:dyDescent="0.35">
      <c r="A275" s="30">
        <f t="shared" ref="A275:B275" si="8">A272+7</f>
        <v>44977</v>
      </c>
      <c r="B275" s="92">
        <f t="shared" si="8"/>
        <v>626</v>
      </c>
      <c r="C275" s="101" t="str">
        <f>$C$128</f>
        <v>3% FBS R3</v>
      </c>
      <c r="D275" s="91" t="s">
        <v>65</v>
      </c>
      <c r="E275" s="21">
        <v>33</v>
      </c>
      <c r="F275" s="21">
        <v>35</v>
      </c>
      <c r="G275" s="21">
        <v>38</v>
      </c>
      <c r="H275" s="21">
        <v>28</v>
      </c>
      <c r="I275" s="43">
        <f t="shared" si="1"/>
        <v>33.5</v>
      </c>
      <c r="J275" s="20">
        <f>I275*2*10000</f>
        <v>670000</v>
      </c>
      <c r="K275" s="20">
        <f>$K$128</f>
        <v>3000000</v>
      </c>
      <c r="L275" s="20">
        <f>J275*5</f>
        <v>3350000</v>
      </c>
      <c r="M275" s="22">
        <f>I275/(I275+I276)*100</f>
        <v>97.810218978102199</v>
      </c>
      <c r="N275" s="22">
        <f>I277/I275*100</f>
        <v>0</v>
      </c>
      <c r="O275" s="23">
        <f>3.32*(LOG(L275)-LOG(K275))</f>
        <v>0.15910619369304768</v>
      </c>
      <c r="P275" s="23">
        <f>P272+O275</f>
        <v>87.062055296408403</v>
      </c>
    </row>
    <row r="276" spans="1:16" ht="14.25" customHeight="1" x14ac:dyDescent="0.35">
      <c r="A276" s="20"/>
      <c r="B276" s="92"/>
      <c r="C276" s="101"/>
      <c r="D276" s="92" t="s">
        <v>66</v>
      </c>
      <c r="E276" s="21">
        <v>0</v>
      </c>
      <c r="F276" s="21">
        <v>1</v>
      </c>
      <c r="G276" s="21">
        <v>1</v>
      </c>
      <c r="H276" s="21">
        <v>1</v>
      </c>
      <c r="I276" s="43">
        <f t="shared" si="1"/>
        <v>0.75</v>
      </c>
      <c r="J276" s="20"/>
      <c r="K276" s="20"/>
      <c r="L276" s="20"/>
      <c r="M276" s="20"/>
      <c r="N276" s="20"/>
      <c r="O276" s="20"/>
      <c r="P276" s="20"/>
    </row>
    <row r="277" spans="1:16" ht="14.25" customHeight="1" x14ac:dyDescent="0.35">
      <c r="A277" s="20"/>
      <c r="B277" s="92"/>
      <c r="C277" s="101"/>
      <c r="D277" s="92" t="s">
        <v>67</v>
      </c>
      <c r="E277" s="21">
        <v>0</v>
      </c>
      <c r="F277" s="21">
        <v>0</v>
      </c>
      <c r="G277" s="21">
        <v>0</v>
      </c>
      <c r="H277" s="21">
        <v>0</v>
      </c>
      <c r="I277" s="43">
        <f t="shared" si="1"/>
        <v>0</v>
      </c>
      <c r="J277" s="20"/>
      <c r="K277" s="20"/>
      <c r="L277" s="20"/>
      <c r="M277" s="20"/>
      <c r="N277" s="20"/>
      <c r="O277" s="20"/>
      <c r="P277" s="20"/>
    </row>
    <row r="278" spans="1:16" ht="14.25" customHeight="1" x14ac:dyDescent="0.35">
      <c r="A278" s="30">
        <f t="shared" ref="A278:B278" si="9">A275+7</f>
        <v>44984</v>
      </c>
      <c r="B278" s="92">
        <f t="shared" si="9"/>
        <v>633</v>
      </c>
      <c r="C278" s="101" t="str">
        <f>$C$128</f>
        <v>3% FBS R3</v>
      </c>
      <c r="D278" s="91" t="s">
        <v>65</v>
      </c>
      <c r="E278" s="21">
        <v>29</v>
      </c>
      <c r="F278" s="21">
        <v>29</v>
      </c>
      <c r="G278" s="21">
        <v>25</v>
      </c>
      <c r="H278" s="21">
        <v>28</v>
      </c>
      <c r="I278" s="43">
        <f t="shared" si="1"/>
        <v>27.75</v>
      </c>
      <c r="J278" s="20">
        <f>I278*2*10000</f>
        <v>555000</v>
      </c>
      <c r="K278" s="20">
        <f>$K$128</f>
        <v>3000000</v>
      </c>
      <c r="L278" s="20">
        <f>J278*5</f>
        <v>2775000</v>
      </c>
      <c r="M278" s="22">
        <f>I278/(I278+I279)*100</f>
        <v>95.689655172413794</v>
      </c>
      <c r="N278" s="22">
        <f>I280/I278*100</f>
        <v>0</v>
      </c>
      <c r="O278" s="23">
        <f>3.32*(LOG(L278)-LOG(K278))</f>
        <v>-0.11240944730641217</v>
      </c>
      <c r="P278" s="23">
        <f>P275</f>
        <v>87.062055296408403</v>
      </c>
    </row>
    <row r="279" spans="1:16" ht="14.25" customHeight="1" x14ac:dyDescent="0.35">
      <c r="A279" s="20"/>
      <c r="B279" s="92"/>
      <c r="C279" s="101"/>
      <c r="D279" s="92" t="s">
        <v>66</v>
      </c>
      <c r="E279" s="21">
        <v>0</v>
      </c>
      <c r="F279" s="21">
        <v>0</v>
      </c>
      <c r="G279" s="21">
        <v>2</v>
      </c>
      <c r="H279" s="21">
        <v>3</v>
      </c>
      <c r="I279" s="43">
        <f t="shared" si="1"/>
        <v>1.25</v>
      </c>
      <c r="J279" s="20"/>
      <c r="K279" s="20"/>
      <c r="L279" s="20"/>
      <c r="M279" s="20"/>
      <c r="N279" s="20"/>
      <c r="O279" s="20"/>
      <c r="P279" s="20"/>
    </row>
    <row r="280" spans="1:16" ht="14.25" customHeight="1" x14ac:dyDescent="0.35">
      <c r="A280" s="20"/>
      <c r="B280" s="92"/>
      <c r="C280" s="101"/>
      <c r="D280" s="92" t="s">
        <v>67</v>
      </c>
      <c r="E280" s="21">
        <v>0</v>
      </c>
      <c r="F280" s="21">
        <v>0</v>
      </c>
      <c r="G280" s="21">
        <v>0</v>
      </c>
      <c r="H280" s="21">
        <v>0</v>
      </c>
      <c r="I280" s="43">
        <f t="shared" si="1"/>
        <v>0</v>
      </c>
      <c r="J280" s="20"/>
      <c r="K280" s="20"/>
      <c r="L280" s="20"/>
      <c r="M280" s="20"/>
      <c r="N280" s="20"/>
      <c r="O280" s="20"/>
      <c r="P280" s="20"/>
    </row>
    <row r="281" spans="1:16" ht="14.25" customHeight="1" x14ac:dyDescent="0.35">
      <c r="A281" s="30">
        <f t="shared" ref="A281:B281" si="10">A278+7</f>
        <v>44991</v>
      </c>
      <c r="B281" s="92">
        <f t="shared" si="10"/>
        <v>640</v>
      </c>
      <c r="C281" s="101" t="str">
        <f>$C$128</f>
        <v>3% FBS R3</v>
      </c>
      <c r="D281" s="91" t="s">
        <v>65</v>
      </c>
      <c r="E281" s="21">
        <v>89</v>
      </c>
      <c r="F281" s="21">
        <v>95</v>
      </c>
      <c r="G281" s="21">
        <v>91</v>
      </c>
      <c r="H281" s="21">
        <v>108</v>
      </c>
      <c r="I281" s="43">
        <f t="shared" si="1"/>
        <v>95.75</v>
      </c>
      <c r="J281" s="20">
        <f>I281*2*10000</f>
        <v>1915000</v>
      </c>
      <c r="K281" s="20">
        <v>2775000</v>
      </c>
      <c r="L281" s="20">
        <f>J281*5</f>
        <v>9575000</v>
      </c>
      <c r="M281" s="22">
        <f>I281/(I281+I282)*100</f>
        <v>98.966408268733858</v>
      </c>
      <c r="N281" s="22">
        <f>I283/I281*100</f>
        <v>0</v>
      </c>
      <c r="O281" s="23">
        <f>3.32*(LOG(L281)-LOG(K281))</f>
        <v>1.7857476400041246</v>
      </c>
      <c r="P281" s="23">
        <f>P278+O281</f>
        <v>88.847802936412521</v>
      </c>
    </row>
    <row r="282" spans="1:16" ht="14.25" customHeight="1" x14ac:dyDescent="0.35">
      <c r="A282" s="20"/>
      <c r="B282" s="92"/>
      <c r="C282" s="101"/>
      <c r="D282" s="92" t="s">
        <v>66</v>
      </c>
      <c r="E282" s="21">
        <v>0</v>
      </c>
      <c r="F282" s="21">
        <v>1</v>
      </c>
      <c r="G282" s="21">
        <v>1</v>
      </c>
      <c r="H282" s="21">
        <v>2</v>
      </c>
      <c r="I282" s="43">
        <f t="shared" si="1"/>
        <v>1</v>
      </c>
      <c r="J282" s="20"/>
      <c r="K282" s="20"/>
      <c r="L282" s="20"/>
      <c r="M282" s="20"/>
      <c r="N282" s="20"/>
      <c r="O282" s="20"/>
      <c r="P282" s="20"/>
    </row>
    <row r="283" spans="1:16" ht="14.25" customHeight="1" x14ac:dyDescent="0.35">
      <c r="A283" s="20"/>
      <c r="B283" s="92"/>
      <c r="C283" s="101"/>
      <c r="D283" s="92" t="s">
        <v>67</v>
      </c>
      <c r="E283" s="21">
        <v>0</v>
      </c>
      <c r="F283" s="21">
        <v>0</v>
      </c>
      <c r="G283" s="21">
        <v>0</v>
      </c>
      <c r="H283" s="21">
        <v>0</v>
      </c>
      <c r="I283" s="43">
        <f t="shared" si="1"/>
        <v>0</v>
      </c>
      <c r="J283" s="20"/>
      <c r="K283" s="20"/>
      <c r="L283" s="20"/>
      <c r="M283" s="20"/>
      <c r="N283" s="20"/>
      <c r="O283" s="20"/>
      <c r="P283" s="20"/>
    </row>
    <row r="284" spans="1:16" ht="14.25" customHeight="1" x14ac:dyDescent="0.35">
      <c r="A284" s="30">
        <f t="shared" ref="A284:B284" si="11">A281+7</f>
        <v>44998</v>
      </c>
      <c r="B284" s="92">
        <f t="shared" si="11"/>
        <v>647</v>
      </c>
      <c r="C284" s="101" t="str">
        <f>$C$128</f>
        <v>3% FBS R3</v>
      </c>
      <c r="D284" s="91" t="s">
        <v>65</v>
      </c>
      <c r="E284" s="21">
        <v>29</v>
      </c>
      <c r="F284" s="21">
        <v>32</v>
      </c>
      <c r="G284" s="21">
        <v>32</v>
      </c>
      <c r="H284" s="21">
        <v>25</v>
      </c>
      <c r="I284" s="43">
        <f t="shared" si="1"/>
        <v>29.5</v>
      </c>
      <c r="J284" s="20">
        <f>I284*2*10000</f>
        <v>590000</v>
      </c>
      <c r="K284" s="20">
        <f>$K$128</f>
        <v>3000000</v>
      </c>
      <c r="L284" s="20">
        <f>J284*5</f>
        <v>2950000</v>
      </c>
      <c r="M284" s="22">
        <f>I284/(I284+I285)*100</f>
        <v>96.721311475409834</v>
      </c>
      <c r="N284" s="22">
        <f>I286/I284*100</f>
        <v>0</v>
      </c>
      <c r="O284" s="23">
        <f>3.32*(LOG(L284)-LOG(K284))</f>
        <v>-2.4233472621777281E-2</v>
      </c>
      <c r="P284" s="23">
        <f>IF(O284&lt;0,P281,P281+O284)</f>
        <v>88.847802936412521</v>
      </c>
    </row>
    <row r="285" spans="1:16" ht="14.25" customHeight="1" x14ac:dyDescent="0.35">
      <c r="A285" s="20"/>
      <c r="B285" s="92"/>
      <c r="C285" s="101"/>
      <c r="D285" s="92" t="s">
        <v>66</v>
      </c>
      <c r="E285" s="21">
        <v>1</v>
      </c>
      <c r="F285" s="21">
        <v>1</v>
      </c>
      <c r="G285" s="21">
        <v>1</v>
      </c>
      <c r="H285" s="21">
        <v>1</v>
      </c>
      <c r="I285" s="43">
        <f t="shared" si="1"/>
        <v>1</v>
      </c>
      <c r="J285" s="20"/>
      <c r="K285" s="20"/>
      <c r="L285" s="20"/>
      <c r="M285" s="20"/>
      <c r="N285" s="20"/>
      <c r="O285" s="20"/>
      <c r="P285" s="20"/>
    </row>
    <row r="286" spans="1:16" ht="14.25" customHeight="1" x14ac:dyDescent="0.35">
      <c r="A286" s="20"/>
      <c r="B286" s="92"/>
      <c r="C286" s="101"/>
      <c r="D286" s="92" t="s">
        <v>67</v>
      </c>
      <c r="E286" s="21">
        <v>0</v>
      </c>
      <c r="F286" s="21">
        <v>0</v>
      </c>
      <c r="G286" s="21">
        <v>0</v>
      </c>
      <c r="H286" s="21">
        <v>0</v>
      </c>
      <c r="I286" s="43">
        <f t="shared" si="1"/>
        <v>0</v>
      </c>
      <c r="J286" s="20"/>
      <c r="K286" s="20"/>
      <c r="L286" s="20"/>
      <c r="M286" s="20"/>
      <c r="N286" s="20"/>
      <c r="O286" s="20"/>
      <c r="P286" s="20"/>
    </row>
    <row r="287" spans="1:16" ht="14.25" customHeight="1" x14ac:dyDescent="0.35">
      <c r="A287" s="30">
        <f t="shared" ref="A287:B287" si="12">A284+7</f>
        <v>45005</v>
      </c>
      <c r="B287" s="92">
        <f t="shared" si="12"/>
        <v>654</v>
      </c>
      <c r="C287" s="101" t="str">
        <f>$C$128</f>
        <v>3% FBS R3</v>
      </c>
      <c r="D287" s="91" t="s">
        <v>65</v>
      </c>
      <c r="E287" s="21">
        <v>27</v>
      </c>
      <c r="F287" s="21">
        <v>36</v>
      </c>
      <c r="G287" s="21">
        <v>19</v>
      </c>
      <c r="H287" s="21">
        <v>28</v>
      </c>
      <c r="I287" s="43">
        <f t="shared" si="1"/>
        <v>27.5</v>
      </c>
      <c r="J287" s="20">
        <f>I287*2*10000</f>
        <v>550000</v>
      </c>
      <c r="K287" s="20">
        <v>2950000</v>
      </c>
      <c r="L287" s="20">
        <f>J287*5</f>
        <v>2750000</v>
      </c>
      <c r="M287" s="22">
        <f>I287/(I287+I288)*100</f>
        <v>99.099099099099092</v>
      </c>
      <c r="N287" s="22">
        <f>I289/I287*100</f>
        <v>0</v>
      </c>
      <c r="O287" s="23">
        <f>3.32*(LOG(L287)-LOG(K287))</f>
        <v>-0.10122454953102987</v>
      </c>
      <c r="P287" s="23">
        <f>IF(O287&lt;0,P284,P284+O287)</f>
        <v>88.847802936412521</v>
      </c>
    </row>
    <row r="288" spans="1:16" ht="14.25" customHeight="1" x14ac:dyDescent="0.35">
      <c r="A288" s="20"/>
      <c r="B288" s="92"/>
      <c r="C288" s="101"/>
      <c r="D288" s="92" t="s">
        <v>66</v>
      </c>
      <c r="E288" s="21">
        <v>0</v>
      </c>
      <c r="F288" s="21">
        <v>0</v>
      </c>
      <c r="G288" s="21">
        <v>0</v>
      </c>
      <c r="H288" s="21">
        <v>1</v>
      </c>
      <c r="I288" s="43">
        <f t="shared" si="1"/>
        <v>0.25</v>
      </c>
      <c r="J288" s="20"/>
      <c r="K288" s="20"/>
      <c r="L288" s="20"/>
      <c r="M288" s="20"/>
      <c r="N288" s="20"/>
      <c r="O288" s="20"/>
      <c r="P288" s="20"/>
    </row>
    <row r="289" spans="1:16" ht="14.25" customHeight="1" x14ac:dyDescent="0.35">
      <c r="A289" s="20"/>
      <c r="B289" s="92"/>
      <c r="C289" s="101"/>
      <c r="D289" s="92" t="s">
        <v>67</v>
      </c>
      <c r="E289" s="21">
        <v>0</v>
      </c>
      <c r="F289" s="21">
        <v>0</v>
      </c>
      <c r="G289" s="21">
        <v>0</v>
      </c>
      <c r="H289" s="21">
        <v>0</v>
      </c>
      <c r="I289" s="43">
        <f t="shared" si="1"/>
        <v>0</v>
      </c>
      <c r="J289" s="20"/>
      <c r="K289" s="20"/>
      <c r="L289" s="20"/>
      <c r="M289" s="20"/>
      <c r="N289" s="20"/>
      <c r="O289" s="20"/>
      <c r="P289" s="20"/>
    </row>
    <row r="290" spans="1:16" ht="14.25" customHeight="1" x14ac:dyDescent="0.35">
      <c r="A290" s="30">
        <f t="shared" ref="A290:B290" si="13">A287+7</f>
        <v>45012</v>
      </c>
      <c r="B290" s="92">
        <f t="shared" si="13"/>
        <v>661</v>
      </c>
      <c r="C290" s="101" t="str">
        <f>$C$128</f>
        <v>3% FBS R3</v>
      </c>
      <c r="D290" s="91" t="s">
        <v>65</v>
      </c>
      <c r="E290" s="21">
        <v>33</v>
      </c>
      <c r="F290" s="21">
        <v>26</v>
      </c>
      <c r="G290" s="21">
        <v>33</v>
      </c>
      <c r="H290" s="21">
        <v>21</v>
      </c>
      <c r="I290" s="43">
        <f t="shared" si="1"/>
        <v>28.25</v>
      </c>
      <c r="J290" s="20">
        <f>I290*2*10000</f>
        <v>565000</v>
      </c>
      <c r="K290" s="20">
        <v>2750000</v>
      </c>
      <c r="L290" s="20">
        <f>J290*5</f>
        <v>2825000</v>
      </c>
      <c r="M290" s="22">
        <f>I290/(I290+I291)*100</f>
        <v>93.388429752066116</v>
      </c>
      <c r="N290" s="22">
        <f>I292/I290*100</f>
        <v>0</v>
      </c>
      <c r="O290" s="23">
        <f>3.32*(LOG(L290)-LOG(K290))</f>
        <v>3.8796717639646018E-2</v>
      </c>
      <c r="P290" s="23">
        <f>IF(O290&lt;0,P287,P287+O290)</f>
        <v>88.886599654052162</v>
      </c>
    </row>
    <row r="291" spans="1:16" ht="14.25" customHeight="1" x14ac:dyDescent="0.35">
      <c r="A291" s="20"/>
      <c r="B291" s="92"/>
      <c r="C291" s="101"/>
      <c r="D291" s="92" t="s">
        <v>66</v>
      </c>
      <c r="E291" s="21">
        <v>1</v>
      </c>
      <c r="F291" s="21">
        <v>2</v>
      </c>
      <c r="G291" s="21">
        <v>3</v>
      </c>
      <c r="H291" s="21">
        <v>2</v>
      </c>
      <c r="I291" s="43">
        <f t="shared" si="1"/>
        <v>2</v>
      </c>
      <c r="J291" s="20"/>
      <c r="K291" s="20"/>
      <c r="L291" s="20"/>
      <c r="M291" s="20"/>
      <c r="N291" s="20"/>
      <c r="O291" s="20"/>
      <c r="P291" s="20"/>
    </row>
    <row r="292" spans="1:16" ht="14.25" customHeight="1" x14ac:dyDescent="0.35">
      <c r="A292" s="20"/>
      <c r="B292" s="92"/>
      <c r="C292" s="101"/>
      <c r="D292" s="92" t="s">
        <v>67</v>
      </c>
      <c r="E292" s="21">
        <v>0</v>
      </c>
      <c r="F292" s="21">
        <v>0</v>
      </c>
      <c r="G292" s="21">
        <v>0</v>
      </c>
      <c r="H292" s="21">
        <v>0</v>
      </c>
      <c r="I292" s="43">
        <f t="shared" si="1"/>
        <v>0</v>
      </c>
      <c r="J292" s="20"/>
      <c r="K292" s="20"/>
      <c r="L292" s="20"/>
      <c r="M292" s="20"/>
      <c r="N292" s="20"/>
      <c r="O292" s="20"/>
      <c r="P292" s="20"/>
    </row>
    <row r="293" spans="1:16" ht="14.25" customHeight="1" x14ac:dyDescent="0.35">
      <c r="A293" s="30">
        <f t="shared" ref="A293:B293" si="14">A290+7</f>
        <v>45019</v>
      </c>
      <c r="B293" s="92">
        <f t="shared" si="14"/>
        <v>668</v>
      </c>
      <c r="C293" s="101" t="str">
        <f>$C$128</f>
        <v>3% FBS R3</v>
      </c>
      <c r="D293" s="91" t="s">
        <v>65</v>
      </c>
      <c r="E293" s="21">
        <v>37</v>
      </c>
      <c r="F293" s="21">
        <v>32</v>
      </c>
      <c r="G293" s="21">
        <v>32</v>
      </c>
      <c r="H293" s="21">
        <v>25</v>
      </c>
      <c r="I293" s="43">
        <f t="shared" si="1"/>
        <v>31.5</v>
      </c>
      <c r="J293" s="20">
        <f>I293*2*10000</f>
        <v>630000</v>
      </c>
      <c r="K293" s="20">
        <v>2825000</v>
      </c>
      <c r="L293" s="20">
        <f>J293*5</f>
        <v>3150000</v>
      </c>
      <c r="M293" s="22">
        <f>I293/(I293+I294)*100</f>
        <v>94.029850746268664</v>
      </c>
      <c r="N293" s="22">
        <f>I295/I293*100</f>
        <v>0</v>
      </c>
      <c r="O293" s="23">
        <f>3.32*(LOG(L293)-LOG(K293))</f>
        <v>0.15700977742535618</v>
      </c>
      <c r="P293" s="23">
        <f>IF(O293&lt;0,P290,P290+O293)</f>
        <v>89.04360943147752</v>
      </c>
    </row>
    <row r="294" spans="1:16" ht="14.25" customHeight="1" x14ac:dyDescent="0.35">
      <c r="A294" s="20"/>
      <c r="B294" s="92"/>
      <c r="C294" s="101"/>
      <c r="D294" s="92" t="s">
        <v>66</v>
      </c>
      <c r="E294" s="21">
        <v>3</v>
      </c>
      <c r="F294" s="21">
        <v>2</v>
      </c>
      <c r="G294" s="21">
        <v>2</v>
      </c>
      <c r="H294" s="21">
        <v>1</v>
      </c>
      <c r="I294" s="43">
        <f t="shared" si="1"/>
        <v>2</v>
      </c>
      <c r="J294" s="20"/>
      <c r="K294" s="20"/>
      <c r="L294" s="20"/>
      <c r="M294" s="20"/>
      <c r="N294" s="20"/>
      <c r="O294" s="20"/>
      <c r="P294" s="20"/>
    </row>
    <row r="295" spans="1:16" ht="14.25" customHeight="1" x14ac:dyDescent="0.35">
      <c r="A295" s="20"/>
      <c r="B295" s="92"/>
      <c r="C295" s="101"/>
      <c r="D295" s="92" t="s">
        <v>67</v>
      </c>
      <c r="E295" s="21">
        <v>0</v>
      </c>
      <c r="F295" s="21">
        <v>0</v>
      </c>
      <c r="G295" s="21">
        <v>0</v>
      </c>
      <c r="H295" s="21">
        <v>0</v>
      </c>
      <c r="I295" s="43">
        <f t="shared" si="1"/>
        <v>0</v>
      </c>
      <c r="J295" s="20"/>
      <c r="K295" s="20"/>
      <c r="L295" s="20"/>
      <c r="M295" s="20"/>
      <c r="N295" s="20"/>
      <c r="O295" s="20"/>
      <c r="P295" s="20"/>
    </row>
    <row r="296" spans="1:16" ht="14.25" customHeight="1" x14ac:dyDescent="0.35">
      <c r="A296" s="30">
        <f t="shared" ref="A296:B296" si="15">A293+7</f>
        <v>45026</v>
      </c>
      <c r="B296" s="92">
        <f t="shared" si="15"/>
        <v>675</v>
      </c>
      <c r="C296" s="101" t="str">
        <f>$C$128</f>
        <v>3% FBS R3</v>
      </c>
      <c r="D296" s="91" t="s">
        <v>65</v>
      </c>
      <c r="E296" s="21">
        <v>46</v>
      </c>
      <c r="F296" s="21">
        <v>39</v>
      </c>
      <c r="G296" s="21">
        <v>39</v>
      </c>
      <c r="H296" s="21">
        <v>34</v>
      </c>
      <c r="I296" s="43">
        <f t="shared" si="1"/>
        <v>39.5</v>
      </c>
      <c r="J296" s="20">
        <f>I296*2*10000</f>
        <v>790000</v>
      </c>
      <c r="K296" s="20">
        <f>$K$128</f>
        <v>3000000</v>
      </c>
      <c r="L296" s="20">
        <f>J296*5</f>
        <v>3950000</v>
      </c>
      <c r="M296" s="22">
        <f>I296/(I296+I297)*100</f>
        <v>100</v>
      </c>
      <c r="N296" s="22">
        <f>I298/I296*100</f>
        <v>0</v>
      </c>
      <c r="O296" s="23">
        <f>3.32*(LOG(L296)-LOG(K296))</f>
        <v>0.39665979181056926</v>
      </c>
      <c r="P296" s="23">
        <f>IF(O296&lt;0,P293,P293+O296)</f>
        <v>89.440269223288084</v>
      </c>
    </row>
    <row r="297" spans="1:16" ht="14.25" customHeight="1" x14ac:dyDescent="0.35">
      <c r="A297" s="20"/>
      <c r="B297" s="92"/>
      <c r="C297" s="101"/>
      <c r="D297" s="92" t="s">
        <v>66</v>
      </c>
      <c r="E297" s="21">
        <v>0</v>
      </c>
      <c r="F297" s="21">
        <v>0</v>
      </c>
      <c r="G297" s="21">
        <v>0</v>
      </c>
      <c r="H297" s="21">
        <v>0</v>
      </c>
      <c r="I297" s="43">
        <f t="shared" si="1"/>
        <v>0</v>
      </c>
      <c r="J297" s="20"/>
      <c r="K297" s="20"/>
      <c r="L297" s="20"/>
      <c r="M297" s="20"/>
      <c r="N297" s="20"/>
      <c r="O297" s="20"/>
      <c r="P297" s="20"/>
    </row>
    <row r="298" spans="1:16" ht="14.25" customHeight="1" x14ac:dyDescent="0.35">
      <c r="A298" s="20"/>
      <c r="B298" s="92"/>
      <c r="C298" s="101"/>
      <c r="D298" s="92" t="s">
        <v>67</v>
      </c>
      <c r="E298" s="21">
        <v>0</v>
      </c>
      <c r="F298" s="21">
        <v>0</v>
      </c>
      <c r="G298" s="21">
        <v>0</v>
      </c>
      <c r="H298" s="21">
        <v>0</v>
      </c>
      <c r="I298" s="43">
        <f t="shared" si="1"/>
        <v>0</v>
      </c>
      <c r="J298" s="20"/>
      <c r="K298" s="20"/>
      <c r="L298" s="20"/>
      <c r="M298" s="20"/>
      <c r="N298" s="20"/>
      <c r="O298" s="20"/>
      <c r="P298" s="20"/>
    </row>
    <row r="299" spans="1:16" ht="14.25" customHeight="1" x14ac:dyDescent="0.35">
      <c r="A299" s="30">
        <f t="shared" ref="A299:B299" si="16">A296+7</f>
        <v>45033</v>
      </c>
      <c r="B299" s="92">
        <f t="shared" si="16"/>
        <v>682</v>
      </c>
      <c r="C299" s="101" t="str">
        <f>$C$128</f>
        <v>3% FBS R3</v>
      </c>
      <c r="D299" s="91" t="s">
        <v>65</v>
      </c>
      <c r="E299" s="21">
        <v>34</v>
      </c>
      <c r="F299" s="21">
        <v>31</v>
      </c>
      <c r="G299" s="21">
        <v>26</v>
      </c>
      <c r="H299" s="21">
        <v>23</v>
      </c>
      <c r="I299" s="43">
        <f t="shared" si="1"/>
        <v>28.5</v>
      </c>
      <c r="J299" s="20">
        <f>I299*2*10000</f>
        <v>570000</v>
      </c>
      <c r="K299" s="20">
        <f>$K$128</f>
        <v>3000000</v>
      </c>
      <c r="L299" s="20">
        <f>J299*5</f>
        <v>2850000</v>
      </c>
      <c r="M299" s="22">
        <f>I299/(I299+I300)*100</f>
        <v>98.275862068965509</v>
      </c>
      <c r="N299" s="22">
        <f>I301/I299*100</f>
        <v>0</v>
      </c>
      <c r="O299" s="23">
        <f>3.32*(LOG(L299)-LOG(K299))</f>
        <v>-7.3957630441025934E-2</v>
      </c>
      <c r="P299" s="23">
        <f>IF(O299&lt;0,P296,P296+O299)</f>
        <v>89.440269223288084</v>
      </c>
    </row>
    <row r="300" spans="1:16" ht="14.25" customHeight="1" x14ac:dyDescent="0.35">
      <c r="A300" s="20"/>
      <c r="B300" s="92"/>
      <c r="C300" s="101"/>
      <c r="D300" s="92" t="s">
        <v>66</v>
      </c>
      <c r="E300" s="21">
        <v>0</v>
      </c>
      <c r="F300" s="21">
        <v>1</v>
      </c>
      <c r="G300" s="21">
        <v>1</v>
      </c>
      <c r="H300" s="21">
        <v>0</v>
      </c>
      <c r="I300" s="43">
        <f t="shared" si="1"/>
        <v>0.5</v>
      </c>
      <c r="J300" s="20"/>
      <c r="K300" s="20"/>
      <c r="L300" s="20"/>
      <c r="M300" s="20"/>
      <c r="N300" s="20"/>
      <c r="O300" s="20"/>
      <c r="P300" s="20"/>
    </row>
    <row r="301" spans="1:16" ht="14.25" customHeight="1" x14ac:dyDescent="0.35">
      <c r="A301" s="20"/>
      <c r="B301" s="92"/>
      <c r="C301" s="101"/>
      <c r="D301" s="92" t="s">
        <v>67</v>
      </c>
      <c r="E301" s="21">
        <v>0</v>
      </c>
      <c r="F301" s="21">
        <v>0</v>
      </c>
      <c r="G301" s="21">
        <v>0</v>
      </c>
      <c r="H301" s="21">
        <v>0</v>
      </c>
      <c r="I301" s="43">
        <f t="shared" si="1"/>
        <v>0</v>
      </c>
      <c r="J301" s="20"/>
      <c r="K301" s="20"/>
      <c r="L301" s="20"/>
      <c r="M301" s="20"/>
      <c r="N301" s="20"/>
      <c r="O301" s="20"/>
      <c r="P301" s="20"/>
    </row>
    <row r="302" spans="1:16" ht="14.25" customHeight="1" x14ac:dyDescent="0.35">
      <c r="A302" s="30">
        <f t="shared" ref="A302:B302" si="17">A299+7</f>
        <v>45040</v>
      </c>
      <c r="B302" s="92">
        <f t="shared" si="17"/>
        <v>689</v>
      </c>
      <c r="C302" s="101" t="str">
        <f>$C$128</f>
        <v>3% FBS R3</v>
      </c>
      <c r="D302" s="91" t="s">
        <v>65</v>
      </c>
      <c r="E302" s="21">
        <v>35</v>
      </c>
      <c r="F302" s="21">
        <v>31</v>
      </c>
      <c r="G302" s="21">
        <v>38</v>
      </c>
      <c r="H302" s="21">
        <v>36</v>
      </c>
      <c r="I302" s="43">
        <f t="shared" si="1"/>
        <v>35</v>
      </c>
      <c r="J302" s="20">
        <f>I302*2*10000</f>
        <v>700000</v>
      </c>
      <c r="K302" s="20">
        <v>2850000</v>
      </c>
      <c r="L302" s="20">
        <f>J302*5</f>
        <v>3500000</v>
      </c>
      <c r="M302" s="22">
        <f>I302/(I302+I303)*100</f>
        <v>100</v>
      </c>
      <c r="N302" s="22">
        <f>I304/I302*100</f>
        <v>0</v>
      </c>
      <c r="O302" s="23">
        <f>3.32*(LOG(L302)-LOG(K302))</f>
        <v>0.2962209720146613</v>
      </c>
      <c r="P302" s="23">
        <f>IF(O302&lt;0,P299,P299+O302)</f>
        <v>89.73649019530275</v>
      </c>
    </row>
    <row r="303" spans="1:16" ht="14.25" customHeight="1" x14ac:dyDescent="0.35">
      <c r="A303" s="20"/>
      <c r="B303" s="92"/>
      <c r="C303" s="101"/>
      <c r="D303" s="92" t="s">
        <v>66</v>
      </c>
      <c r="E303" s="21">
        <v>0</v>
      </c>
      <c r="F303" s="21">
        <v>0</v>
      </c>
      <c r="G303" s="21">
        <v>0</v>
      </c>
      <c r="H303" s="21">
        <v>0</v>
      </c>
      <c r="I303" s="43">
        <f t="shared" si="1"/>
        <v>0</v>
      </c>
      <c r="J303" s="20"/>
      <c r="K303" s="20"/>
      <c r="L303" s="20"/>
      <c r="M303" s="20"/>
      <c r="N303" s="20"/>
      <c r="O303" s="20"/>
      <c r="P303" s="20"/>
    </row>
    <row r="304" spans="1:16" ht="14.25" customHeight="1" x14ac:dyDescent="0.35">
      <c r="A304" s="20"/>
      <c r="B304" s="92"/>
      <c r="C304" s="101"/>
      <c r="D304" s="92" t="s">
        <v>67</v>
      </c>
      <c r="E304" s="21">
        <v>0</v>
      </c>
      <c r="F304" s="21">
        <v>0</v>
      </c>
      <c r="G304" s="21">
        <v>0</v>
      </c>
      <c r="H304" s="21">
        <v>0</v>
      </c>
      <c r="I304" s="43">
        <f t="shared" si="1"/>
        <v>0</v>
      </c>
      <c r="J304" s="20"/>
      <c r="K304" s="20"/>
      <c r="L304" s="20"/>
      <c r="M304" s="20"/>
      <c r="N304" s="20"/>
      <c r="O304" s="20"/>
      <c r="P304" s="20"/>
    </row>
    <row r="305" spans="1:16" ht="14.25" customHeight="1" x14ac:dyDescent="0.35">
      <c r="A305" s="30">
        <f t="shared" ref="A305:B305" si="18">A302+7</f>
        <v>45047</v>
      </c>
      <c r="B305" s="92">
        <f t="shared" si="18"/>
        <v>696</v>
      </c>
      <c r="C305" s="101" t="str">
        <f>$C$128</f>
        <v>3% FBS R3</v>
      </c>
      <c r="D305" s="91" t="s">
        <v>65</v>
      </c>
      <c r="E305" s="21">
        <v>32</v>
      </c>
      <c r="F305" s="21">
        <v>39</v>
      </c>
      <c r="G305" s="21">
        <v>23</v>
      </c>
      <c r="H305" s="21">
        <v>21</v>
      </c>
      <c r="I305" s="43">
        <f t="shared" si="1"/>
        <v>28.75</v>
      </c>
      <c r="J305" s="20">
        <f>I305*2*10000</f>
        <v>575000</v>
      </c>
      <c r="K305" s="20">
        <f>$K$128</f>
        <v>3000000</v>
      </c>
      <c r="L305" s="20">
        <f>J305*5</f>
        <v>2875000</v>
      </c>
      <c r="M305" s="22">
        <f>I305/(I305+I306)*100</f>
        <v>95.833333333333343</v>
      </c>
      <c r="N305" s="22">
        <f>I307/I305*100</f>
        <v>0</v>
      </c>
      <c r="O305" s="23">
        <f>3.32*(LOG(L305)-LOG(K305))</f>
        <v>-6.1364906904124154E-2</v>
      </c>
      <c r="P305" s="23">
        <f>IF(O305&lt;0,P302,P302+O305)</f>
        <v>89.73649019530275</v>
      </c>
    </row>
    <row r="306" spans="1:16" ht="14.25" customHeight="1" x14ac:dyDescent="0.35">
      <c r="A306" s="20"/>
      <c r="B306" s="92"/>
      <c r="C306" s="101"/>
      <c r="D306" s="92" t="s">
        <v>66</v>
      </c>
      <c r="E306" s="21">
        <v>1</v>
      </c>
      <c r="F306" s="21">
        <v>0</v>
      </c>
      <c r="G306" s="21">
        <v>3</v>
      </c>
      <c r="H306" s="21">
        <v>1</v>
      </c>
      <c r="I306" s="43">
        <f t="shared" si="1"/>
        <v>1.25</v>
      </c>
      <c r="J306" s="20"/>
      <c r="K306" s="20"/>
      <c r="L306" s="20"/>
      <c r="M306" s="20"/>
      <c r="N306" s="20"/>
      <c r="O306" s="20"/>
      <c r="P306" s="20"/>
    </row>
    <row r="307" spans="1:16" ht="14.25" customHeight="1" x14ac:dyDescent="0.35">
      <c r="A307" s="20"/>
      <c r="B307" s="92"/>
      <c r="C307" s="101"/>
      <c r="D307" s="92" t="s">
        <v>67</v>
      </c>
      <c r="E307" s="21">
        <v>0</v>
      </c>
      <c r="F307" s="21">
        <v>0</v>
      </c>
      <c r="G307" s="21">
        <v>0</v>
      </c>
      <c r="H307" s="21">
        <v>0</v>
      </c>
      <c r="I307" s="43">
        <f t="shared" si="1"/>
        <v>0</v>
      </c>
      <c r="J307" s="20"/>
      <c r="K307" s="20"/>
      <c r="L307" s="20"/>
      <c r="M307" s="20"/>
      <c r="N307" s="20"/>
      <c r="O307" s="20"/>
      <c r="P307" s="20"/>
    </row>
    <row r="308" spans="1:16" ht="14.25" customHeight="1" x14ac:dyDescent="0.35">
      <c r="A308" s="30">
        <f t="shared" ref="A308:B308" si="19">A305+7</f>
        <v>45054</v>
      </c>
      <c r="B308" s="92">
        <f t="shared" si="19"/>
        <v>703</v>
      </c>
      <c r="C308" s="101" t="str">
        <f>$C$128</f>
        <v>3% FBS R3</v>
      </c>
      <c r="D308" s="91" t="s">
        <v>65</v>
      </c>
      <c r="E308" s="21">
        <v>32</v>
      </c>
      <c r="F308" s="21">
        <v>48</v>
      </c>
      <c r="G308" s="21">
        <v>43</v>
      </c>
      <c r="H308" s="21">
        <v>30</v>
      </c>
      <c r="I308" s="43">
        <f t="shared" si="1"/>
        <v>38.25</v>
      </c>
      <c r="J308" s="20">
        <f>I308*2*10000</f>
        <v>765000</v>
      </c>
      <c r="K308" s="20">
        <v>2875000</v>
      </c>
      <c r="L308" s="20">
        <f>J308*5</f>
        <v>3825000</v>
      </c>
      <c r="M308" s="22">
        <f>I308/(I308+I309)*100</f>
        <v>97.452229299363054</v>
      </c>
      <c r="N308" s="22">
        <f>I310/I308*100</f>
        <v>0</v>
      </c>
      <c r="O308" s="23">
        <f>3.32*(LOG(L308)-LOG(K308))</f>
        <v>0.41165872034043849</v>
      </c>
      <c r="P308" s="23">
        <f>IF(O308&lt;0,P305,P305+O308)</f>
        <v>90.148148915643191</v>
      </c>
    </row>
    <row r="309" spans="1:16" ht="14.25" customHeight="1" x14ac:dyDescent="0.35">
      <c r="A309" s="20"/>
      <c r="B309" s="92"/>
      <c r="C309" s="101"/>
      <c r="D309" s="92" t="s">
        <v>66</v>
      </c>
      <c r="E309" s="21">
        <v>2</v>
      </c>
      <c r="F309" s="21">
        <v>1</v>
      </c>
      <c r="G309" s="21">
        <v>1</v>
      </c>
      <c r="H309" s="21">
        <v>0</v>
      </c>
      <c r="I309" s="43">
        <f t="shared" si="1"/>
        <v>1</v>
      </c>
      <c r="J309" s="20"/>
      <c r="K309" s="20"/>
      <c r="L309" s="20"/>
      <c r="M309" s="20"/>
      <c r="N309" s="20"/>
      <c r="O309" s="20"/>
      <c r="P309" s="20"/>
    </row>
    <row r="310" spans="1:16" ht="14.25" customHeight="1" x14ac:dyDescent="0.35">
      <c r="A310" s="20"/>
      <c r="B310" s="92"/>
      <c r="C310" s="101"/>
      <c r="D310" s="92" t="s">
        <v>67</v>
      </c>
      <c r="E310" s="21">
        <v>0</v>
      </c>
      <c r="F310" s="21">
        <v>0</v>
      </c>
      <c r="G310" s="21">
        <v>0</v>
      </c>
      <c r="H310" s="21">
        <v>0</v>
      </c>
      <c r="I310" s="43">
        <f t="shared" si="1"/>
        <v>0</v>
      </c>
      <c r="J310" s="20"/>
      <c r="K310" s="20"/>
      <c r="L310" s="20"/>
      <c r="M310" s="20"/>
      <c r="N310" s="20"/>
      <c r="O310" s="20"/>
      <c r="P310" s="20"/>
    </row>
    <row r="311" spans="1:16" ht="14.25" customHeight="1" x14ac:dyDescent="0.35">
      <c r="A311" s="30">
        <f t="shared" ref="A311:B311" si="20">A308+7</f>
        <v>45061</v>
      </c>
      <c r="B311" s="92">
        <f t="shared" si="20"/>
        <v>710</v>
      </c>
      <c r="C311" s="101" t="str">
        <f>$C$128</f>
        <v>3% FBS R3</v>
      </c>
      <c r="D311" s="91" t="s">
        <v>65</v>
      </c>
      <c r="E311" s="21">
        <v>86</v>
      </c>
      <c r="F311" s="21">
        <v>105</v>
      </c>
      <c r="G311" s="21">
        <v>78</v>
      </c>
      <c r="H311" s="21">
        <v>79</v>
      </c>
      <c r="I311" s="43">
        <f t="shared" si="1"/>
        <v>87</v>
      </c>
      <c r="J311" s="20">
        <f>I311*2*10000</f>
        <v>1740000</v>
      </c>
      <c r="K311" s="20">
        <f>$K$128</f>
        <v>3000000</v>
      </c>
      <c r="L311" s="20">
        <f>J311*5</f>
        <v>8700000</v>
      </c>
      <c r="M311" s="22">
        <f>I311/(I311+I312)*100</f>
        <v>95.867768595041326</v>
      </c>
      <c r="N311" s="22">
        <f>I313/I311*100</f>
        <v>0</v>
      </c>
      <c r="O311" s="23">
        <f>3.32*(LOG(L311)-LOG(K311))</f>
        <v>1.5351613530245327</v>
      </c>
      <c r="P311" s="23">
        <f>IF(O311&lt;0,P308,P308+O311)</f>
        <v>91.683310268667725</v>
      </c>
    </row>
    <row r="312" spans="1:16" ht="14.25" customHeight="1" x14ac:dyDescent="0.35">
      <c r="A312" s="20"/>
      <c r="B312" s="92"/>
      <c r="C312" s="101"/>
      <c r="D312" s="92" t="s">
        <v>66</v>
      </c>
      <c r="E312" s="21">
        <v>3</v>
      </c>
      <c r="F312" s="21">
        <v>5</v>
      </c>
      <c r="G312" s="21">
        <v>3</v>
      </c>
      <c r="H312" s="21">
        <v>4</v>
      </c>
      <c r="I312" s="43">
        <f t="shared" si="1"/>
        <v>3.75</v>
      </c>
      <c r="J312" s="20"/>
      <c r="K312" s="20"/>
      <c r="L312" s="20"/>
      <c r="M312" s="20"/>
      <c r="N312" s="20"/>
      <c r="O312" s="20"/>
      <c r="P312" s="20"/>
    </row>
    <row r="313" spans="1:16" ht="14.25" customHeight="1" x14ac:dyDescent="0.35">
      <c r="A313" s="20"/>
      <c r="B313" s="92"/>
      <c r="C313" s="101"/>
      <c r="D313" s="92" t="s">
        <v>67</v>
      </c>
      <c r="E313" s="21">
        <v>0</v>
      </c>
      <c r="F313" s="21">
        <v>0</v>
      </c>
      <c r="G313" s="21">
        <v>0</v>
      </c>
      <c r="H313" s="21">
        <v>0</v>
      </c>
      <c r="I313" s="43">
        <f t="shared" si="1"/>
        <v>0</v>
      </c>
      <c r="J313" s="20"/>
      <c r="K313" s="20"/>
      <c r="L313" s="20"/>
      <c r="M313" s="20"/>
      <c r="N313" s="20"/>
      <c r="O313" s="20"/>
      <c r="P313" s="20"/>
    </row>
    <row r="314" spans="1:16" ht="14.25" customHeight="1" x14ac:dyDescent="0.35">
      <c r="A314" s="30">
        <f t="shared" ref="A314:B314" si="21">A311+7</f>
        <v>45068</v>
      </c>
      <c r="B314" s="92">
        <f t="shared" si="21"/>
        <v>717</v>
      </c>
      <c r="C314" s="101" t="str">
        <f>$C$128</f>
        <v>3% FBS R3</v>
      </c>
      <c r="D314" s="91" t="s">
        <v>65</v>
      </c>
      <c r="E314" s="21">
        <v>19</v>
      </c>
      <c r="F314" s="21">
        <v>20</v>
      </c>
      <c r="G314" s="21">
        <v>24</v>
      </c>
      <c r="H314" s="21">
        <v>26</v>
      </c>
      <c r="I314" s="43">
        <f t="shared" si="1"/>
        <v>22.25</v>
      </c>
      <c r="J314" s="20">
        <f>I314*2*10000</f>
        <v>445000</v>
      </c>
      <c r="K314" s="20">
        <f>$K$128</f>
        <v>3000000</v>
      </c>
      <c r="L314" s="20">
        <f>J314*5</f>
        <v>2225000</v>
      </c>
      <c r="M314" s="22">
        <f>I314/(I314+I315)*100</f>
        <v>98.888888888888886</v>
      </c>
      <c r="N314" s="22">
        <f>I316/I314*100</f>
        <v>0</v>
      </c>
      <c r="O314" s="23">
        <f>3.32*(LOG(L314)-LOG(K314))</f>
        <v>-0.43090691481700338</v>
      </c>
      <c r="P314" s="23">
        <f>IF(O314&lt;0,P311,P311+O314)</f>
        <v>91.683310268667725</v>
      </c>
    </row>
    <row r="315" spans="1:16" ht="14.25" customHeight="1" x14ac:dyDescent="0.35">
      <c r="A315" s="20"/>
      <c r="B315" s="92"/>
      <c r="C315" s="101"/>
      <c r="D315" s="92" t="s">
        <v>66</v>
      </c>
      <c r="E315" s="21">
        <v>0</v>
      </c>
      <c r="F315" s="21">
        <v>0</v>
      </c>
      <c r="G315" s="21">
        <v>0</v>
      </c>
      <c r="H315" s="21">
        <v>1</v>
      </c>
      <c r="I315" s="43">
        <f t="shared" si="1"/>
        <v>0.25</v>
      </c>
      <c r="J315" s="20"/>
      <c r="K315" s="20"/>
      <c r="L315" s="20"/>
      <c r="M315" s="20"/>
      <c r="N315" s="20"/>
      <c r="O315" s="20"/>
      <c r="P315" s="20"/>
    </row>
    <row r="316" spans="1:16" ht="14.25" customHeight="1" x14ac:dyDescent="0.35">
      <c r="A316" s="20"/>
      <c r="B316" s="92"/>
      <c r="C316" s="101"/>
      <c r="D316" s="92" t="s">
        <v>67</v>
      </c>
      <c r="E316" s="21">
        <v>0</v>
      </c>
      <c r="F316" s="21">
        <v>0</v>
      </c>
      <c r="G316" s="21">
        <v>0</v>
      </c>
      <c r="H316" s="21">
        <v>0</v>
      </c>
      <c r="I316" s="43">
        <f t="shared" si="1"/>
        <v>0</v>
      </c>
      <c r="J316" s="20"/>
      <c r="K316" s="20"/>
      <c r="L316" s="20"/>
      <c r="M316" s="20"/>
      <c r="N316" s="20"/>
      <c r="O316" s="20"/>
      <c r="P316" s="20"/>
    </row>
    <row r="317" spans="1:16" ht="14.25" customHeight="1" x14ac:dyDescent="0.35">
      <c r="A317" s="30">
        <f t="shared" ref="A317:B317" si="22">A314+7</f>
        <v>45075</v>
      </c>
      <c r="B317" s="92">
        <f t="shared" si="22"/>
        <v>724</v>
      </c>
      <c r="C317" s="101" t="str">
        <f>$C$128</f>
        <v>3% FBS R3</v>
      </c>
      <c r="D317" s="91" t="s">
        <v>65</v>
      </c>
      <c r="E317" s="21">
        <v>12</v>
      </c>
      <c r="F317" s="21">
        <v>9</v>
      </c>
      <c r="G317" s="21">
        <v>15</v>
      </c>
      <c r="H317" s="21">
        <v>19</v>
      </c>
      <c r="I317" s="43">
        <f t="shared" si="1"/>
        <v>13.75</v>
      </c>
      <c r="J317" s="20">
        <f>I317*2*10000</f>
        <v>275000</v>
      </c>
      <c r="K317" s="20">
        <v>2225000</v>
      </c>
      <c r="L317" s="20">
        <f>J317*5</f>
        <v>1375000</v>
      </c>
      <c r="M317" s="22">
        <f>I317/(I317+I318)*100</f>
        <v>100</v>
      </c>
      <c r="N317" s="22">
        <f>I319/I317*100</f>
        <v>0</v>
      </c>
      <c r="O317" s="23">
        <f>3.32*(LOG(L317)-LOG(K317))</f>
        <v>-0.69397069294022151</v>
      </c>
      <c r="P317" s="23">
        <f>IF(O317&lt;0,P314,P314+O317)</f>
        <v>91.683310268667725</v>
      </c>
    </row>
    <row r="318" spans="1:16" ht="14.25" customHeight="1" x14ac:dyDescent="0.35">
      <c r="A318" s="20"/>
      <c r="B318" s="92"/>
      <c r="C318" s="101"/>
      <c r="D318" s="92" t="s">
        <v>66</v>
      </c>
      <c r="E318" s="21">
        <v>0</v>
      </c>
      <c r="F318" s="21">
        <v>0</v>
      </c>
      <c r="G318" s="21">
        <v>0</v>
      </c>
      <c r="H318" s="21">
        <v>0</v>
      </c>
      <c r="I318" s="43">
        <f t="shared" si="1"/>
        <v>0</v>
      </c>
      <c r="J318" s="20"/>
      <c r="K318" s="20"/>
      <c r="L318" s="20"/>
      <c r="M318" s="20"/>
      <c r="N318" s="20"/>
      <c r="O318" s="20"/>
      <c r="P318" s="20"/>
    </row>
    <row r="319" spans="1:16" ht="14.25" customHeight="1" x14ac:dyDescent="0.35">
      <c r="A319" s="20"/>
      <c r="B319" s="92"/>
      <c r="C319" s="101"/>
      <c r="D319" s="92" t="s">
        <v>67</v>
      </c>
      <c r="E319" s="21">
        <v>0</v>
      </c>
      <c r="F319" s="21">
        <v>0</v>
      </c>
      <c r="G319" s="21">
        <v>0</v>
      </c>
      <c r="H319" s="21">
        <v>0</v>
      </c>
      <c r="I319" s="43">
        <f t="shared" si="1"/>
        <v>0</v>
      </c>
      <c r="J319" s="20"/>
      <c r="K319" s="20"/>
      <c r="L319" s="20"/>
      <c r="M319" s="20"/>
      <c r="N319" s="20"/>
      <c r="O319" s="20"/>
      <c r="P319" s="20"/>
    </row>
    <row r="320" spans="1:16" ht="14.25" customHeight="1" x14ac:dyDescent="0.35">
      <c r="A320" s="30">
        <f t="shared" ref="A320:B320" si="23">A317+7</f>
        <v>45082</v>
      </c>
      <c r="B320" s="92">
        <f t="shared" si="23"/>
        <v>731</v>
      </c>
      <c r="C320" s="101" t="str">
        <f>$C$128</f>
        <v>3% FBS R3</v>
      </c>
      <c r="D320" s="91" t="s">
        <v>65</v>
      </c>
      <c r="E320" s="21">
        <v>141</v>
      </c>
      <c r="F320" s="21">
        <v>125</v>
      </c>
      <c r="G320" s="21">
        <v>119</v>
      </c>
      <c r="H320" s="21">
        <v>110</v>
      </c>
      <c r="I320" s="43">
        <f t="shared" si="1"/>
        <v>123.75</v>
      </c>
      <c r="J320" s="20">
        <f>I320*2*10000</f>
        <v>2475000</v>
      </c>
      <c r="K320" s="20">
        <v>1375000</v>
      </c>
      <c r="L320" s="20">
        <f>J320*5</f>
        <v>12375000</v>
      </c>
      <c r="M320" s="22">
        <f>I320/(I320+I321)*100</f>
        <v>98.214285714285708</v>
      </c>
      <c r="N320" s="22">
        <f>I322/I320*100</f>
        <v>0</v>
      </c>
      <c r="O320" s="23">
        <f>3.32*(LOG(L320)-LOG(K320))</f>
        <v>3.1680851313385565</v>
      </c>
      <c r="P320" s="23">
        <f>IF(O320&lt;0,P317,P317+O320)</f>
        <v>94.851395400006282</v>
      </c>
    </row>
    <row r="321" spans="1:16" ht="14.25" customHeight="1" x14ac:dyDescent="0.35">
      <c r="A321" s="20"/>
      <c r="B321" s="92"/>
      <c r="C321" s="101"/>
      <c r="D321" s="92" t="s">
        <v>66</v>
      </c>
      <c r="E321" s="21">
        <v>3</v>
      </c>
      <c r="F321" s="21">
        <v>2</v>
      </c>
      <c r="G321" s="21">
        <v>1</v>
      </c>
      <c r="H321" s="21">
        <v>3</v>
      </c>
      <c r="I321" s="43">
        <f t="shared" si="1"/>
        <v>2.25</v>
      </c>
      <c r="J321" s="20"/>
      <c r="K321" s="20"/>
      <c r="L321" s="20"/>
      <c r="M321" s="20"/>
      <c r="N321" s="20"/>
      <c r="O321" s="20"/>
      <c r="P321" s="20"/>
    </row>
    <row r="322" spans="1:16" ht="14.25" customHeight="1" x14ac:dyDescent="0.35">
      <c r="A322" s="20"/>
      <c r="B322" s="92"/>
      <c r="C322" s="101"/>
      <c r="D322" s="92" t="s">
        <v>67</v>
      </c>
      <c r="E322" s="21">
        <v>0</v>
      </c>
      <c r="F322" s="21">
        <v>0</v>
      </c>
      <c r="G322" s="21">
        <v>0</v>
      </c>
      <c r="H322" s="21">
        <v>0</v>
      </c>
      <c r="I322" s="43">
        <f t="shared" si="1"/>
        <v>0</v>
      </c>
      <c r="J322" s="20"/>
      <c r="K322" s="20"/>
      <c r="L322" s="20"/>
      <c r="M322" s="20"/>
      <c r="N322" s="20"/>
      <c r="O322" s="20"/>
      <c r="P322" s="20"/>
    </row>
    <row r="323" spans="1:16" ht="15.75" customHeight="1" x14ac:dyDescent="0.35">
      <c r="A323" s="30">
        <f t="shared" ref="A323:B323" si="24">A320+7</f>
        <v>45089</v>
      </c>
      <c r="B323" s="92">
        <f t="shared" si="24"/>
        <v>738</v>
      </c>
      <c r="C323" s="101" t="str">
        <f>$C$128</f>
        <v>3% FBS R3</v>
      </c>
      <c r="D323" s="91" t="s">
        <v>65</v>
      </c>
      <c r="E323" s="21">
        <v>64</v>
      </c>
      <c r="F323" s="21">
        <v>83</v>
      </c>
      <c r="G323" s="21">
        <v>85</v>
      </c>
      <c r="H323" s="21">
        <v>63</v>
      </c>
      <c r="I323" s="43">
        <f t="shared" si="1"/>
        <v>73.75</v>
      </c>
      <c r="J323" s="20">
        <f>I323*2*10000</f>
        <v>1475000</v>
      </c>
      <c r="K323" s="20">
        <v>3000000</v>
      </c>
      <c r="L323" s="20">
        <f>J323*5</f>
        <v>7375000</v>
      </c>
      <c r="M323" s="22">
        <f>I323/(I323+I324)*100</f>
        <v>98.993288590604024</v>
      </c>
      <c r="N323" s="22">
        <f>I325/I323*100</f>
        <v>0</v>
      </c>
      <c r="O323" s="23">
        <f>3.32*(LOG(L323)-LOG(K323))</f>
        <v>1.296927356169387</v>
      </c>
      <c r="P323" s="23">
        <f>IF(O323&lt;0,P320,P320+O323)</f>
        <v>96.148322756175673</v>
      </c>
    </row>
    <row r="324" spans="1:16" ht="15.75" customHeight="1" x14ac:dyDescent="0.35">
      <c r="A324" s="20"/>
      <c r="B324" s="92"/>
      <c r="C324" s="101"/>
      <c r="D324" s="92" t="s">
        <v>66</v>
      </c>
      <c r="E324" s="21">
        <v>0</v>
      </c>
      <c r="F324" s="21">
        <v>2</v>
      </c>
      <c r="G324" s="21">
        <v>0</v>
      </c>
      <c r="H324" s="21">
        <v>1</v>
      </c>
      <c r="I324" s="43">
        <f t="shared" si="1"/>
        <v>0.75</v>
      </c>
      <c r="J324" s="20"/>
      <c r="K324" s="20"/>
      <c r="L324" s="20"/>
      <c r="M324" s="20"/>
      <c r="N324" s="20"/>
      <c r="O324" s="20"/>
      <c r="P324" s="20"/>
    </row>
    <row r="325" spans="1:16" ht="15.75" customHeight="1" x14ac:dyDescent="0.35">
      <c r="A325" s="20"/>
      <c r="B325" s="92"/>
      <c r="C325" s="101"/>
      <c r="D325" s="92" t="s">
        <v>67</v>
      </c>
      <c r="E325" s="21">
        <v>0</v>
      </c>
      <c r="F325" s="21">
        <v>0</v>
      </c>
      <c r="G325" s="21">
        <v>0</v>
      </c>
      <c r="H325" s="21">
        <v>0</v>
      </c>
      <c r="I325" s="43">
        <f t="shared" si="1"/>
        <v>0</v>
      </c>
      <c r="J325" s="20"/>
      <c r="K325" s="20"/>
      <c r="L325" s="20"/>
      <c r="M325" s="20"/>
      <c r="N325" s="20"/>
      <c r="O325" s="20"/>
      <c r="P325" s="20"/>
    </row>
    <row r="326" spans="1:16" ht="15.75" customHeight="1" x14ac:dyDescent="0.35">
      <c r="A326" s="30">
        <f t="shared" ref="A326:B326" si="25">A323+7</f>
        <v>45096</v>
      </c>
      <c r="B326" s="92">
        <f t="shared" si="25"/>
        <v>745</v>
      </c>
      <c r="C326" s="101" t="str">
        <f>$C$128</f>
        <v>3% FBS R3</v>
      </c>
      <c r="D326" s="91" t="s">
        <v>65</v>
      </c>
      <c r="E326" s="21">
        <v>30</v>
      </c>
      <c r="F326" s="21">
        <v>35</v>
      </c>
      <c r="G326" s="21">
        <v>41</v>
      </c>
      <c r="H326" s="21">
        <v>32</v>
      </c>
      <c r="I326" s="43">
        <f t="shared" si="1"/>
        <v>34.5</v>
      </c>
      <c r="J326" s="20">
        <f>I326*2*10000</f>
        <v>690000</v>
      </c>
      <c r="K326" s="20">
        <v>3000000</v>
      </c>
      <c r="L326" s="20">
        <f>J326*5</f>
        <v>3450000</v>
      </c>
      <c r="M326" s="22">
        <f>I326/(I326+I327)*100</f>
        <v>98.571428571428584</v>
      </c>
      <c r="N326" s="22">
        <f>I328/I326*100</f>
        <v>0</v>
      </c>
      <c r="O326" s="23">
        <f>3.32*(LOG(L326)-LOG(K326))</f>
        <v>0.2015168299739912</v>
      </c>
      <c r="P326" s="23">
        <f>IF(O326&lt;0,P323,P323+O326)</f>
        <v>96.34983958614967</v>
      </c>
    </row>
    <row r="327" spans="1:16" ht="15.75" customHeight="1" x14ac:dyDescent="0.35">
      <c r="A327" s="20"/>
      <c r="B327" s="92"/>
      <c r="C327" s="101"/>
      <c r="D327" s="92" t="s">
        <v>66</v>
      </c>
      <c r="E327" s="21">
        <v>0</v>
      </c>
      <c r="F327" s="21">
        <v>2</v>
      </c>
      <c r="G327" s="21">
        <v>0</v>
      </c>
      <c r="H327" s="21">
        <v>0</v>
      </c>
      <c r="I327" s="43">
        <f t="shared" si="1"/>
        <v>0.5</v>
      </c>
      <c r="J327" s="20"/>
      <c r="K327" s="20"/>
      <c r="L327" s="20"/>
      <c r="M327" s="20"/>
      <c r="N327" s="20"/>
      <c r="O327" s="20"/>
      <c r="P327" s="20"/>
    </row>
    <row r="328" spans="1:16" ht="15.75" customHeight="1" x14ac:dyDescent="0.35">
      <c r="A328" s="20"/>
      <c r="B328" s="92"/>
      <c r="C328" s="101"/>
      <c r="D328" s="92" t="s">
        <v>67</v>
      </c>
      <c r="E328" s="21">
        <v>0</v>
      </c>
      <c r="F328" s="21">
        <v>0</v>
      </c>
      <c r="G328" s="21">
        <v>0</v>
      </c>
      <c r="H328" s="21">
        <v>0</v>
      </c>
      <c r="I328" s="43">
        <f t="shared" si="1"/>
        <v>0</v>
      </c>
      <c r="J328" s="20"/>
      <c r="K328" s="20"/>
      <c r="L328" s="20"/>
      <c r="M328" s="20"/>
      <c r="N328" s="20"/>
      <c r="O328" s="20"/>
      <c r="P328" s="20"/>
    </row>
    <row r="329" spans="1:16" ht="15.75" customHeight="1" x14ac:dyDescent="0.35">
      <c r="A329" s="30">
        <f t="shared" ref="A329:B329" si="26">A326+7</f>
        <v>45103</v>
      </c>
      <c r="B329" s="92">
        <f t="shared" si="26"/>
        <v>752</v>
      </c>
      <c r="C329" s="101" t="str">
        <f>$C$128</f>
        <v>3% FBS R3</v>
      </c>
      <c r="D329" s="91" t="s">
        <v>65</v>
      </c>
      <c r="E329" s="21">
        <v>29</v>
      </c>
      <c r="F329" s="21">
        <v>36</v>
      </c>
      <c r="G329" s="21">
        <v>36</v>
      </c>
      <c r="H329" s="21">
        <v>29</v>
      </c>
      <c r="I329" s="43">
        <f t="shared" si="1"/>
        <v>32.5</v>
      </c>
      <c r="J329" s="20">
        <f>I329*2*10000</f>
        <v>650000</v>
      </c>
      <c r="K329" s="20">
        <v>3000000</v>
      </c>
      <c r="L329" s="20">
        <f>J329*5</f>
        <v>3250000</v>
      </c>
      <c r="M329" s="22">
        <f>I329/(I329+I330)*100</f>
        <v>99.236641221374043</v>
      </c>
      <c r="N329" s="22">
        <f>I331/I329*100</f>
        <v>0</v>
      </c>
      <c r="O329" s="23">
        <f>3.32*(LOG(L329)-LOG(K329))</f>
        <v>0.11541019278058329</v>
      </c>
      <c r="P329" s="23">
        <f>IF(O329&lt;0,P326,P326+O329)</f>
        <v>96.465249778930257</v>
      </c>
    </row>
    <row r="330" spans="1:16" ht="15.75" customHeight="1" x14ac:dyDescent="0.35">
      <c r="A330" s="20"/>
      <c r="B330" s="92"/>
      <c r="C330" s="101"/>
      <c r="D330" s="92" t="s">
        <v>66</v>
      </c>
      <c r="E330" s="21">
        <v>0</v>
      </c>
      <c r="F330" s="21">
        <v>1</v>
      </c>
      <c r="G330" s="21">
        <v>0</v>
      </c>
      <c r="H330" s="21">
        <v>0</v>
      </c>
      <c r="I330" s="43">
        <f t="shared" si="1"/>
        <v>0.25</v>
      </c>
      <c r="J330" s="20"/>
      <c r="K330" s="20"/>
      <c r="L330" s="20"/>
      <c r="M330" s="20"/>
      <c r="N330" s="20"/>
      <c r="O330" s="20"/>
      <c r="P330" s="20"/>
    </row>
    <row r="331" spans="1:16" ht="15.75" customHeight="1" x14ac:dyDescent="0.35">
      <c r="A331" s="20"/>
      <c r="B331" s="92"/>
      <c r="C331" s="101"/>
      <c r="D331" s="92" t="s">
        <v>67</v>
      </c>
      <c r="E331" s="21">
        <v>0</v>
      </c>
      <c r="F331" s="21">
        <v>0</v>
      </c>
      <c r="G331" s="21">
        <v>0</v>
      </c>
      <c r="H331" s="21">
        <v>0</v>
      </c>
      <c r="I331" s="43">
        <f t="shared" si="1"/>
        <v>0</v>
      </c>
      <c r="J331" s="20"/>
      <c r="K331" s="20"/>
      <c r="L331" s="20"/>
      <c r="M331" s="20"/>
      <c r="N331" s="20"/>
      <c r="O331" s="20"/>
      <c r="P331" s="20"/>
    </row>
    <row r="332" spans="1:16" ht="15.75" customHeight="1" x14ac:dyDescent="0.35">
      <c r="A332" s="30">
        <f>A329+9</f>
        <v>45112</v>
      </c>
      <c r="B332" s="92">
        <f>B329+9</f>
        <v>761</v>
      </c>
      <c r="C332" s="101" t="str">
        <f>$C$128</f>
        <v>3% FBS R3</v>
      </c>
      <c r="D332" s="91" t="s">
        <v>65</v>
      </c>
      <c r="E332" s="21">
        <v>32</v>
      </c>
      <c r="F332" s="21">
        <v>30</v>
      </c>
      <c r="G332" s="21">
        <v>36</v>
      </c>
      <c r="H332" s="21">
        <v>30</v>
      </c>
      <c r="I332" s="43">
        <f t="shared" si="1"/>
        <v>32</v>
      </c>
      <c r="J332" s="20">
        <f>I332*2*10000</f>
        <v>640000</v>
      </c>
      <c r="K332" s="20">
        <v>3000000</v>
      </c>
      <c r="L332" s="20">
        <f>J332*5</f>
        <v>3200000</v>
      </c>
      <c r="M332" s="22">
        <f>I332/(I332+I333)*100</f>
        <v>98.461538461538467</v>
      </c>
      <c r="N332" s="22">
        <f>I334/I332*100</f>
        <v>0</v>
      </c>
      <c r="O332" s="23">
        <f>3.32*(LOG(L332)-LOG(K332))</f>
        <v>9.3055362352808965E-2</v>
      </c>
      <c r="P332" s="23">
        <f>IF(O332&lt;0,P329,P329+O332)</f>
        <v>96.558305141283071</v>
      </c>
    </row>
    <row r="333" spans="1:16" ht="15.75" customHeight="1" x14ac:dyDescent="0.35">
      <c r="A333" s="20"/>
      <c r="B333" s="92"/>
      <c r="C333" s="101"/>
      <c r="D333" s="92" t="s">
        <v>66</v>
      </c>
      <c r="E333" s="21">
        <v>0</v>
      </c>
      <c r="F333" s="21">
        <v>1</v>
      </c>
      <c r="G333" s="21">
        <v>1</v>
      </c>
      <c r="H333" s="21">
        <v>0</v>
      </c>
      <c r="I333" s="43">
        <f t="shared" si="1"/>
        <v>0.5</v>
      </c>
      <c r="J333" s="20"/>
      <c r="K333" s="20"/>
      <c r="L333" s="20"/>
      <c r="M333" s="20"/>
      <c r="N333" s="20"/>
      <c r="O333" s="20"/>
      <c r="P333" s="20"/>
    </row>
    <row r="334" spans="1:16" ht="15.75" customHeight="1" x14ac:dyDescent="0.35">
      <c r="A334" s="20"/>
      <c r="B334" s="92"/>
      <c r="C334" s="101"/>
      <c r="D334" s="92" t="s">
        <v>67</v>
      </c>
      <c r="E334" s="21">
        <v>0</v>
      </c>
      <c r="F334" s="21">
        <v>0</v>
      </c>
      <c r="G334" s="21">
        <v>0</v>
      </c>
      <c r="H334" s="21">
        <v>0</v>
      </c>
      <c r="I334" s="43">
        <f t="shared" si="1"/>
        <v>0</v>
      </c>
      <c r="J334" s="20"/>
      <c r="K334" s="20"/>
      <c r="L334" s="20"/>
      <c r="M334" s="20"/>
      <c r="N334" s="20"/>
      <c r="O334" s="20"/>
      <c r="P334" s="20"/>
    </row>
    <row r="335" spans="1:16" ht="15.75" customHeight="1" x14ac:dyDescent="0.35">
      <c r="A335" s="30">
        <f>A332+5</f>
        <v>45117</v>
      </c>
      <c r="B335" s="92">
        <f>B332+5</f>
        <v>766</v>
      </c>
      <c r="C335" s="101" t="str">
        <f>$C$128</f>
        <v>3% FBS R3</v>
      </c>
      <c r="D335" s="91" t="s">
        <v>65</v>
      </c>
      <c r="E335" s="21">
        <v>48</v>
      </c>
      <c r="F335" s="21">
        <v>38</v>
      </c>
      <c r="G335" s="21">
        <v>48</v>
      </c>
      <c r="H335" s="21">
        <v>41</v>
      </c>
      <c r="I335" s="43">
        <f t="shared" si="1"/>
        <v>43.75</v>
      </c>
      <c r="J335" s="20">
        <f>I335*2*10000</f>
        <v>875000</v>
      </c>
      <c r="K335" s="20">
        <v>3000000</v>
      </c>
      <c r="L335" s="20">
        <f>J335*5</f>
        <v>4375000</v>
      </c>
      <c r="M335" s="22">
        <f>I335/(I335+I336)*100</f>
        <v>97.765363128491629</v>
      </c>
      <c r="N335" s="22">
        <f>I337/I335*100</f>
        <v>0</v>
      </c>
      <c r="O335" s="23">
        <f>3.32*(LOG(L335)-LOG(K335))</f>
        <v>0.54400458476038205</v>
      </c>
      <c r="P335" s="23">
        <f>IF(O335&lt;0,P332,P332+O335)</f>
        <v>97.102309726043458</v>
      </c>
    </row>
    <row r="336" spans="1:16" ht="15.75" customHeight="1" x14ac:dyDescent="0.35">
      <c r="A336" s="20"/>
      <c r="B336" s="92"/>
      <c r="C336" s="101"/>
      <c r="D336" s="92" t="s">
        <v>66</v>
      </c>
      <c r="E336" s="21">
        <v>1</v>
      </c>
      <c r="F336" s="21">
        <v>0</v>
      </c>
      <c r="G336" s="21">
        <v>2</v>
      </c>
      <c r="H336" s="21">
        <v>1</v>
      </c>
      <c r="I336" s="43">
        <f t="shared" si="1"/>
        <v>1</v>
      </c>
      <c r="J336" s="20"/>
      <c r="K336" s="20"/>
      <c r="L336" s="20"/>
      <c r="M336" s="20"/>
      <c r="N336" s="20"/>
      <c r="O336" s="20"/>
      <c r="P336" s="20"/>
    </row>
    <row r="337" spans="1:16" ht="15.75" customHeight="1" x14ac:dyDescent="0.35">
      <c r="A337" s="20"/>
      <c r="B337" s="92"/>
      <c r="C337" s="101"/>
      <c r="D337" s="92" t="s">
        <v>67</v>
      </c>
      <c r="E337" s="21">
        <v>0</v>
      </c>
      <c r="F337" s="21">
        <v>0</v>
      </c>
      <c r="G337" s="21">
        <v>0</v>
      </c>
      <c r="H337" s="21">
        <v>0</v>
      </c>
      <c r="I337" s="43">
        <f t="shared" si="1"/>
        <v>0</v>
      </c>
      <c r="J337" s="20"/>
      <c r="K337" s="20"/>
      <c r="L337" s="20"/>
      <c r="M337" s="20"/>
      <c r="N337" s="20"/>
      <c r="O337" s="20"/>
      <c r="P337" s="20"/>
    </row>
    <row r="338" spans="1:16" ht="15.75" customHeight="1" x14ac:dyDescent="0.35">
      <c r="A338" s="30">
        <f t="shared" ref="A338:B338" si="27">A335+7</f>
        <v>45124</v>
      </c>
      <c r="B338" s="92">
        <f t="shared" si="27"/>
        <v>773</v>
      </c>
      <c r="C338" s="101" t="str">
        <f>$C$128</f>
        <v>3% FBS R3</v>
      </c>
      <c r="D338" s="91" t="s">
        <v>65</v>
      </c>
      <c r="E338" s="21">
        <v>45</v>
      </c>
      <c r="F338" s="21">
        <v>48</v>
      </c>
      <c r="G338" s="21">
        <v>72</v>
      </c>
      <c r="H338" s="21">
        <v>43</v>
      </c>
      <c r="I338" s="43">
        <f t="shared" si="1"/>
        <v>52</v>
      </c>
      <c r="J338" s="20">
        <f>I338*2*10000</f>
        <v>1040000</v>
      </c>
      <c r="K338" s="20">
        <v>3000000</v>
      </c>
      <c r="L338" s="20">
        <f>J338*5</f>
        <v>5200000</v>
      </c>
      <c r="M338" s="22">
        <f>I338/(I338+I339)*100</f>
        <v>97.652582159624416</v>
      </c>
      <c r="N338" s="22">
        <f>I340/I338*100</f>
        <v>0</v>
      </c>
      <c r="O338" s="23">
        <f>3.32*(LOG(L338)-LOG(K338))</f>
        <v>0.79308853519825429</v>
      </c>
      <c r="P338" s="23">
        <f>IF(O338&lt;0,P335,P335+O338)</f>
        <v>97.895398261241709</v>
      </c>
    </row>
    <row r="339" spans="1:16" ht="15.75" customHeight="1" x14ac:dyDescent="0.35">
      <c r="A339" s="20"/>
      <c r="B339" s="92"/>
      <c r="C339" s="101"/>
      <c r="D339" s="92" t="s">
        <v>66</v>
      </c>
      <c r="E339" s="21">
        <v>0</v>
      </c>
      <c r="F339" s="21">
        <v>0</v>
      </c>
      <c r="G339" s="21">
        <v>2</v>
      </c>
      <c r="H339" s="21">
        <v>3</v>
      </c>
      <c r="I339" s="43">
        <f t="shared" si="1"/>
        <v>1.25</v>
      </c>
      <c r="J339" s="20"/>
      <c r="K339" s="20"/>
      <c r="L339" s="20"/>
      <c r="M339" s="20"/>
      <c r="N339" s="20"/>
      <c r="O339" s="20"/>
      <c r="P339" s="20"/>
    </row>
    <row r="340" spans="1:16" ht="15.75" customHeight="1" x14ac:dyDescent="0.35">
      <c r="A340" s="20"/>
      <c r="B340" s="92"/>
      <c r="C340" s="101"/>
      <c r="D340" s="92" t="s">
        <v>67</v>
      </c>
      <c r="E340" s="21">
        <v>0</v>
      </c>
      <c r="F340" s="21">
        <v>0</v>
      </c>
      <c r="G340" s="21">
        <v>0</v>
      </c>
      <c r="H340" s="21">
        <v>0</v>
      </c>
      <c r="I340" s="43">
        <f t="shared" si="1"/>
        <v>0</v>
      </c>
      <c r="J340" s="20"/>
      <c r="K340" s="20"/>
      <c r="L340" s="20"/>
      <c r="M340" s="20"/>
      <c r="N340" s="20"/>
      <c r="O340" s="20"/>
      <c r="P340" s="20"/>
    </row>
    <row r="341" spans="1:16" ht="15.75" customHeight="1" x14ac:dyDescent="0.35">
      <c r="A341" s="30">
        <f t="shared" ref="A341:B341" si="28">A338+7</f>
        <v>45131</v>
      </c>
      <c r="B341" s="92">
        <f t="shared" si="28"/>
        <v>780</v>
      </c>
      <c r="C341" s="101" t="str">
        <f t="shared" ref="C341" si="29">$C$128</f>
        <v>3% FBS R3</v>
      </c>
      <c r="D341" s="91" t="s">
        <v>65</v>
      </c>
      <c r="E341" s="21">
        <v>94</v>
      </c>
      <c r="F341" s="21">
        <v>95</v>
      </c>
      <c r="G341" s="21">
        <v>81</v>
      </c>
      <c r="H341" s="21">
        <v>63</v>
      </c>
      <c r="I341" s="43">
        <f t="shared" ref="I341:I349" si="30">AVERAGE(E341:H341)</f>
        <v>83.25</v>
      </c>
      <c r="J341" s="20">
        <f t="shared" ref="J341" si="31">I341*2*10000</f>
        <v>1665000</v>
      </c>
      <c r="K341" s="20">
        <v>3000000</v>
      </c>
      <c r="L341" s="20">
        <f t="shared" ref="L341" si="32">J341*5</f>
        <v>8325000</v>
      </c>
      <c r="M341" s="22">
        <f t="shared" ref="M341" si="33">I341/(I341+I342)*100</f>
        <v>90.735694822888277</v>
      </c>
      <c r="N341" s="22">
        <f>I343/I341*100</f>
        <v>0</v>
      </c>
      <c r="O341" s="23">
        <f t="shared" ref="O341" si="34">3.32*(LOG(L341)-LOG(K341))</f>
        <v>1.4716331183628677</v>
      </c>
      <c r="P341" s="23">
        <f t="shared" ref="P341" si="35">IF(O341&lt;0,P338,P338+O341)</f>
        <v>99.367031379604583</v>
      </c>
    </row>
    <row r="342" spans="1:16" ht="15.75" customHeight="1" x14ac:dyDescent="0.35">
      <c r="A342" s="20"/>
      <c r="B342" s="92"/>
      <c r="C342" s="101"/>
      <c r="D342" s="92" t="s">
        <v>66</v>
      </c>
      <c r="E342" s="21">
        <v>6</v>
      </c>
      <c r="F342" s="21">
        <v>4</v>
      </c>
      <c r="G342" s="21">
        <v>3</v>
      </c>
      <c r="H342" s="21">
        <v>21</v>
      </c>
      <c r="I342" s="43">
        <f t="shared" si="30"/>
        <v>8.5</v>
      </c>
      <c r="J342" s="20"/>
      <c r="K342" s="20"/>
      <c r="L342" s="20"/>
      <c r="M342" s="20"/>
      <c r="N342" s="20"/>
      <c r="O342" s="20"/>
      <c r="P342" s="20"/>
    </row>
    <row r="343" spans="1:16" ht="15.75" customHeight="1" x14ac:dyDescent="0.35">
      <c r="A343" s="20"/>
      <c r="B343" s="92"/>
      <c r="C343" s="101"/>
      <c r="D343" s="92" t="s">
        <v>67</v>
      </c>
      <c r="E343" s="21">
        <v>0</v>
      </c>
      <c r="F343" s="21">
        <v>0</v>
      </c>
      <c r="G343" s="21">
        <v>0</v>
      </c>
      <c r="H343" s="21">
        <v>0</v>
      </c>
      <c r="I343" s="43">
        <f t="shared" si="30"/>
        <v>0</v>
      </c>
      <c r="J343" s="20"/>
      <c r="K343" s="20"/>
      <c r="L343" s="20"/>
      <c r="M343" s="20"/>
      <c r="N343" s="20"/>
      <c r="O343" s="20"/>
      <c r="P343" s="20"/>
    </row>
    <row r="344" spans="1:16" ht="15.75" customHeight="1" x14ac:dyDescent="0.35">
      <c r="A344" s="30">
        <f t="shared" ref="A344:B344" si="36">A341+7</f>
        <v>45138</v>
      </c>
      <c r="B344" s="92">
        <f t="shared" si="36"/>
        <v>787</v>
      </c>
      <c r="C344" s="101" t="str">
        <f t="shared" ref="C344" si="37">$C$128</f>
        <v>3% FBS R3</v>
      </c>
      <c r="D344" s="91" t="s">
        <v>65</v>
      </c>
      <c r="E344" s="21">
        <v>28</v>
      </c>
      <c r="F344" s="21">
        <v>27</v>
      </c>
      <c r="G344" s="21">
        <v>19</v>
      </c>
      <c r="H344" s="21">
        <v>21</v>
      </c>
      <c r="I344" s="43">
        <f t="shared" si="30"/>
        <v>23.75</v>
      </c>
      <c r="J344" s="20">
        <f t="shared" ref="J344" si="38">I344*2*10000</f>
        <v>475000</v>
      </c>
      <c r="K344" s="20">
        <v>3000000</v>
      </c>
      <c r="L344" s="20">
        <f t="shared" ref="L344" si="39">J344*5</f>
        <v>2375000</v>
      </c>
      <c r="M344" s="22">
        <f t="shared" ref="M344" si="40">I344/(I344+I345)*100</f>
        <v>97.9381443298969</v>
      </c>
      <c r="N344" s="22">
        <f>I346/I344*100</f>
        <v>0</v>
      </c>
      <c r="O344" s="23">
        <f t="shared" ref="O344" si="41">3.32*(LOG(L344)-LOG(K344))</f>
        <v>-0.33683936731914127</v>
      </c>
      <c r="P344" s="23">
        <f t="shared" ref="P344" si="42">IF(O344&lt;0,P341,P341+O344)</f>
        <v>99.367031379604583</v>
      </c>
    </row>
    <row r="345" spans="1:16" ht="15.75" customHeight="1" x14ac:dyDescent="0.35">
      <c r="A345" s="20"/>
      <c r="B345" s="92"/>
      <c r="C345" s="101"/>
      <c r="D345" s="92" t="s">
        <v>66</v>
      </c>
      <c r="E345" s="21">
        <v>0</v>
      </c>
      <c r="F345" s="21">
        <v>0</v>
      </c>
      <c r="G345" s="21">
        <v>2</v>
      </c>
      <c r="H345" s="21">
        <v>0</v>
      </c>
      <c r="I345" s="43">
        <f t="shared" si="30"/>
        <v>0.5</v>
      </c>
      <c r="J345" s="20"/>
      <c r="K345" s="20"/>
      <c r="L345" s="20"/>
      <c r="M345" s="20"/>
      <c r="N345" s="20"/>
      <c r="O345" s="20"/>
      <c r="P345" s="20"/>
    </row>
    <row r="346" spans="1:16" ht="15.75" customHeight="1" x14ac:dyDescent="0.35">
      <c r="A346" s="20"/>
      <c r="B346" s="92"/>
      <c r="C346" s="101"/>
      <c r="D346" s="92" t="s">
        <v>67</v>
      </c>
      <c r="E346" s="21">
        <v>0</v>
      </c>
      <c r="F346" s="21">
        <v>0</v>
      </c>
      <c r="G346" s="21">
        <v>0</v>
      </c>
      <c r="H346" s="21">
        <v>0</v>
      </c>
      <c r="I346" s="43">
        <f t="shared" si="30"/>
        <v>0</v>
      </c>
      <c r="J346" s="20"/>
      <c r="K346" s="20"/>
      <c r="L346" s="20"/>
      <c r="M346" s="20"/>
      <c r="N346" s="20"/>
      <c r="O346" s="20"/>
      <c r="P346" s="20"/>
    </row>
    <row r="347" spans="1:16" ht="15.75" customHeight="1" x14ac:dyDescent="0.35">
      <c r="A347" s="30">
        <f t="shared" ref="A347:B347" si="43">A344+7</f>
        <v>45145</v>
      </c>
      <c r="B347" s="92">
        <f t="shared" si="43"/>
        <v>794</v>
      </c>
      <c r="C347" s="101" t="str">
        <f t="shared" ref="C347" si="44">$C$128</f>
        <v>3% FBS R3</v>
      </c>
      <c r="D347" s="91" t="s">
        <v>65</v>
      </c>
      <c r="E347" s="21">
        <v>34</v>
      </c>
      <c r="F347" s="21">
        <v>45</v>
      </c>
      <c r="G347" s="21">
        <v>42</v>
      </c>
      <c r="H347" s="21">
        <v>55</v>
      </c>
      <c r="I347" s="43">
        <f t="shared" si="30"/>
        <v>44</v>
      </c>
      <c r="J347" s="20">
        <f t="shared" ref="J347" si="45">I347*2*10000</f>
        <v>880000</v>
      </c>
      <c r="K347" s="20">
        <v>2375000</v>
      </c>
      <c r="L347" s="20">
        <f t="shared" ref="L347" si="46">J347*5</f>
        <v>4400000</v>
      </c>
      <c r="M347" s="22">
        <f t="shared" ref="M347" si="47">I347/(I347+I348)*100</f>
        <v>97.237569060773481</v>
      </c>
      <c r="N347" s="22">
        <f>I349/I347*100</f>
        <v>0</v>
      </c>
      <c r="O347" s="23">
        <f t="shared" ref="O347" si="48">3.32*(LOG(L347)-LOG(K347))</f>
        <v>0.88905968758400511</v>
      </c>
      <c r="P347" s="23">
        <f t="shared" ref="P347" si="49">IF(O347&lt;0,P344,P344+O347)</f>
        <v>100.25609106718859</v>
      </c>
    </row>
    <row r="348" spans="1:16" ht="15.75" customHeight="1" x14ac:dyDescent="0.35">
      <c r="A348" s="20"/>
      <c r="B348" s="92"/>
      <c r="C348" s="101"/>
      <c r="D348" s="92" t="s">
        <v>66</v>
      </c>
      <c r="E348" s="21">
        <v>3</v>
      </c>
      <c r="F348" s="21">
        <v>1</v>
      </c>
      <c r="G348" s="21">
        <v>0</v>
      </c>
      <c r="H348" s="21">
        <v>1</v>
      </c>
      <c r="I348" s="43">
        <f t="shared" si="30"/>
        <v>1.25</v>
      </c>
      <c r="J348" s="20"/>
      <c r="K348" s="20"/>
      <c r="L348" s="20"/>
      <c r="M348" s="20"/>
      <c r="N348" s="20"/>
      <c r="O348" s="20"/>
      <c r="P348" s="20"/>
    </row>
    <row r="349" spans="1:16" ht="15.75" customHeight="1" x14ac:dyDescent="0.35">
      <c r="A349" s="20"/>
      <c r="B349" s="92"/>
      <c r="C349" s="101"/>
      <c r="D349" s="92" t="s">
        <v>67</v>
      </c>
      <c r="E349" s="21">
        <v>0</v>
      </c>
      <c r="F349" s="21">
        <v>0</v>
      </c>
      <c r="G349" s="21">
        <v>0</v>
      </c>
      <c r="H349" s="21">
        <v>0</v>
      </c>
      <c r="I349" s="43">
        <f t="shared" si="30"/>
        <v>0</v>
      </c>
      <c r="J349" s="20"/>
      <c r="K349" s="20"/>
      <c r="L349" s="20"/>
      <c r="M349" s="20"/>
      <c r="N349" s="20"/>
      <c r="O349" s="20"/>
      <c r="P349" s="20"/>
    </row>
    <row r="350" spans="1:16" ht="15.75" customHeight="1" x14ac:dyDescent="0.35">
      <c r="A350" s="30">
        <f t="shared" ref="A350:B350" si="50">A347+7</f>
        <v>45152</v>
      </c>
      <c r="B350" s="92">
        <f t="shared" si="50"/>
        <v>801</v>
      </c>
      <c r="C350" s="101" t="str">
        <f t="shared" ref="C350:C359" si="51">$C$128</f>
        <v>3% FBS R3</v>
      </c>
      <c r="D350" s="91" t="s">
        <v>65</v>
      </c>
      <c r="E350" s="21">
        <v>75</v>
      </c>
      <c r="F350" s="21">
        <v>81</v>
      </c>
      <c r="G350" s="21">
        <v>62</v>
      </c>
      <c r="H350" s="21">
        <v>66</v>
      </c>
      <c r="I350" s="43">
        <f t="shared" ref="I350:I361" si="52">AVERAGE(E350:H350)</f>
        <v>71</v>
      </c>
      <c r="J350" s="20">
        <f t="shared" ref="J350" si="53">I350*2*10000</f>
        <v>1420000</v>
      </c>
      <c r="K350" s="20">
        <v>3000000</v>
      </c>
      <c r="L350" s="20">
        <f t="shared" ref="L350" si="54">J350*5</f>
        <v>7100000</v>
      </c>
      <c r="M350" s="22">
        <f t="shared" ref="M350" si="55">I350/(I350+I351)*100</f>
        <v>97.594501718213053</v>
      </c>
      <c r="N350" s="22">
        <f>I352/I350*100</f>
        <v>0</v>
      </c>
      <c r="O350" s="23">
        <f t="shared" ref="O350" si="56">3.32*(LOG(L350)-LOG(K350))</f>
        <v>1.2421351520780506</v>
      </c>
      <c r="P350" s="23">
        <f t="shared" ref="P350" si="57">IF(O350&lt;0,P347,P347+O350)</f>
        <v>101.49822621926664</v>
      </c>
    </row>
    <row r="351" spans="1:16" ht="15.75" customHeight="1" x14ac:dyDescent="0.35">
      <c r="A351" s="20"/>
      <c r="B351" s="92"/>
      <c r="C351" s="101"/>
      <c r="D351" s="92" t="s">
        <v>66</v>
      </c>
      <c r="E351" s="21">
        <v>2</v>
      </c>
      <c r="F351" s="21">
        <v>1</v>
      </c>
      <c r="G351" s="21">
        <v>2</v>
      </c>
      <c r="H351" s="21">
        <v>2</v>
      </c>
      <c r="I351" s="43">
        <f t="shared" si="52"/>
        <v>1.75</v>
      </c>
      <c r="J351" s="20"/>
      <c r="K351" s="20"/>
      <c r="L351" s="20"/>
      <c r="M351" s="20"/>
      <c r="N351" s="20"/>
      <c r="O351" s="20"/>
      <c r="P351" s="20"/>
    </row>
    <row r="352" spans="1:16" ht="15.75" customHeight="1" x14ac:dyDescent="0.35">
      <c r="A352" s="20"/>
      <c r="B352" s="92"/>
      <c r="C352" s="101"/>
      <c r="D352" s="92" t="s">
        <v>67</v>
      </c>
      <c r="E352" s="21">
        <v>0</v>
      </c>
      <c r="F352" s="21">
        <v>0</v>
      </c>
      <c r="G352" s="21">
        <v>0</v>
      </c>
      <c r="H352" s="21">
        <v>0</v>
      </c>
      <c r="I352" s="43">
        <f t="shared" si="52"/>
        <v>0</v>
      </c>
      <c r="J352" s="20"/>
      <c r="K352" s="20"/>
      <c r="L352" s="20"/>
      <c r="M352" s="20"/>
      <c r="N352" s="20"/>
      <c r="O352" s="20"/>
      <c r="P352" s="20"/>
    </row>
    <row r="353" spans="1:16" ht="15.75" customHeight="1" x14ac:dyDescent="0.35">
      <c r="A353" s="30">
        <f t="shared" ref="A353:B353" si="58">A350+7</f>
        <v>45159</v>
      </c>
      <c r="B353" s="92">
        <f t="shared" si="58"/>
        <v>808</v>
      </c>
      <c r="C353" s="101" t="str">
        <f t="shared" si="51"/>
        <v>3% FBS R3</v>
      </c>
      <c r="D353" s="91" t="s">
        <v>65</v>
      </c>
      <c r="E353" s="21">
        <v>19</v>
      </c>
      <c r="F353" s="21">
        <v>13</v>
      </c>
      <c r="G353" s="21">
        <v>25</v>
      </c>
      <c r="H353" s="21">
        <v>22</v>
      </c>
      <c r="I353" s="43">
        <f t="shared" si="52"/>
        <v>19.75</v>
      </c>
      <c r="J353" s="20">
        <f t="shared" ref="J353" si="59">I353*2*10000</f>
        <v>395000</v>
      </c>
      <c r="K353" s="20">
        <v>3000000</v>
      </c>
      <c r="L353" s="20">
        <f t="shared" ref="L353" si="60">J353*5</f>
        <v>1975000</v>
      </c>
      <c r="M353" s="22">
        <f t="shared" ref="M353" si="61">I353/(I353+I354)*100</f>
        <v>96.341463414634148</v>
      </c>
      <c r="N353" s="22">
        <f>I355/I353*100</f>
        <v>0</v>
      </c>
      <c r="O353" s="23">
        <f t="shared" ref="O353" si="62">3.32*(LOG(L353)-LOG(K353))</f>
        <v>-0.60275979379384848</v>
      </c>
      <c r="P353" s="23">
        <f t="shared" ref="P353" si="63">IF(O353&lt;0,P350,P350+O353)</f>
        <v>101.49822621926664</v>
      </c>
    </row>
    <row r="354" spans="1:16" ht="15.75" customHeight="1" x14ac:dyDescent="0.35">
      <c r="A354" s="20"/>
      <c r="B354" s="92"/>
      <c r="C354" s="101"/>
      <c r="D354" s="92" t="s">
        <v>66</v>
      </c>
      <c r="E354" s="21">
        <v>1</v>
      </c>
      <c r="F354" s="21">
        <v>0</v>
      </c>
      <c r="G354" s="21">
        <v>1</v>
      </c>
      <c r="H354" s="21">
        <v>1</v>
      </c>
      <c r="I354" s="43">
        <f t="shared" si="52"/>
        <v>0.75</v>
      </c>
      <c r="J354" s="20"/>
      <c r="K354" s="20"/>
      <c r="L354" s="20"/>
      <c r="M354" s="20"/>
      <c r="N354" s="20"/>
      <c r="O354" s="20"/>
      <c r="P354" s="20"/>
    </row>
    <row r="355" spans="1:16" ht="15.75" customHeight="1" x14ac:dyDescent="0.35">
      <c r="A355" s="20"/>
      <c r="B355" s="92"/>
      <c r="C355" s="101"/>
      <c r="D355" s="92" t="s">
        <v>67</v>
      </c>
      <c r="E355" s="21">
        <v>0</v>
      </c>
      <c r="F355" s="21">
        <v>0</v>
      </c>
      <c r="G355" s="21">
        <v>0</v>
      </c>
      <c r="H355" s="21">
        <v>0</v>
      </c>
      <c r="I355" s="43">
        <f t="shared" si="52"/>
        <v>0</v>
      </c>
      <c r="J355" s="20"/>
      <c r="K355" s="20"/>
      <c r="L355" s="20"/>
      <c r="M355" s="20"/>
      <c r="N355" s="20"/>
      <c r="O355" s="20"/>
      <c r="P355" s="20"/>
    </row>
    <row r="356" spans="1:16" ht="15.75" customHeight="1" x14ac:dyDescent="0.35">
      <c r="A356" s="30">
        <f t="shared" ref="A356:B356" si="64">A353+7</f>
        <v>45166</v>
      </c>
      <c r="B356" s="92">
        <f t="shared" si="64"/>
        <v>815</v>
      </c>
      <c r="C356" s="101" t="str">
        <f t="shared" si="51"/>
        <v>3% FBS R3</v>
      </c>
      <c r="D356" s="91" t="s">
        <v>65</v>
      </c>
      <c r="E356" s="21">
        <v>24</v>
      </c>
      <c r="F356" s="21">
        <v>32</v>
      </c>
      <c r="G356" s="21">
        <v>41</v>
      </c>
      <c r="H356" s="21">
        <v>23</v>
      </c>
      <c r="I356" s="43">
        <f t="shared" si="52"/>
        <v>30</v>
      </c>
      <c r="J356" s="20">
        <f t="shared" ref="J356" si="65">I356*2*10000</f>
        <v>600000</v>
      </c>
      <c r="K356" s="20">
        <v>1975000</v>
      </c>
      <c r="L356" s="20">
        <f t="shared" ref="L356" si="66">J356*5</f>
        <v>3000000</v>
      </c>
      <c r="M356" s="22">
        <f t="shared" ref="M356" si="67">I356/(I356+I357)*100</f>
        <v>92.307692307692307</v>
      </c>
      <c r="N356" s="22">
        <f>I358/I356*100</f>
        <v>0</v>
      </c>
      <c r="O356" s="23">
        <f t="shared" ref="O356" si="68">3.32*(LOG(L356)-LOG(K356))</f>
        <v>0.60275979379384848</v>
      </c>
      <c r="P356" s="23">
        <f t="shared" ref="P356" si="69">IF(O356&lt;0,P353,P353+O356)</f>
        <v>102.10098601306049</v>
      </c>
    </row>
    <row r="357" spans="1:16" ht="15.75" customHeight="1" x14ac:dyDescent="0.35">
      <c r="A357" s="20"/>
      <c r="B357" s="92"/>
      <c r="C357" s="101"/>
      <c r="D357" s="92" t="s">
        <v>66</v>
      </c>
      <c r="E357" s="21">
        <v>3</v>
      </c>
      <c r="F357" s="21">
        <v>2</v>
      </c>
      <c r="G357" s="21">
        <v>3</v>
      </c>
      <c r="H357" s="21">
        <v>2</v>
      </c>
      <c r="I357" s="43">
        <f t="shared" si="52"/>
        <v>2.5</v>
      </c>
      <c r="J357" s="20"/>
      <c r="K357" s="20"/>
      <c r="L357" s="20"/>
      <c r="M357" s="20"/>
      <c r="N357" s="20"/>
      <c r="O357" s="20"/>
      <c r="P357" s="20"/>
    </row>
    <row r="358" spans="1:16" ht="15.75" customHeight="1" x14ac:dyDescent="0.35">
      <c r="A358" s="20"/>
      <c r="B358" s="92"/>
      <c r="C358" s="101"/>
      <c r="D358" s="92" t="s">
        <v>67</v>
      </c>
      <c r="E358" s="21">
        <v>0</v>
      </c>
      <c r="F358" s="21">
        <v>0</v>
      </c>
      <c r="G358" s="21">
        <v>0</v>
      </c>
      <c r="H358" s="21">
        <v>0</v>
      </c>
      <c r="I358" s="43">
        <f t="shared" si="52"/>
        <v>0</v>
      </c>
      <c r="J358" s="20"/>
      <c r="K358" s="20"/>
      <c r="L358" s="20"/>
      <c r="M358" s="20"/>
      <c r="N358" s="20"/>
      <c r="O358" s="20"/>
      <c r="P358" s="20"/>
    </row>
    <row r="359" spans="1:16" ht="15.75" customHeight="1" x14ac:dyDescent="0.35">
      <c r="A359" s="30">
        <f>A356+8</f>
        <v>45174</v>
      </c>
      <c r="B359" s="92">
        <f>B356+8</f>
        <v>823</v>
      </c>
      <c r="C359" s="101" t="str">
        <f t="shared" si="51"/>
        <v>3% FBS R3</v>
      </c>
      <c r="D359" s="91" t="s">
        <v>65</v>
      </c>
      <c r="E359" s="21">
        <v>104</v>
      </c>
      <c r="F359" s="21">
        <v>91</v>
      </c>
      <c r="G359" s="21">
        <v>96</v>
      </c>
      <c r="H359" s="21">
        <v>110</v>
      </c>
      <c r="I359" s="43">
        <f t="shared" si="52"/>
        <v>100.25</v>
      </c>
      <c r="J359" s="20">
        <f t="shared" ref="J359" si="70">I359*2*10000</f>
        <v>2005000</v>
      </c>
      <c r="K359" s="20">
        <v>3000000</v>
      </c>
      <c r="L359" s="20">
        <f t="shared" ref="L359" si="71">J359*5</f>
        <v>10025000</v>
      </c>
      <c r="M359" s="22">
        <f t="shared" ref="M359" si="72">I359/(I359+I360)*100</f>
        <v>95.023696682464447</v>
      </c>
      <c r="N359" s="22">
        <f>I361/I359*100</f>
        <v>0</v>
      </c>
      <c r="O359" s="23">
        <f t="shared" ref="O359" si="73">3.32*(LOG(L359)-LOG(K359))</f>
        <v>1.7395575802208894</v>
      </c>
      <c r="P359" s="23">
        <f t="shared" ref="P359" si="74">IF(O359&lt;0,P356,P356+O359)</f>
        <v>103.84054359328138</v>
      </c>
    </row>
    <row r="360" spans="1:16" ht="15.75" customHeight="1" x14ac:dyDescent="0.35">
      <c r="A360" s="20"/>
      <c r="B360" s="92"/>
      <c r="C360" s="101"/>
      <c r="D360" s="92" t="s">
        <v>66</v>
      </c>
      <c r="E360" s="21">
        <v>5</v>
      </c>
      <c r="F360" s="21">
        <v>3</v>
      </c>
      <c r="G360" s="21">
        <v>3</v>
      </c>
      <c r="H360" s="21">
        <v>10</v>
      </c>
      <c r="I360" s="43">
        <f t="shared" si="52"/>
        <v>5.25</v>
      </c>
      <c r="J360" s="20"/>
      <c r="K360" s="20"/>
      <c r="L360" s="20"/>
      <c r="M360" s="20"/>
      <c r="N360" s="20"/>
      <c r="O360" s="20"/>
      <c r="P360" s="20"/>
    </row>
    <row r="361" spans="1:16" ht="15.75" customHeight="1" x14ac:dyDescent="0.35">
      <c r="A361" s="20"/>
      <c r="B361" s="92"/>
      <c r="C361" s="101"/>
      <c r="D361" s="92" t="s">
        <v>67</v>
      </c>
      <c r="E361" s="21">
        <v>0</v>
      </c>
      <c r="F361" s="21">
        <v>0</v>
      </c>
      <c r="G361" s="21">
        <v>0</v>
      </c>
      <c r="H361" s="21">
        <v>0</v>
      </c>
      <c r="I361" s="43">
        <f t="shared" si="52"/>
        <v>0</v>
      </c>
      <c r="J361" s="20"/>
      <c r="K361" s="20"/>
      <c r="L361" s="20"/>
      <c r="M361" s="20"/>
      <c r="N361" s="20"/>
      <c r="O361" s="20"/>
      <c r="P361" s="20"/>
    </row>
    <row r="362" spans="1:16" ht="15.75" customHeight="1" x14ac:dyDescent="0.35">
      <c r="A362" s="30">
        <f>A359+6</f>
        <v>45180</v>
      </c>
      <c r="B362" s="92">
        <f>B359+6</f>
        <v>829</v>
      </c>
      <c r="C362" s="101" t="str">
        <f t="shared" ref="C362:C374" si="75">$C$128</f>
        <v>3% FBS R3</v>
      </c>
      <c r="D362" s="91" t="s">
        <v>65</v>
      </c>
      <c r="E362" s="21">
        <v>20</v>
      </c>
      <c r="F362" s="21">
        <v>16</v>
      </c>
      <c r="G362" s="21">
        <v>21</v>
      </c>
      <c r="H362" s="21">
        <v>23</v>
      </c>
      <c r="I362" s="43">
        <f t="shared" ref="I362:I376" si="76">AVERAGE(E362:H362)</f>
        <v>20</v>
      </c>
      <c r="J362" s="20">
        <f t="shared" ref="J362" si="77">I362*2*10000</f>
        <v>400000</v>
      </c>
      <c r="K362" s="20">
        <v>3000000</v>
      </c>
      <c r="L362" s="20">
        <f t="shared" ref="L362" si="78">J362*5</f>
        <v>2000000</v>
      </c>
      <c r="M362" s="22">
        <f t="shared" ref="M362" si="79">I362/(I362+I363)*100</f>
        <v>96.385542168674704</v>
      </c>
      <c r="N362" s="22">
        <f>I364/I362*100</f>
        <v>0</v>
      </c>
      <c r="O362" s="23">
        <f t="shared" ref="O362" si="80">3.32*(LOG(L362)-LOG(K362))</f>
        <v>-0.58462298006486202</v>
      </c>
      <c r="P362" s="23">
        <f t="shared" ref="P362" si="81">IF(O362&lt;0,P359,P359+O362)</f>
        <v>103.84054359328138</v>
      </c>
    </row>
    <row r="363" spans="1:16" ht="15.75" customHeight="1" x14ac:dyDescent="0.35">
      <c r="A363" s="20"/>
      <c r="B363" s="92"/>
      <c r="C363" s="101"/>
      <c r="D363" s="92" t="s">
        <v>66</v>
      </c>
      <c r="E363" s="21">
        <v>1</v>
      </c>
      <c r="F363" s="21">
        <v>1</v>
      </c>
      <c r="G363" s="21">
        <v>0</v>
      </c>
      <c r="H363" s="21">
        <v>1</v>
      </c>
      <c r="I363" s="43">
        <f t="shared" si="76"/>
        <v>0.75</v>
      </c>
      <c r="J363" s="20"/>
      <c r="K363" s="20"/>
      <c r="L363" s="20"/>
      <c r="M363" s="20"/>
      <c r="N363" s="20"/>
      <c r="O363" s="20"/>
      <c r="P363" s="20"/>
    </row>
    <row r="364" spans="1:16" ht="15.75" customHeight="1" x14ac:dyDescent="0.35">
      <c r="A364" s="20"/>
      <c r="B364" s="92"/>
      <c r="C364" s="101"/>
      <c r="D364" s="92" t="s">
        <v>67</v>
      </c>
      <c r="E364" s="21">
        <v>0</v>
      </c>
      <c r="F364" s="21">
        <v>0</v>
      </c>
      <c r="G364" s="21">
        <v>0</v>
      </c>
      <c r="H364" s="21">
        <v>0</v>
      </c>
      <c r="I364" s="43">
        <f t="shared" si="76"/>
        <v>0</v>
      </c>
      <c r="J364" s="20"/>
      <c r="K364" s="20"/>
      <c r="L364" s="20"/>
      <c r="M364" s="20"/>
      <c r="N364" s="20"/>
      <c r="O364" s="20"/>
      <c r="P364" s="20"/>
    </row>
    <row r="365" spans="1:16" ht="15.75" customHeight="1" x14ac:dyDescent="0.35">
      <c r="A365" s="30">
        <f t="shared" ref="A365:B365" si="82">A362+7</f>
        <v>45187</v>
      </c>
      <c r="B365" s="92">
        <f t="shared" si="82"/>
        <v>836</v>
      </c>
      <c r="C365" s="101" t="str">
        <f t="shared" si="75"/>
        <v>3% FBS R3</v>
      </c>
      <c r="D365" s="91" t="s">
        <v>65</v>
      </c>
      <c r="E365" s="21">
        <v>20</v>
      </c>
      <c r="F365" s="21">
        <v>16</v>
      </c>
      <c r="G365" s="21">
        <v>18</v>
      </c>
      <c r="H365" s="21">
        <v>20</v>
      </c>
      <c r="I365" s="43">
        <f t="shared" si="76"/>
        <v>18.5</v>
      </c>
      <c r="J365" s="20">
        <f t="shared" ref="J365" si="83">I365*2*10000</f>
        <v>370000</v>
      </c>
      <c r="K365" s="20">
        <v>2000000</v>
      </c>
      <c r="L365" s="20">
        <f t="shared" ref="L365" si="84">J365*5</f>
        <v>1850000</v>
      </c>
      <c r="M365" s="22">
        <f t="shared" ref="M365" si="85">I365/(I365+I366)*100</f>
        <v>96.103896103896105</v>
      </c>
      <c r="N365" s="22">
        <f>I367/I365*100</f>
        <v>0</v>
      </c>
      <c r="O365" s="23">
        <f t="shared" ref="O365" si="86">3.32*(LOG(L365)-LOG(K365))</f>
        <v>-0.11240944730641217</v>
      </c>
      <c r="P365" s="23">
        <f t="shared" ref="P365" si="87">IF(O365&lt;0,P362,P362+O365)</f>
        <v>103.84054359328138</v>
      </c>
    </row>
    <row r="366" spans="1:16" ht="15.75" customHeight="1" x14ac:dyDescent="0.35">
      <c r="A366" s="20"/>
      <c r="B366" s="92"/>
      <c r="C366" s="101"/>
      <c r="D366" s="92" t="s">
        <v>66</v>
      </c>
      <c r="E366" s="21">
        <v>1</v>
      </c>
      <c r="F366" s="21">
        <v>1</v>
      </c>
      <c r="G366" s="21">
        <v>0</v>
      </c>
      <c r="H366" s="21">
        <v>1</v>
      </c>
      <c r="I366" s="43">
        <f t="shared" si="76"/>
        <v>0.75</v>
      </c>
      <c r="J366" s="20"/>
      <c r="K366" s="20"/>
      <c r="L366" s="20"/>
      <c r="M366" s="20"/>
      <c r="N366" s="20"/>
      <c r="O366" s="20"/>
      <c r="P366" s="20"/>
    </row>
    <row r="367" spans="1:16" ht="15.75" customHeight="1" x14ac:dyDescent="0.35">
      <c r="A367" s="20"/>
      <c r="B367" s="92"/>
      <c r="C367" s="101"/>
      <c r="D367" s="92" t="s">
        <v>67</v>
      </c>
      <c r="E367" s="21">
        <v>0</v>
      </c>
      <c r="F367" s="21">
        <v>0</v>
      </c>
      <c r="G367" s="21">
        <v>0</v>
      </c>
      <c r="H367" s="21">
        <v>0</v>
      </c>
      <c r="I367" s="43">
        <f t="shared" si="76"/>
        <v>0</v>
      </c>
      <c r="J367" s="20"/>
      <c r="K367" s="20"/>
      <c r="L367" s="20"/>
      <c r="M367" s="20"/>
      <c r="N367" s="20"/>
      <c r="O367" s="20"/>
      <c r="P367" s="20"/>
    </row>
    <row r="368" spans="1:16" ht="15.75" customHeight="1" x14ac:dyDescent="0.35">
      <c r="A368" s="30">
        <f t="shared" ref="A368:B368" si="88">A365+7</f>
        <v>45194</v>
      </c>
      <c r="B368" s="92">
        <f t="shared" si="88"/>
        <v>843</v>
      </c>
      <c r="C368" s="101" t="str">
        <f t="shared" si="75"/>
        <v>3% FBS R3</v>
      </c>
      <c r="D368" s="91" t="s">
        <v>65</v>
      </c>
      <c r="E368" s="21">
        <v>32</v>
      </c>
      <c r="F368" s="21">
        <v>34</v>
      </c>
      <c r="G368" s="21">
        <v>24</v>
      </c>
      <c r="H368" s="21">
        <v>15</v>
      </c>
      <c r="I368" s="43">
        <f t="shared" si="76"/>
        <v>26.25</v>
      </c>
      <c r="J368" s="20">
        <f t="shared" ref="J368" si="89">I368*2*10000</f>
        <v>525000</v>
      </c>
      <c r="K368" s="20">
        <v>1850000</v>
      </c>
      <c r="L368" s="20">
        <f t="shared" ref="L368" si="90">J368*5</f>
        <v>2625000</v>
      </c>
      <c r="M368" s="22">
        <f t="shared" ref="M368" si="91">I368/(I368+I369)*100</f>
        <v>93.75</v>
      </c>
      <c r="N368" s="22">
        <f>I370/I368*100</f>
        <v>0</v>
      </c>
      <c r="O368" s="23">
        <f t="shared" ref="O368" si="92">3.32*(LOG(L368)-LOG(K368))</f>
        <v>0.50449916340535395</v>
      </c>
      <c r="P368" s="23">
        <f t="shared" ref="P368" si="93">IF(O368&lt;0,P365,P365+O368)</f>
        <v>104.34504275668674</v>
      </c>
    </row>
    <row r="369" spans="1:16" ht="15.75" customHeight="1" x14ac:dyDescent="0.35">
      <c r="A369" s="20"/>
      <c r="B369" s="92"/>
      <c r="C369" s="101"/>
      <c r="D369" s="92" t="s">
        <v>66</v>
      </c>
      <c r="E369" s="21">
        <v>2</v>
      </c>
      <c r="F369" s="21">
        <v>1</v>
      </c>
      <c r="G369" s="21">
        <v>2</v>
      </c>
      <c r="H369" s="21">
        <v>2</v>
      </c>
      <c r="I369" s="43">
        <f t="shared" si="76"/>
        <v>1.75</v>
      </c>
      <c r="J369" s="20"/>
      <c r="K369" s="20"/>
      <c r="L369" s="20"/>
      <c r="M369" s="20"/>
      <c r="N369" s="20"/>
      <c r="O369" s="20"/>
      <c r="P369" s="20"/>
    </row>
    <row r="370" spans="1:16" ht="15.75" customHeight="1" x14ac:dyDescent="0.35">
      <c r="A370" s="20"/>
      <c r="B370" s="92"/>
      <c r="C370" s="101"/>
      <c r="D370" s="92" t="s">
        <v>67</v>
      </c>
      <c r="E370" s="21">
        <v>0</v>
      </c>
      <c r="F370" s="21">
        <v>0</v>
      </c>
      <c r="G370" s="21">
        <v>0</v>
      </c>
      <c r="H370" s="21">
        <v>0</v>
      </c>
      <c r="I370" s="43">
        <f t="shared" si="76"/>
        <v>0</v>
      </c>
      <c r="J370" s="20"/>
      <c r="K370" s="20"/>
      <c r="L370" s="20"/>
      <c r="M370" s="20"/>
      <c r="N370" s="20"/>
      <c r="O370" s="20"/>
      <c r="P370" s="20"/>
    </row>
    <row r="371" spans="1:16" ht="15.75" customHeight="1" x14ac:dyDescent="0.35">
      <c r="A371" s="30">
        <f t="shared" ref="A371:B371" si="94">A368+7</f>
        <v>45201</v>
      </c>
      <c r="B371" s="92">
        <f t="shared" si="94"/>
        <v>850</v>
      </c>
      <c r="C371" s="101" t="str">
        <f t="shared" si="75"/>
        <v>3% FBS R3</v>
      </c>
      <c r="D371" s="91" t="s">
        <v>65</v>
      </c>
      <c r="E371" s="21">
        <v>26</v>
      </c>
      <c r="F371" s="21">
        <v>22</v>
      </c>
      <c r="G371" s="21">
        <v>25</v>
      </c>
      <c r="H371" s="21">
        <v>28</v>
      </c>
      <c r="I371" s="43">
        <f t="shared" si="76"/>
        <v>25.25</v>
      </c>
      <c r="J371" s="20">
        <f t="shared" ref="J371" si="95">I371*2*10000</f>
        <v>505000</v>
      </c>
      <c r="K371" s="20">
        <v>2625000</v>
      </c>
      <c r="L371" s="20">
        <f t="shared" ref="L371" si="96">J371*5</f>
        <v>2525000</v>
      </c>
      <c r="M371" s="22">
        <f t="shared" ref="M371" si="97">I371/(I371+I372)*100</f>
        <v>98.05825242718447</v>
      </c>
      <c r="N371" s="22">
        <f>I373/I371*100</f>
        <v>0</v>
      </c>
      <c r="O371" s="23">
        <f t="shared" ref="O371" si="98">3.32*(LOG(L371)-LOG(K371))</f>
        <v>-5.6001511953820041E-2</v>
      </c>
      <c r="P371" s="23">
        <f t="shared" ref="P371" si="99">IF(O371&lt;0,P368,P368+O371)</f>
        <v>104.34504275668674</v>
      </c>
    </row>
    <row r="372" spans="1:16" ht="15.75" customHeight="1" x14ac:dyDescent="0.35">
      <c r="A372" s="20"/>
      <c r="B372" s="92"/>
      <c r="C372" s="101"/>
      <c r="D372" s="92" t="s">
        <v>66</v>
      </c>
      <c r="E372" s="21">
        <v>0</v>
      </c>
      <c r="F372" s="21">
        <v>0</v>
      </c>
      <c r="G372" s="21">
        <v>1</v>
      </c>
      <c r="H372" s="21">
        <v>1</v>
      </c>
      <c r="I372" s="43">
        <f t="shared" si="76"/>
        <v>0.5</v>
      </c>
      <c r="J372" s="20"/>
      <c r="K372" s="20"/>
      <c r="L372" s="20"/>
      <c r="M372" s="20"/>
      <c r="N372" s="20"/>
      <c r="O372" s="20"/>
      <c r="P372" s="20"/>
    </row>
    <row r="373" spans="1:16" ht="15.75" customHeight="1" x14ac:dyDescent="0.35">
      <c r="A373" s="20"/>
      <c r="B373" s="92"/>
      <c r="C373" s="101"/>
      <c r="D373" s="92" t="s">
        <v>67</v>
      </c>
      <c r="E373" s="21">
        <v>0</v>
      </c>
      <c r="F373" s="21">
        <v>0</v>
      </c>
      <c r="G373" s="21">
        <v>0</v>
      </c>
      <c r="H373" s="21">
        <v>0</v>
      </c>
      <c r="I373" s="43">
        <f t="shared" si="76"/>
        <v>0</v>
      </c>
      <c r="J373" s="20"/>
      <c r="K373" s="20"/>
      <c r="L373" s="20"/>
      <c r="M373" s="20"/>
      <c r="N373" s="20"/>
      <c r="O373" s="20"/>
      <c r="P373" s="20"/>
    </row>
    <row r="374" spans="1:16" ht="15.75" customHeight="1" x14ac:dyDescent="0.35">
      <c r="A374" s="30">
        <f t="shared" ref="A374:B374" si="100">A371+7</f>
        <v>45208</v>
      </c>
      <c r="B374" s="92">
        <f t="shared" si="100"/>
        <v>857</v>
      </c>
      <c r="C374" s="101" t="str">
        <f t="shared" si="75"/>
        <v>3% FBS R3</v>
      </c>
      <c r="D374" s="91" t="s">
        <v>65</v>
      </c>
      <c r="E374" s="21">
        <v>97</v>
      </c>
      <c r="F374" s="21">
        <v>90</v>
      </c>
      <c r="G374" s="21">
        <v>102</v>
      </c>
      <c r="H374" s="21">
        <v>97</v>
      </c>
      <c r="I374" s="43">
        <f t="shared" si="76"/>
        <v>96.5</v>
      </c>
      <c r="J374" s="20">
        <f t="shared" ref="J374" si="101">I374*2*10000</f>
        <v>1930000</v>
      </c>
      <c r="K374" s="20">
        <v>2525000</v>
      </c>
      <c r="L374" s="20">
        <f t="shared" ref="L374" si="102">J374*5</f>
        <v>9650000</v>
      </c>
      <c r="M374" s="22">
        <f t="shared" ref="M374" si="103">I374/(I374+I375)*100</f>
        <v>96.741854636591469</v>
      </c>
      <c r="N374" s="22">
        <f>I376/I374*100</f>
        <v>0</v>
      </c>
      <c r="O374" s="23">
        <f t="shared" ref="O374" si="104">3.32*(LOG(L374)-LOG(K374))</f>
        <v>1.9331228905518518</v>
      </c>
      <c r="P374" s="23">
        <f t="shared" ref="P374" si="105">IF(O374&lt;0,P371,P371+O374)</f>
        <v>106.27816564723859</v>
      </c>
    </row>
    <row r="375" spans="1:16" ht="15.75" customHeight="1" x14ac:dyDescent="0.35">
      <c r="A375" s="20"/>
      <c r="B375" s="92"/>
      <c r="C375" s="101"/>
      <c r="D375" s="92" t="s">
        <v>66</v>
      </c>
      <c r="E375" s="21">
        <v>2</v>
      </c>
      <c r="F375" s="21">
        <v>4</v>
      </c>
      <c r="G375" s="21">
        <v>4</v>
      </c>
      <c r="H375" s="21">
        <v>3</v>
      </c>
      <c r="I375" s="43">
        <f t="shared" si="76"/>
        <v>3.25</v>
      </c>
      <c r="J375" s="20"/>
      <c r="K375" s="20"/>
      <c r="L375" s="20"/>
      <c r="M375" s="20"/>
      <c r="N375" s="20"/>
      <c r="O375" s="20"/>
      <c r="P375" s="20"/>
    </row>
    <row r="376" spans="1:16" ht="15.75" customHeight="1" x14ac:dyDescent="0.35">
      <c r="A376" s="20"/>
      <c r="B376" s="92"/>
      <c r="C376" s="101"/>
      <c r="D376" s="92" t="s">
        <v>67</v>
      </c>
      <c r="E376" s="21">
        <v>0</v>
      </c>
      <c r="F376" s="21">
        <v>0</v>
      </c>
      <c r="G376" s="21">
        <v>0</v>
      </c>
      <c r="H376" s="21">
        <v>0</v>
      </c>
      <c r="I376" s="43">
        <f t="shared" si="76"/>
        <v>0</v>
      </c>
      <c r="J376" s="20"/>
      <c r="K376" s="20"/>
      <c r="L376" s="20"/>
      <c r="M376" s="20"/>
      <c r="N376" s="20"/>
      <c r="O376" s="20"/>
      <c r="P376" s="20"/>
    </row>
    <row r="377" spans="1:16" ht="15.75" customHeight="1" x14ac:dyDescent="0.35">
      <c r="A377" s="30">
        <f t="shared" ref="A377:B377" si="106">A374+7</f>
        <v>45215</v>
      </c>
      <c r="B377" s="92">
        <f t="shared" si="106"/>
        <v>864</v>
      </c>
      <c r="C377" s="101" t="str">
        <f t="shared" ref="C377:C392" si="107">$C$128</f>
        <v>3% FBS R3</v>
      </c>
      <c r="D377" s="91" t="s">
        <v>65</v>
      </c>
      <c r="E377" s="21">
        <v>52</v>
      </c>
      <c r="F377" s="21">
        <v>49</v>
      </c>
      <c r="G377" s="21">
        <v>53</v>
      </c>
      <c r="H377" s="21">
        <v>55</v>
      </c>
      <c r="I377" s="43">
        <f t="shared" ref="I377:I385" si="108">AVERAGE(E377:H377)</f>
        <v>52.25</v>
      </c>
      <c r="J377" s="20">
        <f t="shared" ref="J377" si="109">I377*2*10000</f>
        <v>1045000</v>
      </c>
      <c r="K377" s="20">
        <v>3000000</v>
      </c>
      <c r="L377" s="20">
        <f t="shared" ref="L377" si="110">J377*5</f>
        <v>5225000</v>
      </c>
      <c r="M377" s="22">
        <f t="shared" ref="M377" si="111">I377/(I377+I378)*100</f>
        <v>97.20930232558139</v>
      </c>
      <c r="N377" s="22">
        <f>I379/I377*100</f>
        <v>0</v>
      </c>
      <c r="O377" s="23">
        <f t="shared" ref="O377" si="112">3.32*(LOG(L377)-LOG(K377))</f>
        <v>0.80000393301058459</v>
      </c>
      <c r="P377" s="23">
        <f t="shared" ref="P377" si="113">IF(O377&lt;0,P374,P374+O377)</f>
        <v>107.07816958024918</v>
      </c>
    </row>
    <row r="378" spans="1:16" ht="15.75" customHeight="1" x14ac:dyDescent="0.35">
      <c r="A378" s="20"/>
      <c r="B378" s="92"/>
      <c r="C378" s="101"/>
      <c r="D378" s="92" t="s">
        <v>66</v>
      </c>
      <c r="E378" s="21">
        <v>1</v>
      </c>
      <c r="F378" s="21">
        <v>3</v>
      </c>
      <c r="G378" s="21">
        <v>1</v>
      </c>
      <c r="H378" s="21">
        <v>1</v>
      </c>
      <c r="I378" s="43">
        <f t="shared" si="108"/>
        <v>1.5</v>
      </c>
      <c r="J378" s="20"/>
      <c r="K378" s="20"/>
      <c r="L378" s="20"/>
      <c r="M378" s="20"/>
      <c r="N378" s="20"/>
      <c r="O378" s="20"/>
      <c r="P378" s="20"/>
    </row>
    <row r="379" spans="1:16" ht="15.75" customHeight="1" x14ac:dyDescent="0.35">
      <c r="A379" s="20"/>
      <c r="B379" s="92"/>
      <c r="C379" s="101"/>
      <c r="D379" s="92" t="s">
        <v>67</v>
      </c>
      <c r="E379" s="21">
        <v>0</v>
      </c>
      <c r="F379" s="21">
        <v>0</v>
      </c>
      <c r="G379" s="21">
        <v>0</v>
      </c>
      <c r="H379" s="21">
        <v>0</v>
      </c>
      <c r="I379" s="43">
        <f t="shared" si="108"/>
        <v>0</v>
      </c>
      <c r="J379" s="20"/>
      <c r="K379" s="20"/>
      <c r="L379" s="20"/>
      <c r="M379" s="20"/>
      <c r="N379" s="20"/>
      <c r="O379" s="20"/>
      <c r="P379" s="20"/>
    </row>
    <row r="380" spans="1:16" ht="15.75" customHeight="1" x14ac:dyDescent="0.35">
      <c r="A380" s="30">
        <f t="shared" ref="A380:B380" si="114">A377+7</f>
        <v>45222</v>
      </c>
      <c r="B380" s="92">
        <f t="shared" si="114"/>
        <v>871</v>
      </c>
      <c r="C380" s="101" t="str">
        <f t="shared" si="107"/>
        <v>3% FBS R3</v>
      </c>
      <c r="D380" s="91" t="s">
        <v>65</v>
      </c>
      <c r="E380" s="21">
        <v>94</v>
      </c>
      <c r="F380" s="21">
        <v>109</v>
      </c>
      <c r="G380" s="21">
        <v>78</v>
      </c>
      <c r="H380" s="21">
        <v>86</v>
      </c>
      <c r="I380" s="43">
        <f t="shared" si="108"/>
        <v>91.75</v>
      </c>
      <c r="J380" s="20">
        <f t="shared" ref="J380" si="115">I380*2*10000</f>
        <v>1835000</v>
      </c>
      <c r="K380" s="20">
        <v>3000000</v>
      </c>
      <c r="L380" s="20">
        <f t="shared" ref="L380" si="116">J380*5</f>
        <v>9175000</v>
      </c>
      <c r="M380" s="22">
        <f t="shared" ref="M380" si="117">I380/(I380+I381)*100</f>
        <v>98.128342245989302</v>
      </c>
      <c r="N380" s="22">
        <f>I382/I380*100</f>
        <v>0</v>
      </c>
      <c r="O380" s="23">
        <f t="shared" ref="O380" si="118">3.32*(LOG(L380)-LOG(K380))</f>
        <v>1.6118095964388226</v>
      </c>
      <c r="P380" s="23">
        <f t="shared" ref="P380" si="119">IF(O380&lt;0,P377,P377+O380)</f>
        <v>108.689979176688</v>
      </c>
    </row>
    <row r="381" spans="1:16" ht="15.75" customHeight="1" x14ac:dyDescent="0.35">
      <c r="A381" s="20"/>
      <c r="B381" s="92"/>
      <c r="C381" s="101"/>
      <c r="D381" s="92" t="s">
        <v>66</v>
      </c>
      <c r="E381" s="21">
        <v>2</v>
      </c>
      <c r="F381" s="21">
        <v>1</v>
      </c>
      <c r="G381" s="21">
        <v>3</v>
      </c>
      <c r="H381" s="21">
        <v>1</v>
      </c>
      <c r="I381" s="43">
        <f t="shared" si="108"/>
        <v>1.75</v>
      </c>
      <c r="J381" s="20"/>
      <c r="K381" s="20"/>
      <c r="L381" s="20"/>
      <c r="M381" s="20"/>
      <c r="N381" s="20"/>
      <c r="O381" s="20"/>
      <c r="P381" s="20"/>
    </row>
    <row r="382" spans="1:16" ht="15.75" customHeight="1" x14ac:dyDescent="0.35">
      <c r="A382" s="20"/>
      <c r="B382" s="92"/>
      <c r="C382" s="101"/>
      <c r="D382" s="92" t="s">
        <v>67</v>
      </c>
      <c r="E382" s="21">
        <v>0</v>
      </c>
      <c r="F382" s="21">
        <v>0</v>
      </c>
      <c r="G382" s="21">
        <v>0</v>
      </c>
      <c r="H382" s="21">
        <v>0</v>
      </c>
      <c r="I382" s="43">
        <f t="shared" si="108"/>
        <v>0</v>
      </c>
      <c r="J382" s="20"/>
      <c r="K382" s="20"/>
      <c r="L382" s="20"/>
      <c r="M382" s="20"/>
      <c r="N382" s="20"/>
      <c r="O382" s="20"/>
      <c r="P382" s="20"/>
    </row>
    <row r="383" spans="1:16" ht="15.75" customHeight="1" x14ac:dyDescent="0.35">
      <c r="A383" s="30">
        <f t="shared" ref="A383:B383" si="120">A380+7</f>
        <v>45229</v>
      </c>
      <c r="B383" s="92">
        <f t="shared" si="120"/>
        <v>878</v>
      </c>
      <c r="C383" s="101" t="str">
        <f t="shared" si="107"/>
        <v>3% FBS R3</v>
      </c>
      <c r="D383" s="91" t="s">
        <v>65</v>
      </c>
      <c r="E383" s="21">
        <v>82</v>
      </c>
      <c r="F383" s="21">
        <v>87</v>
      </c>
      <c r="G383" s="21">
        <v>79</v>
      </c>
      <c r="H383" s="21">
        <v>90</v>
      </c>
      <c r="I383" s="43">
        <f t="shared" si="108"/>
        <v>84.5</v>
      </c>
      <c r="J383" s="20">
        <f t="shared" ref="J383" si="121">I383*2*10000</f>
        <v>1690000</v>
      </c>
      <c r="K383" s="20">
        <v>3000000</v>
      </c>
      <c r="L383" s="20">
        <f t="shared" ref="L383" si="122">J383*5</f>
        <v>8450000</v>
      </c>
      <c r="M383" s="22">
        <f t="shared" ref="M383" si="123">I383/(I383+I384)*100</f>
        <v>98.255813953488371</v>
      </c>
      <c r="N383" s="22">
        <f>I385/I383*100</f>
        <v>0</v>
      </c>
      <c r="O383" s="23">
        <f t="shared" ref="O383" si="124">3.32*(LOG(L383)-LOG(K383))</f>
        <v>1.4931217080436996</v>
      </c>
      <c r="P383" s="23">
        <f t="shared" ref="P383" si="125">IF(O383&lt;0,P380,P380+O383)</f>
        <v>110.1831008847317</v>
      </c>
    </row>
    <row r="384" spans="1:16" ht="15.75" customHeight="1" x14ac:dyDescent="0.35">
      <c r="A384" s="20"/>
      <c r="B384" s="92"/>
      <c r="C384" s="101"/>
      <c r="D384" s="92" t="s">
        <v>66</v>
      </c>
      <c r="E384" s="21">
        <v>1</v>
      </c>
      <c r="F384" s="21">
        <v>2</v>
      </c>
      <c r="G384" s="21">
        <v>3</v>
      </c>
      <c r="H384" s="21">
        <v>0</v>
      </c>
      <c r="I384" s="43">
        <f t="shared" si="108"/>
        <v>1.5</v>
      </c>
      <c r="J384" s="20"/>
      <c r="K384" s="20"/>
      <c r="L384" s="20"/>
      <c r="M384" s="20"/>
      <c r="N384" s="20"/>
      <c r="O384" s="20"/>
      <c r="P384" s="20"/>
    </row>
    <row r="385" spans="1:16" ht="15.75" customHeight="1" x14ac:dyDescent="0.35">
      <c r="A385" s="20"/>
      <c r="B385" s="92"/>
      <c r="C385" s="101"/>
      <c r="D385" s="92" t="s">
        <v>67</v>
      </c>
      <c r="E385" s="21">
        <v>0</v>
      </c>
      <c r="F385" s="21">
        <v>0</v>
      </c>
      <c r="G385" s="21">
        <v>0</v>
      </c>
      <c r="H385" s="21">
        <v>0</v>
      </c>
      <c r="I385" s="43">
        <f t="shared" si="108"/>
        <v>0</v>
      </c>
      <c r="J385" s="20"/>
      <c r="K385" s="20"/>
      <c r="L385" s="20"/>
      <c r="M385" s="20"/>
      <c r="N385" s="20"/>
      <c r="O385" s="20"/>
      <c r="P385" s="20"/>
    </row>
    <row r="386" spans="1:16" ht="15.75" customHeight="1" x14ac:dyDescent="0.35">
      <c r="A386" s="30">
        <f t="shared" ref="A386:B386" si="126">A383+7</f>
        <v>45236</v>
      </c>
      <c r="B386" s="92">
        <f t="shared" si="126"/>
        <v>885</v>
      </c>
      <c r="C386" s="101" t="str">
        <f t="shared" si="107"/>
        <v>3% FBS R3</v>
      </c>
      <c r="D386" s="91" t="s">
        <v>65</v>
      </c>
      <c r="E386" s="21">
        <v>75</v>
      </c>
      <c r="F386" s="21">
        <v>73</v>
      </c>
      <c r="G386" s="21">
        <v>71</v>
      </c>
      <c r="H386" s="21">
        <v>74</v>
      </c>
      <c r="I386" s="43">
        <f t="shared" ref="I386:I394" si="127">AVERAGE(E386:H386)</f>
        <v>73.25</v>
      </c>
      <c r="J386" s="20">
        <f t="shared" ref="J386" si="128">I386*2*10000</f>
        <v>1465000</v>
      </c>
      <c r="K386" s="20">
        <v>3000000</v>
      </c>
      <c r="L386" s="20">
        <f t="shared" ref="L386" si="129">J386*5</f>
        <v>7325000</v>
      </c>
      <c r="M386" s="22">
        <f t="shared" ref="M386" si="130">I386/(I386+I387)*100</f>
        <v>98.986486486486484</v>
      </c>
      <c r="N386" s="22">
        <f>I388/I386*100</f>
        <v>0</v>
      </c>
      <c r="O386" s="23">
        <f t="shared" ref="O386" si="131">3.32*(LOG(L386)-LOG(K386))</f>
        <v>1.2871187626975298</v>
      </c>
      <c r="P386" s="23">
        <f t="shared" ref="P386" si="132">IF(O386&lt;0,P383,P383+O386)</f>
        <v>111.47021964742923</v>
      </c>
    </row>
    <row r="387" spans="1:16" ht="15.75" customHeight="1" x14ac:dyDescent="0.35">
      <c r="A387" s="20"/>
      <c r="B387" s="92"/>
      <c r="C387" s="101"/>
      <c r="D387" s="92" t="s">
        <v>66</v>
      </c>
      <c r="E387" s="21">
        <v>0</v>
      </c>
      <c r="F387" s="21">
        <v>1</v>
      </c>
      <c r="G387" s="21">
        <v>0</v>
      </c>
      <c r="H387" s="21">
        <v>2</v>
      </c>
      <c r="I387" s="43">
        <f t="shared" si="127"/>
        <v>0.75</v>
      </c>
      <c r="J387" s="20"/>
      <c r="K387" s="20"/>
      <c r="L387" s="20"/>
      <c r="M387" s="20"/>
      <c r="N387" s="20"/>
      <c r="O387" s="20"/>
      <c r="P387" s="20"/>
    </row>
    <row r="388" spans="1:16" ht="15.75" customHeight="1" x14ac:dyDescent="0.35">
      <c r="A388" s="20"/>
      <c r="B388" s="92"/>
      <c r="C388" s="101"/>
      <c r="D388" s="92" t="s">
        <v>67</v>
      </c>
      <c r="E388" s="21">
        <v>0</v>
      </c>
      <c r="F388" s="21">
        <v>0</v>
      </c>
      <c r="G388" s="21">
        <v>0</v>
      </c>
      <c r="H388" s="21">
        <v>0</v>
      </c>
      <c r="I388" s="43">
        <f t="shared" si="127"/>
        <v>0</v>
      </c>
      <c r="J388" s="20"/>
      <c r="K388" s="20"/>
      <c r="L388" s="20"/>
      <c r="M388" s="20"/>
      <c r="N388" s="20"/>
      <c r="O388" s="20"/>
      <c r="P388" s="20"/>
    </row>
    <row r="389" spans="1:16" ht="15.75" customHeight="1" x14ac:dyDescent="0.35">
      <c r="A389" s="30">
        <f t="shared" ref="A389:B389" si="133">A386+7</f>
        <v>45243</v>
      </c>
      <c r="B389" s="92">
        <f t="shared" si="133"/>
        <v>892</v>
      </c>
      <c r="C389" s="101" t="str">
        <f t="shared" si="107"/>
        <v>3% FBS R3</v>
      </c>
      <c r="D389" s="91" t="s">
        <v>65</v>
      </c>
      <c r="E389" s="21">
        <v>83</v>
      </c>
      <c r="F389" s="21">
        <v>74</v>
      </c>
      <c r="G389" s="21">
        <v>90</v>
      </c>
      <c r="H389" s="21">
        <v>93</v>
      </c>
      <c r="I389" s="43">
        <f t="shared" si="127"/>
        <v>85</v>
      </c>
      <c r="J389" s="20">
        <f t="shared" ref="J389" si="134">I389*2*10000</f>
        <v>1700000</v>
      </c>
      <c r="K389" s="20">
        <v>3000000</v>
      </c>
      <c r="L389" s="20">
        <f t="shared" ref="L389" si="135">J389*5</f>
        <v>8500000</v>
      </c>
      <c r="M389" s="22">
        <f t="shared" ref="M389" si="136">I389/(I389+I390)*100</f>
        <v>97.982708933717575</v>
      </c>
      <c r="N389" s="22">
        <f>I391/I389*100</f>
        <v>0</v>
      </c>
      <c r="O389" s="23">
        <f t="shared" ref="O389" si="137">3.32*(LOG(L389)-LOG(K389))</f>
        <v>1.5016282677021724</v>
      </c>
      <c r="P389" s="23">
        <f t="shared" ref="P389" si="138">IF(O389&lt;0,P386,P386+O389)</f>
        <v>112.97184791513141</v>
      </c>
    </row>
    <row r="390" spans="1:16" ht="15.75" customHeight="1" x14ac:dyDescent="0.35">
      <c r="A390" s="20"/>
      <c r="B390" s="92"/>
      <c r="C390" s="101"/>
      <c r="D390" s="92" t="s">
        <v>66</v>
      </c>
      <c r="E390" s="21">
        <v>2</v>
      </c>
      <c r="F390" s="21">
        <v>1</v>
      </c>
      <c r="G390" s="21">
        <v>2</v>
      </c>
      <c r="H390" s="21">
        <v>2</v>
      </c>
      <c r="I390" s="43">
        <f t="shared" si="127"/>
        <v>1.75</v>
      </c>
      <c r="J390" s="20"/>
      <c r="K390" s="20"/>
      <c r="L390" s="20"/>
      <c r="M390" s="20"/>
      <c r="N390" s="20"/>
      <c r="O390" s="20"/>
      <c r="P390" s="20"/>
    </row>
    <row r="391" spans="1:16" ht="15.75" customHeight="1" x14ac:dyDescent="0.35">
      <c r="A391" s="20"/>
      <c r="B391" s="92"/>
      <c r="C391" s="101"/>
      <c r="D391" s="92" t="s">
        <v>67</v>
      </c>
      <c r="E391" s="21">
        <v>0</v>
      </c>
      <c r="F391" s="21">
        <v>0</v>
      </c>
      <c r="G391" s="21">
        <v>0</v>
      </c>
      <c r="H391" s="21">
        <v>0</v>
      </c>
      <c r="I391" s="43">
        <f t="shared" si="127"/>
        <v>0</v>
      </c>
      <c r="J391" s="20"/>
      <c r="K391" s="20"/>
      <c r="L391" s="20"/>
      <c r="M391" s="20"/>
      <c r="N391" s="20"/>
      <c r="O391" s="20"/>
      <c r="P391" s="20"/>
    </row>
    <row r="392" spans="1:16" ht="15.75" customHeight="1" x14ac:dyDescent="0.35">
      <c r="A392" s="30">
        <f t="shared" ref="A392:B392" si="139">A389+7</f>
        <v>45250</v>
      </c>
      <c r="B392" s="92">
        <f t="shared" si="139"/>
        <v>899</v>
      </c>
      <c r="C392" s="101" t="str">
        <f t="shared" si="107"/>
        <v>3% FBS R3</v>
      </c>
      <c r="D392" s="91" t="s">
        <v>65</v>
      </c>
      <c r="E392" s="21">
        <v>82</v>
      </c>
      <c r="F392" s="21">
        <v>79</v>
      </c>
      <c r="G392" s="21">
        <v>90</v>
      </c>
      <c r="H392" s="21">
        <v>79</v>
      </c>
      <c r="I392" s="43">
        <f t="shared" si="127"/>
        <v>82.5</v>
      </c>
      <c r="J392" s="20">
        <f t="shared" ref="J392" si="140">I392*2*10000</f>
        <v>1650000</v>
      </c>
      <c r="K392" s="20">
        <v>3000000</v>
      </c>
      <c r="L392" s="20">
        <f t="shared" ref="L392" si="141">J392*5</f>
        <v>8250000</v>
      </c>
      <c r="M392" s="22">
        <f t="shared" ref="M392" si="142">I392/(I392+I393)*100</f>
        <v>98.214285714285708</v>
      </c>
      <c r="N392" s="22">
        <f>I394/I392*100</f>
        <v>0</v>
      </c>
      <c r="O392" s="23">
        <f t="shared" ref="O392" si="143">3.32*(LOG(L392)-LOG(K392))</f>
        <v>1.4585845435164726</v>
      </c>
      <c r="P392" s="23">
        <f t="shared" ref="P392" si="144">IF(O392&lt;0,P389,P389+O392)</f>
        <v>114.43043245864787</v>
      </c>
    </row>
    <row r="393" spans="1:16" ht="15.75" customHeight="1" x14ac:dyDescent="0.35">
      <c r="A393" s="20"/>
      <c r="B393" s="92"/>
      <c r="C393" s="101"/>
      <c r="D393" s="92" t="s">
        <v>66</v>
      </c>
      <c r="E393" s="21">
        <v>1</v>
      </c>
      <c r="F393" s="21">
        <v>1</v>
      </c>
      <c r="G393" s="21">
        <v>2</v>
      </c>
      <c r="H393" s="21">
        <v>2</v>
      </c>
      <c r="I393" s="43">
        <f t="shared" si="127"/>
        <v>1.5</v>
      </c>
      <c r="J393" s="20"/>
      <c r="K393" s="20"/>
      <c r="L393" s="20"/>
      <c r="M393" s="20"/>
      <c r="N393" s="20"/>
      <c r="O393" s="20"/>
      <c r="P393" s="20"/>
    </row>
    <row r="394" spans="1:16" ht="15.75" customHeight="1" x14ac:dyDescent="0.35">
      <c r="A394" s="20"/>
      <c r="B394" s="92"/>
      <c r="C394" s="101"/>
      <c r="D394" s="92" t="s">
        <v>67</v>
      </c>
      <c r="E394" s="21">
        <v>0</v>
      </c>
      <c r="F394" s="21">
        <v>0</v>
      </c>
      <c r="G394" s="21">
        <v>0</v>
      </c>
      <c r="H394" s="21">
        <v>0</v>
      </c>
      <c r="I394" s="43">
        <f t="shared" si="127"/>
        <v>0</v>
      </c>
      <c r="J394" s="20"/>
      <c r="K394" s="20"/>
      <c r="L394" s="20"/>
      <c r="M394" s="20"/>
      <c r="N394" s="20"/>
      <c r="O394" s="20"/>
      <c r="P394" s="20"/>
    </row>
    <row r="395" spans="1:16" ht="15.75" customHeight="1" x14ac:dyDescent="0.35">
      <c r="A395" s="30">
        <f t="shared" ref="A395:B395" si="145">A392+7</f>
        <v>45257</v>
      </c>
      <c r="B395" s="92">
        <f t="shared" si="145"/>
        <v>906</v>
      </c>
      <c r="C395" s="101" t="str">
        <f t="shared" ref="C395:C401" si="146">$C$128</f>
        <v>3% FBS R3</v>
      </c>
      <c r="D395" s="91" t="s">
        <v>65</v>
      </c>
      <c r="E395" s="21">
        <v>113</v>
      </c>
      <c r="F395" s="21">
        <v>89</v>
      </c>
      <c r="G395" s="21">
        <v>105</v>
      </c>
      <c r="H395" s="21">
        <v>97</v>
      </c>
      <c r="I395" s="43">
        <f t="shared" ref="I395:I403" si="147">AVERAGE(E395:H395)</f>
        <v>101</v>
      </c>
      <c r="J395" s="20">
        <f t="shared" ref="J395" si="148">I395*2*10000</f>
        <v>2020000</v>
      </c>
      <c r="K395" s="20">
        <v>3000000</v>
      </c>
      <c r="L395" s="20">
        <f t="shared" ref="L395" si="149">J395*5</f>
        <v>10100000</v>
      </c>
      <c r="M395" s="22">
        <f t="shared" ref="M395" si="150">I395/(I395+I396)*100</f>
        <v>98.296836982968372</v>
      </c>
      <c r="N395" s="22">
        <f>I397/I395*100</f>
        <v>0</v>
      </c>
      <c r="O395" s="23">
        <f t="shared" ref="O395" si="151">3.32*(LOG(L395)-LOG(K395))</f>
        <v>1.7503043952890922</v>
      </c>
      <c r="P395" s="23">
        <f t="shared" ref="P395" si="152">IF(O395&lt;0,P392,P392+O395)</f>
        <v>116.18073685393696</v>
      </c>
    </row>
    <row r="396" spans="1:16" ht="15.75" customHeight="1" x14ac:dyDescent="0.35">
      <c r="A396" s="20"/>
      <c r="B396" s="92"/>
      <c r="C396" s="101"/>
      <c r="D396" s="92" t="s">
        <v>66</v>
      </c>
      <c r="E396" s="21">
        <v>2</v>
      </c>
      <c r="F396" s="21">
        <v>2</v>
      </c>
      <c r="G396" s="21">
        <v>1</v>
      </c>
      <c r="H396" s="21">
        <v>2</v>
      </c>
      <c r="I396" s="43">
        <f t="shared" si="147"/>
        <v>1.75</v>
      </c>
      <c r="J396" s="20"/>
      <c r="K396" s="20"/>
      <c r="L396" s="20"/>
      <c r="M396" s="20"/>
      <c r="N396" s="20"/>
      <c r="O396" s="20"/>
      <c r="P396" s="20"/>
    </row>
    <row r="397" spans="1:16" ht="15.75" customHeight="1" x14ac:dyDescent="0.35">
      <c r="A397" s="20"/>
      <c r="B397" s="92"/>
      <c r="C397" s="101"/>
      <c r="D397" s="92" t="s">
        <v>67</v>
      </c>
      <c r="E397" s="21">
        <v>0</v>
      </c>
      <c r="F397" s="21">
        <v>0</v>
      </c>
      <c r="G397" s="21">
        <v>0</v>
      </c>
      <c r="H397" s="21">
        <v>0</v>
      </c>
      <c r="I397" s="43">
        <f t="shared" si="147"/>
        <v>0</v>
      </c>
      <c r="J397" s="20"/>
      <c r="K397" s="20"/>
      <c r="L397" s="20"/>
      <c r="M397" s="20"/>
      <c r="N397" s="20"/>
      <c r="O397" s="20"/>
      <c r="P397" s="20"/>
    </row>
    <row r="398" spans="1:16" ht="15.75" customHeight="1" x14ac:dyDescent="0.35">
      <c r="A398" s="30">
        <f>A395+8</f>
        <v>45265</v>
      </c>
      <c r="B398" s="92">
        <f>B395+8</f>
        <v>914</v>
      </c>
      <c r="C398" s="101" t="str">
        <f t="shared" si="146"/>
        <v>3% FBS R3</v>
      </c>
      <c r="D398" s="91" t="s">
        <v>65</v>
      </c>
      <c r="E398" s="21">
        <v>104</v>
      </c>
      <c r="F398" s="21">
        <v>117</v>
      </c>
      <c r="G398" s="21">
        <v>125</v>
      </c>
      <c r="H398" s="21">
        <v>112</v>
      </c>
      <c r="I398" s="43">
        <f t="shared" si="147"/>
        <v>114.5</v>
      </c>
      <c r="J398" s="20">
        <f t="shared" ref="J398" si="153">I398*2*10000</f>
        <v>2290000</v>
      </c>
      <c r="K398" s="20">
        <v>3000000</v>
      </c>
      <c r="L398" s="20">
        <f t="shared" ref="L398" si="154">J398*5</f>
        <v>11450000</v>
      </c>
      <c r="M398" s="22">
        <f t="shared" ref="M398" si="155">I398/(I398+I399)*100</f>
        <v>98.283261802575112</v>
      </c>
      <c r="N398" s="22">
        <f>I400/I398*100</f>
        <v>0</v>
      </c>
      <c r="O398" s="23">
        <f t="shared" ref="O398" si="156">3.32*(LOG(L398)-LOG(K398))</f>
        <v>1.9311916500947317</v>
      </c>
      <c r="P398" s="23">
        <f t="shared" ref="P398" si="157">IF(O398&lt;0,P395,P395+O398)</f>
        <v>118.1119285040317</v>
      </c>
    </row>
    <row r="399" spans="1:16" ht="15.75" customHeight="1" x14ac:dyDescent="0.35">
      <c r="A399" s="20"/>
      <c r="B399" s="92"/>
      <c r="C399" s="101"/>
      <c r="D399" s="92" t="s">
        <v>66</v>
      </c>
      <c r="E399" s="21">
        <v>1</v>
      </c>
      <c r="F399" s="21">
        <v>3</v>
      </c>
      <c r="G399" s="21">
        <v>2</v>
      </c>
      <c r="H399" s="21">
        <v>2</v>
      </c>
      <c r="I399" s="43">
        <f t="shared" si="147"/>
        <v>2</v>
      </c>
      <c r="J399" s="20"/>
      <c r="K399" s="20"/>
      <c r="L399" s="20"/>
      <c r="M399" s="20"/>
      <c r="N399" s="20"/>
      <c r="O399" s="20"/>
      <c r="P399" s="20"/>
    </row>
    <row r="400" spans="1:16" ht="15.75" customHeight="1" x14ac:dyDescent="0.35">
      <c r="A400" s="20"/>
      <c r="B400" s="92"/>
      <c r="C400" s="101"/>
      <c r="D400" s="92" t="s">
        <v>67</v>
      </c>
      <c r="E400" s="21">
        <v>0</v>
      </c>
      <c r="F400" s="21">
        <v>0</v>
      </c>
      <c r="G400" s="21">
        <v>0</v>
      </c>
      <c r="H400" s="21">
        <v>0</v>
      </c>
      <c r="I400" s="43">
        <f t="shared" si="147"/>
        <v>0</v>
      </c>
      <c r="J400" s="20"/>
      <c r="K400" s="20"/>
      <c r="L400" s="20"/>
      <c r="M400" s="20"/>
      <c r="N400" s="20"/>
      <c r="O400" s="20"/>
      <c r="P400" s="20"/>
    </row>
    <row r="401" spans="1:16" ht="15.75" customHeight="1" x14ac:dyDescent="0.35">
      <c r="A401" s="30">
        <f>A398+7</f>
        <v>45272</v>
      </c>
      <c r="B401" s="92">
        <f t="shared" ref="B401" si="158">B398+7</f>
        <v>921</v>
      </c>
      <c r="C401" s="101" t="str">
        <f t="shared" si="146"/>
        <v>3% FBS R3</v>
      </c>
      <c r="D401" s="91" t="s">
        <v>65</v>
      </c>
      <c r="E401" s="21">
        <v>107</v>
      </c>
      <c r="F401" s="21">
        <v>99</v>
      </c>
      <c r="G401" s="21">
        <v>109</v>
      </c>
      <c r="H401" s="21">
        <v>104</v>
      </c>
      <c r="I401" s="43">
        <f t="shared" si="147"/>
        <v>104.75</v>
      </c>
      <c r="J401" s="20">
        <f t="shared" ref="J401" si="159">I401*2*10000</f>
        <v>2095000</v>
      </c>
      <c r="K401" s="20">
        <v>3000000</v>
      </c>
      <c r="L401" s="20">
        <f t="shared" ref="L401" si="160">J401*5</f>
        <v>10475000</v>
      </c>
      <c r="M401" s="22">
        <f t="shared" ref="M401" si="161">I401/(I401+I402)*100</f>
        <v>96.100917431192656</v>
      </c>
      <c r="N401" s="22">
        <f>I403/I401*100</f>
        <v>0</v>
      </c>
      <c r="O401" s="23">
        <f t="shared" ref="O401" si="162">3.32*(LOG(L401)-LOG(K401))</f>
        <v>1.8028688193699844</v>
      </c>
      <c r="P401" s="23">
        <f t="shared" ref="P401" si="163">IF(O401&lt;0,P398,P398+O401)</f>
        <v>119.91479732340169</v>
      </c>
    </row>
    <row r="402" spans="1:16" ht="15.75" customHeight="1" x14ac:dyDescent="0.35">
      <c r="A402" s="20"/>
      <c r="B402" s="92"/>
      <c r="C402" s="101"/>
      <c r="D402" s="92" t="s">
        <v>66</v>
      </c>
      <c r="E402" s="21">
        <v>2</v>
      </c>
      <c r="F402" s="21">
        <v>6</v>
      </c>
      <c r="G402" s="21">
        <v>5</v>
      </c>
      <c r="H402" s="21">
        <v>4</v>
      </c>
      <c r="I402" s="43">
        <f t="shared" si="147"/>
        <v>4.25</v>
      </c>
      <c r="J402" s="20"/>
      <c r="K402" s="20"/>
      <c r="L402" s="20"/>
      <c r="M402" s="20"/>
      <c r="N402" s="20"/>
      <c r="O402" s="20"/>
      <c r="P402" s="20"/>
    </row>
    <row r="403" spans="1:16" ht="15.75" customHeight="1" x14ac:dyDescent="0.35">
      <c r="A403" s="20"/>
      <c r="B403" s="92"/>
      <c r="C403" s="101"/>
      <c r="D403" s="92" t="s">
        <v>67</v>
      </c>
      <c r="E403" s="21">
        <v>0</v>
      </c>
      <c r="F403" s="21">
        <v>0</v>
      </c>
      <c r="G403" s="21">
        <v>0</v>
      </c>
      <c r="H403" s="21">
        <v>0</v>
      </c>
      <c r="I403" s="43">
        <f t="shared" si="147"/>
        <v>0</v>
      </c>
      <c r="J403" s="20"/>
      <c r="K403" s="20"/>
      <c r="L403" s="20"/>
      <c r="M403" s="20"/>
      <c r="N403" s="20"/>
      <c r="O403" s="20"/>
      <c r="P403" s="20"/>
    </row>
    <row r="404" spans="1:16" ht="15.75" customHeight="1" x14ac:dyDescent="0.35">
      <c r="A404" s="30">
        <f>A401+7</f>
        <v>45279</v>
      </c>
      <c r="B404" s="92">
        <f>B401+7</f>
        <v>928</v>
      </c>
      <c r="C404" s="101" t="str">
        <f t="shared" ref="C404:C410" si="164">$C$128</f>
        <v>3% FBS R3</v>
      </c>
      <c r="D404" s="91" t="s">
        <v>65</v>
      </c>
      <c r="E404" s="21">
        <v>82</v>
      </c>
      <c r="F404" s="21">
        <v>73</v>
      </c>
      <c r="G404" s="21">
        <v>78</v>
      </c>
      <c r="H404" s="21">
        <v>64</v>
      </c>
      <c r="I404" s="43">
        <f t="shared" ref="I404:I412" si="165">AVERAGE(E404:H404)</f>
        <v>74.25</v>
      </c>
      <c r="J404" s="20">
        <f t="shared" ref="J404" si="166">I404*2*10000</f>
        <v>1485000</v>
      </c>
      <c r="K404" s="20">
        <v>3000000</v>
      </c>
      <c r="L404" s="20">
        <f t="shared" ref="L404" si="167">J404*5</f>
        <v>7425000</v>
      </c>
      <c r="M404" s="22">
        <f t="shared" ref="M404" si="168">I404/(I404+I405)*100</f>
        <v>97.058823529411768</v>
      </c>
      <c r="N404" s="22">
        <f>I406/I404*100</f>
        <v>0</v>
      </c>
      <c r="O404" s="23">
        <f t="shared" ref="O404" si="169">3.32*(LOG(L404)-LOG(K404))</f>
        <v>1.3066696748550293</v>
      </c>
      <c r="P404" s="23">
        <f t="shared" ref="P404" si="170">IF(O404&lt;0,P401,P401+O404)</f>
        <v>121.22146699825672</v>
      </c>
    </row>
    <row r="405" spans="1:16" ht="15.75" customHeight="1" x14ac:dyDescent="0.35">
      <c r="A405" s="20"/>
      <c r="B405" s="92"/>
      <c r="C405" s="101"/>
      <c r="D405" s="92" t="s">
        <v>66</v>
      </c>
      <c r="E405" s="21">
        <v>1</v>
      </c>
      <c r="F405" s="21">
        <v>1</v>
      </c>
      <c r="G405" s="21">
        <v>2</v>
      </c>
      <c r="H405" s="21">
        <v>5</v>
      </c>
      <c r="I405" s="43">
        <f t="shared" si="165"/>
        <v>2.25</v>
      </c>
      <c r="J405" s="20"/>
      <c r="K405" s="20"/>
      <c r="L405" s="20"/>
      <c r="M405" s="20"/>
      <c r="N405" s="20"/>
      <c r="O405" s="20"/>
      <c r="P405" s="20"/>
    </row>
    <row r="406" spans="1:16" ht="15.75" customHeight="1" x14ac:dyDescent="0.35">
      <c r="A406" s="20"/>
      <c r="B406" s="92"/>
      <c r="C406" s="101"/>
      <c r="D406" s="92" t="s">
        <v>67</v>
      </c>
      <c r="E406" s="21">
        <v>0</v>
      </c>
      <c r="F406" s="21">
        <v>0</v>
      </c>
      <c r="G406" s="21">
        <v>0</v>
      </c>
      <c r="H406" s="21">
        <v>0</v>
      </c>
      <c r="I406" s="43">
        <f t="shared" si="165"/>
        <v>0</v>
      </c>
      <c r="J406" s="20"/>
      <c r="K406" s="20"/>
      <c r="L406" s="20"/>
      <c r="M406" s="20"/>
      <c r="N406" s="20"/>
      <c r="O406" s="20"/>
      <c r="P406" s="20"/>
    </row>
    <row r="407" spans="1:16" ht="15.75" customHeight="1" x14ac:dyDescent="0.35">
      <c r="A407" s="30">
        <f>A404+7</f>
        <v>45286</v>
      </c>
      <c r="B407" s="92">
        <f t="shared" ref="B407" si="171">B404+7</f>
        <v>935</v>
      </c>
      <c r="C407" s="101" t="str">
        <f t="shared" si="164"/>
        <v>3% FBS R3</v>
      </c>
      <c r="D407" s="91" t="s">
        <v>65</v>
      </c>
      <c r="E407" s="21">
        <v>53</v>
      </c>
      <c r="F407" s="21">
        <v>46</v>
      </c>
      <c r="G407" s="21">
        <v>52</v>
      </c>
      <c r="H407" s="21">
        <v>50</v>
      </c>
      <c r="I407" s="43">
        <f t="shared" si="165"/>
        <v>50.25</v>
      </c>
      <c r="J407" s="20">
        <f t="shared" ref="J407" si="172">I407*2*10000</f>
        <v>1005000</v>
      </c>
      <c r="K407" s="20">
        <v>3000000</v>
      </c>
      <c r="L407" s="20">
        <f t="shared" ref="L407" si="173">J407*5</f>
        <v>5025000</v>
      </c>
      <c r="M407" s="22">
        <f t="shared" ref="M407" si="174">I407/(I407+I408)*100</f>
        <v>98.048780487804876</v>
      </c>
      <c r="N407" s="22">
        <f>I409/I407*100</f>
        <v>0</v>
      </c>
      <c r="O407" s="23">
        <f t="shared" ref="O407" si="175">3.32*(LOG(L407)-LOG(K407))</f>
        <v>0.74372917375790681</v>
      </c>
      <c r="P407" s="23">
        <f t="shared" ref="P407" si="176">IF(O407&lt;0,P404,P404+O407)</f>
        <v>121.96519617201463</v>
      </c>
    </row>
    <row r="408" spans="1:16" ht="15.75" customHeight="1" x14ac:dyDescent="0.35">
      <c r="A408" s="20"/>
      <c r="B408" s="92"/>
      <c r="C408" s="101"/>
      <c r="D408" s="92" t="s">
        <v>66</v>
      </c>
      <c r="E408" s="21">
        <v>1</v>
      </c>
      <c r="F408" s="21">
        <v>0</v>
      </c>
      <c r="G408" s="21">
        <v>1</v>
      </c>
      <c r="H408" s="21">
        <v>2</v>
      </c>
      <c r="I408" s="43">
        <f t="shared" si="165"/>
        <v>1</v>
      </c>
      <c r="J408" s="20"/>
      <c r="K408" s="20"/>
      <c r="L408" s="20"/>
      <c r="M408" s="20"/>
      <c r="N408" s="20"/>
      <c r="O408" s="20"/>
      <c r="P408" s="20"/>
    </row>
    <row r="409" spans="1:16" ht="15.75" customHeight="1" x14ac:dyDescent="0.35">
      <c r="A409" s="20"/>
      <c r="B409" s="92"/>
      <c r="C409" s="101"/>
      <c r="D409" s="92" t="s">
        <v>67</v>
      </c>
      <c r="E409" s="21">
        <v>0</v>
      </c>
      <c r="F409" s="21">
        <v>0</v>
      </c>
      <c r="G409" s="21">
        <v>0</v>
      </c>
      <c r="H409" s="21">
        <v>0</v>
      </c>
      <c r="I409" s="43">
        <f t="shared" si="165"/>
        <v>0</v>
      </c>
      <c r="J409" s="20"/>
      <c r="K409" s="20"/>
      <c r="L409" s="20"/>
      <c r="M409" s="20"/>
      <c r="N409" s="20"/>
      <c r="O409" s="20"/>
      <c r="P409" s="20"/>
    </row>
    <row r="410" spans="1:16" ht="15.75" customHeight="1" x14ac:dyDescent="0.35">
      <c r="A410" s="30">
        <f t="shared" ref="A410:B410" si="177">A407+7</f>
        <v>45293</v>
      </c>
      <c r="B410" s="92">
        <f t="shared" si="177"/>
        <v>942</v>
      </c>
      <c r="C410" s="101" t="str">
        <f t="shared" si="164"/>
        <v>3% FBS R3</v>
      </c>
      <c r="D410" s="91" t="s">
        <v>65</v>
      </c>
      <c r="E410" s="21">
        <v>108</v>
      </c>
      <c r="F410" s="21">
        <v>121</v>
      </c>
      <c r="G410" s="21">
        <v>126</v>
      </c>
      <c r="H410" s="21">
        <v>105</v>
      </c>
      <c r="I410" s="43">
        <f t="shared" si="165"/>
        <v>115</v>
      </c>
      <c r="J410" s="20">
        <f t="shared" ref="J410" si="178">I410*2*10000</f>
        <v>2300000</v>
      </c>
      <c r="K410" s="20">
        <v>3000000</v>
      </c>
      <c r="L410" s="20">
        <f t="shared" ref="L410" si="179">J410*5</f>
        <v>11500000</v>
      </c>
      <c r="M410" s="22">
        <f t="shared" ref="M410" si="180">I410/(I410+I411)*100</f>
        <v>97.457627118644069</v>
      </c>
      <c r="N410" s="22">
        <f>I412/I410*100</f>
        <v>0</v>
      </c>
      <c r="O410" s="23">
        <f t="shared" ref="O410" si="181">3.32*(LOG(L410)-LOG(K410))</f>
        <v>1.9374742643047114</v>
      </c>
      <c r="P410" s="23">
        <f t="shared" ref="P410" si="182">IF(O410&lt;0,P407,P407+O410)</f>
        <v>123.90267043631934</v>
      </c>
    </row>
    <row r="411" spans="1:16" ht="15.75" customHeight="1" x14ac:dyDescent="0.35">
      <c r="A411" s="20"/>
      <c r="B411" s="92"/>
      <c r="C411" s="101"/>
      <c r="D411" s="92" t="s">
        <v>66</v>
      </c>
      <c r="E411" s="21">
        <v>2</v>
      </c>
      <c r="F411" s="21">
        <v>3</v>
      </c>
      <c r="G411" s="21">
        <v>4</v>
      </c>
      <c r="H411" s="21">
        <v>3</v>
      </c>
      <c r="I411" s="43">
        <f t="shared" si="165"/>
        <v>3</v>
      </c>
      <c r="J411" s="20"/>
      <c r="K411" s="20"/>
      <c r="L411" s="20"/>
      <c r="M411" s="20"/>
      <c r="N411" s="20"/>
      <c r="O411" s="20"/>
      <c r="P411" s="20"/>
    </row>
    <row r="412" spans="1:16" ht="15.75" customHeight="1" x14ac:dyDescent="0.35">
      <c r="A412" s="20"/>
      <c r="B412" s="92"/>
      <c r="C412" s="101"/>
      <c r="D412" s="92" t="s">
        <v>67</v>
      </c>
      <c r="E412" s="21">
        <v>0</v>
      </c>
      <c r="F412" s="21">
        <v>0</v>
      </c>
      <c r="G412" s="21">
        <v>0</v>
      </c>
      <c r="H412" s="21">
        <v>0</v>
      </c>
      <c r="I412" s="43">
        <f t="shared" si="165"/>
        <v>0</v>
      </c>
      <c r="J412" s="20"/>
      <c r="K412" s="20"/>
      <c r="L412" s="20"/>
      <c r="M412" s="20"/>
      <c r="N412" s="20"/>
      <c r="O412" s="20"/>
      <c r="P412" s="20"/>
    </row>
    <row r="413" spans="1:16" ht="15.75" customHeight="1" x14ac:dyDescent="0.35">
      <c r="A413" s="30">
        <f t="shared" ref="A413:B413" si="183">A410+7</f>
        <v>45300</v>
      </c>
      <c r="B413" s="92">
        <f t="shared" si="183"/>
        <v>949</v>
      </c>
      <c r="C413" s="101" t="str">
        <f t="shared" ref="C413:C419" si="184">$C$128</f>
        <v>3% FBS R3</v>
      </c>
      <c r="D413" s="91" t="s">
        <v>65</v>
      </c>
      <c r="E413" s="21">
        <v>125</v>
      </c>
      <c r="F413" s="21">
        <v>142</v>
      </c>
      <c r="G413" s="21">
        <v>156</v>
      </c>
      <c r="H413" s="21">
        <v>144</v>
      </c>
      <c r="I413" s="43">
        <f t="shared" ref="I413:I421" si="185">AVERAGE(E413:H413)</f>
        <v>141.75</v>
      </c>
      <c r="J413" s="20">
        <f t="shared" ref="J413" si="186">I413*2*10000</f>
        <v>2835000</v>
      </c>
      <c r="K413" s="20">
        <v>3000000</v>
      </c>
      <c r="L413" s="20">
        <f t="shared" ref="L413" si="187">J413*5</f>
        <v>14175000</v>
      </c>
      <c r="M413" s="22">
        <f t="shared" ref="M413" si="188">I413/(I413+I414)*100</f>
        <v>95.939086294416242</v>
      </c>
      <c r="N413" s="22">
        <f>I415/I413*100</f>
        <v>0</v>
      </c>
      <c r="O413" s="23">
        <f t="shared" ref="O413" si="189">3.32*(LOG(L413)-LOG(K413))</f>
        <v>2.2390140186463339</v>
      </c>
      <c r="P413" s="23">
        <f t="shared" ref="P413" si="190">IF(O413&lt;0,P410,P410+O413)</f>
        <v>126.14168445496567</v>
      </c>
    </row>
    <row r="414" spans="1:16" ht="15.75" customHeight="1" x14ac:dyDescent="0.35">
      <c r="A414" s="20"/>
      <c r="B414" s="92"/>
      <c r="C414" s="101"/>
      <c r="D414" s="92" t="s">
        <v>66</v>
      </c>
      <c r="E414" s="21">
        <v>10</v>
      </c>
      <c r="F414" s="21">
        <v>4</v>
      </c>
      <c r="G414" s="21">
        <v>5</v>
      </c>
      <c r="H414" s="21">
        <v>5</v>
      </c>
      <c r="I414" s="43">
        <f t="shared" si="185"/>
        <v>6</v>
      </c>
      <c r="J414" s="20"/>
      <c r="K414" s="20"/>
      <c r="L414" s="20"/>
      <c r="M414" s="20"/>
      <c r="N414" s="20"/>
      <c r="O414" s="20"/>
      <c r="P414" s="20"/>
    </row>
    <row r="415" spans="1:16" ht="15.75" customHeight="1" x14ac:dyDescent="0.35">
      <c r="A415" s="20"/>
      <c r="B415" s="92"/>
      <c r="C415" s="101"/>
      <c r="D415" s="92" t="s">
        <v>67</v>
      </c>
      <c r="E415" s="21">
        <v>0</v>
      </c>
      <c r="F415" s="21">
        <v>0</v>
      </c>
      <c r="G415" s="21">
        <v>0</v>
      </c>
      <c r="H415" s="21">
        <v>0</v>
      </c>
      <c r="I415" s="43">
        <f t="shared" si="185"/>
        <v>0</v>
      </c>
      <c r="J415" s="20"/>
      <c r="K415" s="20"/>
      <c r="L415" s="20"/>
      <c r="M415" s="20"/>
      <c r="N415" s="20"/>
      <c r="O415" s="20"/>
      <c r="P415" s="20"/>
    </row>
    <row r="416" spans="1:16" ht="15.75" customHeight="1" x14ac:dyDescent="0.35">
      <c r="A416" s="30">
        <f t="shared" ref="A416:B416" si="191">A413+7</f>
        <v>45307</v>
      </c>
      <c r="B416" s="92">
        <f t="shared" si="191"/>
        <v>956</v>
      </c>
      <c r="C416" s="101" t="str">
        <f t="shared" si="184"/>
        <v>3% FBS R3</v>
      </c>
      <c r="D416" s="91" t="s">
        <v>65</v>
      </c>
      <c r="E416" s="21">
        <v>136</v>
      </c>
      <c r="F416" s="21">
        <v>107</v>
      </c>
      <c r="G416" s="21">
        <v>128</v>
      </c>
      <c r="H416" s="21">
        <v>111</v>
      </c>
      <c r="I416" s="43">
        <f t="shared" si="185"/>
        <v>120.5</v>
      </c>
      <c r="J416" s="20">
        <f t="shared" ref="J416" si="192">I416*2*10000</f>
        <v>2410000</v>
      </c>
      <c r="K416" s="20">
        <v>3000000</v>
      </c>
      <c r="L416" s="20">
        <f t="shared" ref="L416" si="193">J416*5</f>
        <v>12050000</v>
      </c>
      <c r="M416" s="22">
        <f t="shared" ref="M416" si="194">I416/(I416+I417)*100</f>
        <v>96.981891348088539</v>
      </c>
      <c r="N416" s="22">
        <f>I418/I416*100</f>
        <v>0</v>
      </c>
      <c r="O416" s="23">
        <f t="shared" ref="O416" si="195">3.32*(LOG(L416)-LOG(K416))</f>
        <v>2.0048344300748653</v>
      </c>
      <c r="P416" s="23">
        <f t="shared" ref="P416" si="196">IF(O416&lt;0,P413,P413+O416)</f>
        <v>128.14651888504054</v>
      </c>
    </row>
    <row r="417" spans="1:16" ht="15.75" customHeight="1" x14ac:dyDescent="0.35">
      <c r="A417" s="20"/>
      <c r="B417" s="92"/>
      <c r="C417" s="101"/>
      <c r="D417" s="92" t="s">
        <v>66</v>
      </c>
      <c r="E417" s="21">
        <v>3</v>
      </c>
      <c r="F417" s="21">
        <v>4</v>
      </c>
      <c r="G417" s="21">
        <v>5</v>
      </c>
      <c r="H417" s="21">
        <v>3</v>
      </c>
      <c r="I417" s="43">
        <f t="shared" si="185"/>
        <v>3.75</v>
      </c>
      <c r="J417" s="20"/>
      <c r="K417" s="20"/>
      <c r="L417" s="20"/>
      <c r="M417" s="20"/>
      <c r="N417" s="20"/>
      <c r="O417" s="20"/>
      <c r="P417" s="20"/>
    </row>
    <row r="418" spans="1:16" ht="15.75" customHeight="1" x14ac:dyDescent="0.35">
      <c r="A418" s="20"/>
      <c r="B418" s="92"/>
      <c r="C418" s="101"/>
      <c r="D418" s="92" t="s">
        <v>67</v>
      </c>
      <c r="E418" s="21">
        <v>0</v>
      </c>
      <c r="F418" s="21">
        <v>0</v>
      </c>
      <c r="G418" s="21">
        <v>0</v>
      </c>
      <c r="H418" s="21">
        <v>0</v>
      </c>
      <c r="I418" s="43">
        <f t="shared" si="185"/>
        <v>0</v>
      </c>
      <c r="J418" s="20"/>
      <c r="K418" s="20"/>
      <c r="L418" s="20"/>
      <c r="M418" s="20"/>
      <c r="N418" s="20"/>
      <c r="O418" s="20"/>
      <c r="P418" s="20"/>
    </row>
    <row r="419" spans="1:16" ht="15.75" customHeight="1" x14ac:dyDescent="0.35">
      <c r="A419" s="30">
        <f t="shared" ref="A419:B419" si="197">A416+7</f>
        <v>45314</v>
      </c>
      <c r="B419" s="92">
        <f t="shared" si="197"/>
        <v>963</v>
      </c>
      <c r="C419" s="101" t="str">
        <f t="shared" si="184"/>
        <v>3% FBS R3</v>
      </c>
      <c r="D419" s="91" t="s">
        <v>65</v>
      </c>
      <c r="E419" s="21">
        <v>99</v>
      </c>
      <c r="F419" s="21">
        <v>102</v>
      </c>
      <c r="G419" s="21">
        <v>124</v>
      </c>
      <c r="H419" s="21">
        <v>120</v>
      </c>
      <c r="I419" s="43">
        <f t="shared" si="185"/>
        <v>111.25</v>
      </c>
      <c r="J419" s="20">
        <f t="shared" ref="J419" si="198">I419*2*10000</f>
        <v>2225000</v>
      </c>
      <c r="K419" s="20">
        <v>3000000</v>
      </c>
      <c r="L419" s="20">
        <f t="shared" ref="L419" si="199">J419*5</f>
        <v>11125000</v>
      </c>
      <c r="M419" s="22">
        <f t="shared" ref="M419" si="200">I419/(I419+I420)*100</f>
        <v>96.320346320346317</v>
      </c>
      <c r="N419" s="22">
        <f>I421/I419*100</f>
        <v>0</v>
      </c>
      <c r="O419" s="23">
        <f t="shared" ref="O419" si="201">3.32*(LOG(L419)-LOG(K419))</f>
        <v>1.8896734995785787</v>
      </c>
      <c r="P419" s="23">
        <f t="shared" ref="P419" si="202">IF(O419&lt;0,P416,P416+O419)</f>
        <v>130.03619238461911</v>
      </c>
    </row>
    <row r="420" spans="1:16" ht="15.75" customHeight="1" x14ac:dyDescent="0.35">
      <c r="A420" s="20"/>
      <c r="B420" s="92"/>
      <c r="C420" s="101"/>
      <c r="D420" s="92" t="s">
        <v>66</v>
      </c>
      <c r="E420" s="21">
        <v>4</v>
      </c>
      <c r="F420" s="21">
        <v>6</v>
      </c>
      <c r="G420" s="21">
        <v>4</v>
      </c>
      <c r="H420" s="21">
        <v>3</v>
      </c>
      <c r="I420" s="43">
        <f t="shared" si="185"/>
        <v>4.25</v>
      </c>
      <c r="J420" s="20"/>
      <c r="K420" s="20"/>
      <c r="L420" s="20"/>
      <c r="M420" s="20"/>
      <c r="N420" s="20"/>
      <c r="O420" s="20"/>
      <c r="P420" s="20"/>
    </row>
    <row r="421" spans="1:16" ht="15.75" customHeight="1" x14ac:dyDescent="0.35">
      <c r="A421" s="20"/>
      <c r="B421" s="92"/>
      <c r="C421" s="101"/>
      <c r="D421" s="92" t="s">
        <v>67</v>
      </c>
      <c r="E421" s="21">
        <v>0</v>
      </c>
      <c r="F421" s="21">
        <v>0</v>
      </c>
      <c r="G421" s="21">
        <v>0</v>
      </c>
      <c r="H421" s="21">
        <v>0</v>
      </c>
      <c r="I421" s="43">
        <f t="shared" si="185"/>
        <v>0</v>
      </c>
      <c r="J421" s="20"/>
      <c r="K421" s="20"/>
      <c r="L421" s="20"/>
      <c r="M421" s="20"/>
      <c r="N421" s="20"/>
      <c r="O421" s="20"/>
      <c r="P421" s="20"/>
    </row>
    <row r="422" spans="1:16" ht="15.75" customHeight="1" x14ac:dyDescent="0.35">
      <c r="A422" s="30">
        <f t="shared" ref="A422:B422" si="203">A419+7</f>
        <v>45321</v>
      </c>
      <c r="B422" s="92">
        <f t="shared" si="203"/>
        <v>970</v>
      </c>
      <c r="C422" s="101" t="str">
        <f t="shared" ref="C422:C428" si="204">$C$128</f>
        <v>3% FBS R3</v>
      </c>
      <c r="D422" s="91" t="s">
        <v>65</v>
      </c>
      <c r="E422" s="21">
        <v>105</v>
      </c>
      <c r="F422" s="21">
        <v>127</v>
      </c>
      <c r="G422" s="21">
        <v>114</v>
      </c>
      <c r="H422" s="21">
        <v>110</v>
      </c>
      <c r="I422" s="43">
        <f t="shared" ref="I422:I430" si="205">AVERAGE(E422:H422)</f>
        <v>114</v>
      </c>
      <c r="J422" s="20">
        <f t="shared" ref="J422" si="206">I422*2*10000</f>
        <v>2280000</v>
      </c>
      <c r="K422" s="20">
        <v>3000000</v>
      </c>
      <c r="L422" s="20">
        <f t="shared" ref="L422" si="207">J422*5</f>
        <v>11400000</v>
      </c>
      <c r="M422" s="22">
        <f t="shared" ref="M422" si="208">I422/(I422+I423)*100</f>
        <v>96</v>
      </c>
      <c r="N422" s="22">
        <f>I424/I422*100</f>
        <v>0</v>
      </c>
      <c r="O422" s="23">
        <f t="shared" ref="O422" si="209">3.32*(LOG(L422)-LOG(K422))</f>
        <v>1.9248815407678095</v>
      </c>
      <c r="P422" s="23">
        <f t="shared" ref="P422" si="210">IF(O422&lt;0,P419,P419+O422)</f>
        <v>131.96107392538693</v>
      </c>
    </row>
    <row r="423" spans="1:16" ht="15.75" customHeight="1" x14ac:dyDescent="0.35">
      <c r="A423" s="20"/>
      <c r="B423" s="92"/>
      <c r="C423" s="101"/>
      <c r="D423" s="92" t="s">
        <v>66</v>
      </c>
      <c r="E423" s="21">
        <v>5</v>
      </c>
      <c r="F423" s="21">
        <v>5</v>
      </c>
      <c r="G423" s="21">
        <v>3</v>
      </c>
      <c r="H423" s="21">
        <v>6</v>
      </c>
      <c r="I423" s="43">
        <f t="shared" si="205"/>
        <v>4.75</v>
      </c>
      <c r="J423" s="20"/>
      <c r="K423" s="20"/>
      <c r="L423" s="20"/>
      <c r="M423" s="20"/>
      <c r="N423" s="20"/>
      <c r="O423" s="20"/>
      <c r="P423" s="20"/>
    </row>
    <row r="424" spans="1:16" ht="15.75" customHeight="1" x14ac:dyDescent="0.35">
      <c r="A424" s="20"/>
      <c r="B424" s="92"/>
      <c r="C424" s="101"/>
      <c r="D424" s="92" t="s">
        <v>67</v>
      </c>
      <c r="E424" s="21">
        <v>0</v>
      </c>
      <c r="F424" s="21">
        <v>0</v>
      </c>
      <c r="G424" s="21">
        <v>0</v>
      </c>
      <c r="H424" s="21">
        <v>0</v>
      </c>
      <c r="I424" s="43">
        <f t="shared" si="205"/>
        <v>0</v>
      </c>
      <c r="J424" s="20"/>
      <c r="K424" s="20"/>
      <c r="L424" s="20"/>
      <c r="M424" s="20"/>
      <c r="N424" s="20"/>
      <c r="O424" s="20"/>
      <c r="P424" s="20"/>
    </row>
    <row r="425" spans="1:16" ht="15.75" customHeight="1" x14ac:dyDescent="0.35">
      <c r="A425" s="30">
        <f t="shared" ref="A425:B425" si="211">A422+7</f>
        <v>45328</v>
      </c>
      <c r="B425" s="92">
        <f t="shared" si="211"/>
        <v>977</v>
      </c>
      <c r="C425" s="101" t="str">
        <f t="shared" si="204"/>
        <v>3% FBS R3</v>
      </c>
      <c r="D425" s="91" t="s">
        <v>65</v>
      </c>
      <c r="E425" s="21">
        <v>117</v>
      </c>
      <c r="F425" s="21">
        <v>132</v>
      </c>
      <c r="G425" s="21">
        <v>120</v>
      </c>
      <c r="H425" s="21">
        <v>104</v>
      </c>
      <c r="I425" s="43">
        <f t="shared" si="205"/>
        <v>118.25</v>
      </c>
      <c r="J425" s="20">
        <f t="shared" ref="J425" si="212">I425*2*10000</f>
        <v>2365000</v>
      </c>
      <c r="K425" s="20">
        <v>3000000</v>
      </c>
      <c r="L425" s="20">
        <f t="shared" ref="L425" si="213">J425*5</f>
        <v>11825000</v>
      </c>
      <c r="M425" s="22">
        <f t="shared" ref="M425" si="214">I425/(I425+I426)*100</f>
        <v>95.943204868154154</v>
      </c>
      <c r="N425" s="22">
        <f>I427/I425*100</f>
        <v>0</v>
      </c>
      <c r="O425" s="23">
        <f t="shared" ref="O425" si="215">3.32*(LOG(L425)-LOG(K425))</f>
        <v>1.9776572503714189</v>
      </c>
      <c r="P425" s="23">
        <f t="shared" ref="P425" si="216">IF(O425&lt;0,P422,P422+O425)</f>
        <v>133.93873117575833</v>
      </c>
    </row>
    <row r="426" spans="1:16" ht="15.75" customHeight="1" x14ac:dyDescent="0.35">
      <c r="A426" s="20"/>
      <c r="B426" s="92"/>
      <c r="C426" s="101"/>
      <c r="D426" s="92" t="s">
        <v>66</v>
      </c>
      <c r="E426" s="21">
        <v>5</v>
      </c>
      <c r="F426" s="21">
        <v>6</v>
      </c>
      <c r="G426" s="21">
        <v>4</v>
      </c>
      <c r="H426" s="21">
        <v>5</v>
      </c>
      <c r="I426" s="43">
        <f t="shared" si="205"/>
        <v>5</v>
      </c>
      <c r="J426" s="20"/>
      <c r="K426" s="20"/>
      <c r="L426" s="20"/>
      <c r="M426" s="20"/>
      <c r="N426" s="20"/>
      <c r="O426" s="20"/>
      <c r="P426" s="20"/>
    </row>
    <row r="427" spans="1:16" ht="15.75" customHeight="1" x14ac:dyDescent="0.35">
      <c r="A427" s="20"/>
      <c r="B427" s="92"/>
      <c r="C427" s="101"/>
      <c r="D427" s="92" t="s">
        <v>67</v>
      </c>
      <c r="E427" s="21">
        <v>0</v>
      </c>
      <c r="F427" s="21">
        <v>0</v>
      </c>
      <c r="G427" s="21">
        <v>0</v>
      </c>
      <c r="H427" s="21">
        <v>0</v>
      </c>
      <c r="I427" s="43">
        <f t="shared" si="205"/>
        <v>0</v>
      </c>
      <c r="J427" s="20"/>
      <c r="K427" s="20"/>
      <c r="L427" s="20"/>
      <c r="M427" s="20"/>
      <c r="N427" s="20"/>
      <c r="O427" s="20"/>
      <c r="P427" s="20"/>
    </row>
    <row r="428" spans="1:16" ht="15.75" customHeight="1" x14ac:dyDescent="0.35">
      <c r="A428" s="30">
        <f t="shared" ref="A428:B428" si="217">A425+7</f>
        <v>45335</v>
      </c>
      <c r="B428" s="92">
        <f t="shared" si="217"/>
        <v>984</v>
      </c>
      <c r="C428" s="101" t="str">
        <f t="shared" si="204"/>
        <v>3% FBS R3</v>
      </c>
      <c r="D428" s="91" t="s">
        <v>65</v>
      </c>
      <c r="E428" s="21">
        <v>115</v>
      </c>
      <c r="F428" s="21">
        <v>112</v>
      </c>
      <c r="G428" s="21">
        <v>114</v>
      </c>
      <c r="H428" s="21">
        <v>120</v>
      </c>
      <c r="I428" s="43">
        <f t="shared" si="205"/>
        <v>115.25</v>
      </c>
      <c r="J428" s="20">
        <f t="shared" ref="J428" si="218">I428*2*10000</f>
        <v>2305000</v>
      </c>
      <c r="K428" s="20">
        <v>3000000</v>
      </c>
      <c r="L428" s="20">
        <f t="shared" ref="L428" si="219">J428*5</f>
        <v>11525000</v>
      </c>
      <c r="M428" s="22">
        <f t="shared" ref="M428" si="220">I428/(I428+I429)*100</f>
        <v>96.443514644351467</v>
      </c>
      <c r="N428" s="22">
        <f>I430/I428*100</f>
        <v>0</v>
      </c>
      <c r="O428" s="23">
        <f t="shared" ref="O428" si="221">3.32*(LOG(L428)-LOG(K428))</f>
        <v>1.9406053354155157</v>
      </c>
      <c r="P428" s="23">
        <f t="shared" ref="P428" si="222">IF(O428&lt;0,P425,P425+O428)</f>
        <v>135.87933651117385</v>
      </c>
    </row>
    <row r="429" spans="1:16" ht="15.75" customHeight="1" x14ac:dyDescent="0.35">
      <c r="A429" s="20"/>
      <c r="B429" s="92"/>
      <c r="C429" s="101"/>
      <c r="D429" s="92" t="s">
        <v>66</v>
      </c>
      <c r="E429" s="21">
        <v>4</v>
      </c>
      <c r="F429" s="21">
        <v>5</v>
      </c>
      <c r="G429" s="21">
        <v>4</v>
      </c>
      <c r="H429" s="21">
        <v>4</v>
      </c>
      <c r="I429" s="43">
        <f t="shared" si="205"/>
        <v>4.25</v>
      </c>
      <c r="J429" s="20"/>
      <c r="K429" s="20"/>
      <c r="L429" s="20"/>
      <c r="M429" s="20"/>
      <c r="N429" s="20"/>
      <c r="O429" s="20"/>
      <c r="P429" s="20"/>
    </row>
    <row r="430" spans="1:16" ht="15.75" customHeight="1" x14ac:dyDescent="0.35">
      <c r="A430" s="20"/>
      <c r="B430" s="92"/>
      <c r="C430" s="101"/>
      <c r="D430" s="92" t="s">
        <v>67</v>
      </c>
      <c r="E430" s="21">
        <v>0</v>
      </c>
      <c r="F430" s="21">
        <v>0</v>
      </c>
      <c r="G430" s="21">
        <v>0</v>
      </c>
      <c r="H430" s="21">
        <v>0</v>
      </c>
      <c r="I430" s="43">
        <f t="shared" si="205"/>
        <v>0</v>
      </c>
      <c r="J430" s="20"/>
      <c r="K430" s="20"/>
      <c r="L430" s="20"/>
      <c r="M430" s="20"/>
      <c r="N430" s="20"/>
      <c r="O430" s="20"/>
      <c r="P430" s="20"/>
    </row>
    <row r="431" spans="1:16" ht="15.75" customHeight="1" x14ac:dyDescent="0.35">
      <c r="A431" s="30">
        <f t="shared" ref="A431:B431" si="223">A428+7</f>
        <v>45342</v>
      </c>
      <c r="B431" s="92">
        <f t="shared" si="223"/>
        <v>991</v>
      </c>
      <c r="C431" s="101" t="str">
        <f t="shared" ref="C431" si="224">$C$128</f>
        <v>3% FBS R3</v>
      </c>
      <c r="D431" s="91" t="s">
        <v>65</v>
      </c>
      <c r="E431" s="21">
        <v>132</v>
      </c>
      <c r="F431" s="21">
        <v>139</v>
      </c>
      <c r="G431" s="21">
        <v>115</v>
      </c>
      <c r="H431" s="21">
        <v>127</v>
      </c>
      <c r="I431" s="43">
        <f t="shared" ref="I431:I494" si="225">AVERAGE(E431:H431)</f>
        <v>128.25</v>
      </c>
      <c r="J431" s="20">
        <f t="shared" ref="J431" si="226">I431*2*10000</f>
        <v>2565000</v>
      </c>
      <c r="K431" s="20">
        <v>3000000</v>
      </c>
      <c r="L431" s="20">
        <f t="shared" ref="L431" si="227">J431*5</f>
        <v>12825000</v>
      </c>
      <c r="M431" s="22">
        <f t="shared" ref="M431" si="228">I431/(I431+I432)*100</f>
        <v>96.975425330812854</v>
      </c>
      <c r="N431" s="22">
        <f>I433/I431*100</f>
        <v>0</v>
      </c>
      <c r="O431" s="23">
        <f t="shared" ref="O431" si="229">3.32*(LOG(L431)-LOG(K431))</f>
        <v>2.0947079152931161</v>
      </c>
      <c r="P431" s="23">
        <f t="shared" ref="P431" si="230">IF(O431&lt;0,P428,P428+O431)</f>
        <v>137.97404442646697</v>
      </c>
    </row>
    <row r="432" spans="1:16" ht="15.75" customHeight="1" x14ac:dyDescent="0.35">
      <c r="A432" s="20"/>
      <c r="B432" s="92"/>
      <c r="C432" s="101"/>
      <c r="D432" s="92" t="s">
        <v>66</v>
      </c>
      <c r="E432" s="21">
        <v>5</v>
      </c>
      <c r="F432" s="21">
        <v>4</v>
      </c>
      <c r="G432" s="21">
        <v>3</v>
      </c>
      <c r="H432" s="21">
        <v>4</v>
      </c>
      <c r="I432" s="43">
        <f t="shared" si="225"/>
        <v>4</v>
      </c>
      <c r="J432" s="20"/>
      <c r="K432" s="20"/>
      <c r="L432" s="20"/>
      <c r="M432" s="20"/>
      <c r="N432" s="20"/>
      <c r="O432" s="20"/>
      <c r="P432" s="20"/>
    </row>
    <row r="433" spans="1:16" ht="15.75" customHeight="1" x14ac:dyDescent="0.35">
      <c r="A433" s="20"/>
      <c r="B433" s="92"/>
      <c r="C433" s="101"/>
      <c r="D433" s="92" t="s">
        <v>67</v>
      </c>
      <c r="E433" s="21">
        <v>0</v>
      </c>
      <c r="F433" s="21">
        <v>0</v>
      </c>
      <c r="G433" s="21">
        <v>0</v>
      </c>
      <c r="H433" s="21">
        <v>0</v>
      </c>
      <c r="I433" s="43">
        <f t="shared" si="225"/>
        <v>0</v>
      </c>
      <c r="J433" s="20"/>
      <c r="K433" s="20"/>
      <c r="L433" s="20"/>
      <c r="M433" s="20"/>
      <c r="N433" s="20"/>
      <c r="O433" s="20"/>
      <c r="P433" s="20"/>
    </row>
    <row r="434" spans="1:16" ht="15.75" customHeight="1" x14ac:dyDescent="0.35">
      <c r="A434" s="13">
        <f t="shared" ref="A434:B434" si="231">A431+7</f>
        <v>45349</v>
      </c>
      <c r="B434" s="109">
        <f t="shared" si="231"/>
        <v>998</v>
      </c>
      <c r="C434" s="102" t="str">
        <f t="shared" ref="C434" si="232">$C$158</f>
        <v>3% FBS R3</v>
      </c>
      <c r="D434" s="91" t="s">
        <v>65</v>
      </c>
      <c r="E434" s="54">
        <v>60</v>
      </c>
      <c r="F434" s="54">
        <v>72</v>
      </c>
      <c r="G434" s="54">
        <v>59</v>
      </c>
      <c r="H434" s="54">
        <v>77</v>
      </c>
      <c r="I434" s="17">
        <f t="shared" si="225"/>
        <v>67</v>
      </c>
      <c r="J434" s="2">
        <f t="shared" ref="J434" si="233">I434*2*10000</f>
        <v>1340000</v>
      </c>
      <c r="K434" s="2">
        <v>3000000</v>
      </c>
      <c r="L434" s="2">
        <f t="shared" ref="L434" si="234">J434*5</f>
        <v>6700000</v>
      </c>
      <c r="M434" s="55">
        <f t="shared" ref="M434" si="235">I434/(I434+I435)*100</f>
        <v>97.101449275362313</v>
      </c>
      <c r="N434" s="22">
        <f>I436/I434*100</f>
        <v>0</v>
      </c>
      <c r="O434" s="4">
        <f>3.32*(LOG(L434)-LOG(K434))</f>
        <v>1.1585257792974624</v>
      </c>
      <c r="P434" s="23">
        <f t="shared" ref="P434" si="236">IF(O434&lt;0,P431,P431+O434)</f>
        <v>139.13257020576444</v>
      </c>
    </row>
    <row r="435" spans="1:16" ht="15.75" customHeight="1" x14ac:dyDescent="0.35">
      <c r="A435" s="2"/>
      <c r="B435" s="109"/>
      <c r="C435" s="102"/>
      <c r="D435" s="92" t="s">
        <v>66</v>
      </c>
      <c r="E435" s="54">
        <v>1</v>
      </c>
      <c r="F435" s="54">
        <v>2</v>
      </c>
      <c r="G435" s="54">
        <v>4</v>
      </c>
      <c r="H435" s="54">
        <v>1</v>
      </c>
      <c r="I435" s="17">
        <f t="shared" si="225"/>
        <v>2</v>
      </c>
      <c r="J435" s="2"/>
      <c r="K435" s="2"/>
      <c r="L435" s="2"/>
      <c r="M435" s="2"/>
      <c r="N435" s="20"/>
      <c r="O435" s="2"/>
      <c r="P435" s="2"/>
    </row>
    <row r="436" spans="1:16" ht="15.75" customHeight="1" x14ac:dyDescent="0.35">
      <c r="A436" s="2"/>
      <c r="B436" s="109"/>
      <c r="C436" s="102"/>
      <c r="D436" s="92" t="s">
        <v>67</v>
      </c>
      <c r="E436" s="54">
        <v>0</v>
      </c>
      <c r="F436" s="54">
        <v>0</v>
      </c>
      <c r="G436" s="54">
        <v>0</v>
      </c>
      <c r="H436" s="54">
        <v>0</v>
      </c>
      <c r="I436" s="17">
        <f t="shared" si="225"/>
        <v>0</v>
      </c>
      <c r="J436" s="2"/>
      <c r="K436" s="2"/>
      <c r="L436" s="2"/>
      <c r="M436" s="2"/>
      <c r="N436" s="20"/>
      <c r="O436" s="2"/>
      <c r="P436" s="2"/>
    </row>
    <row r="437" spans="1:16" ht="15.75" customHeight="1" x14ac:dyDescent="0.35">
      <c r="A437" s="63">
        <f>A434+7</f>
        <v>45356</v>
      </c>
      <c r="B437" s="110">
        <f>B434+7</f>
        <v>1005</v>
      </c>
      <c r="C437" s="103" t="str">
        <f>$C$158</f>
        <v>3% FBS R3</v>
      </c>
      <c r="D437" s="91" t="s">
        <v>65</v>
      </c>
      <c r="E437" s="58">
        <v>114</v>
      </c>
      <c r="F437" s="58">
        <v>88</v>
      </c>
      <c r="G437" s="58">
        <v>100</v>
      </c>
      <c r="H437" s="58">
        <v>102</v>
      </c>
      <c r="I437" s="59">
        <f t="shared" si="225"/>
        <v>101</v>
      </c>
      <c r="J437" s="56">
        <f>I437*2*10000</f>
        <v>2020000</v>
      </c>
      <c r="K437" s="56">
        <v>3000000</v>
      </c>
      <c r="L437" s="56">
        <f>J437*5</f>
        <v>10100000</v>
      </c>
      <c r="M437" s="60">
        <f>I437/(I437+I438)*100</f>
        <v>96.650717703349287</v>
      </c>
      <c r="N437" s="22">
        <f>I439/I437*100</f>
        <v>0</v>
      </c>
      <c r="O437" s="61">
        <f>3.32*(LOG(L437)-LOG(K437))</f>
        <v>1.7503043952890922</v>
      </c>
      <c r="P437" s="61">
        <f>IF(O437&lt;0,P434,P434+O437)</f>
        <v>140.88287460105354</v>
      </c>
    </row>
    <row r="438" spans="1:16" ht="15.75" customHeight="1" x14ac:dyDescent="0.35">
      <c r="A438" s="56"/>
      <c r="B438" s="110"/>
      <c r="C438" s="103"/>
      <c r="D438" s="92" t="s">
        <v>66</v>
      </c>
      <c r="E438" s="58">
        <v>6</v>
      </c>
      <c r="F438" s="58">
        <v>3</v>
      </c>
      <c r="G438" s="58">
        <v>3</v>
      </c>
      <c r="H438" s="58">
        <v>2</v>
      </c>
      <c r="I438" s="59">
        <f t="shared" si="225"/>
        <v>3.5</v>
      </c>
      <c r="J438" s="56"/>
      <c r="K438" s="56"/>
      <c r="L438" s="56"/>
      <c r="M438" s="56"/>
      <c r="N438" s="20"/>
      <c r="O438" s="56"/>
      <c r="P438" s="56"/>
    </row>
    <row r="439" spans="1:16" ht="15.75" customHeight="1" x14ac:dyDescent="0.35">
      <c r="A439" s="56"/>
      <c r="B439" s="110"/>
      <c r="C439" s="103"/>
      <c r="D439" s="92" t="s">
        <v>67</v>
      </c>
      <c r="E439" s="58">
        <v>0</v>
      </c>
      <c r="F439" s="58">
        <v>0</v>
      </c>
      <c r="G439" s="58">
        <v>0</v>
      </c>
      <c r="H439" s="58">
        <v>0</v>
      </c>
      <c r="I439" s="59">
        <f t="shared" si="225"/>
        <v>0</v>
      </c>
      <c r="J439" s="56"/>
      <c r="K439" s="56"/>
      <c r="L439" s="56"/>
      <c r="M439" s="56"/>
      <c r="N439" s="20"/>
      <c r="O439" s="56"/>
      <c r="P439" s="56"/>
    </row>
    <row r="440" spans="1:16" ht="15.75" customHeight="1" x14ac:dyDescent="0.35">
      <c r="A440" s="63">
        <f>A437+7</f>
        <v>45363</v>
      </c>
      <c r="B440" s="110">
        <f>B437+7</f>
        <v>1012</v>
      </c>
      <c r="C440" s="103" t="str">
        <f>$C$158</f>
        <v>3% FBS R3</v>
      </c>
      <c r="D440" s="91" t="s">
        <v>65</v>
      </c>
      <c r="E440" s="58">
        <v>121</v>
      </c>
      <c r="F440" s="58">
        <v>106</v>
      </c>
      <c r="G440" s="58">
        <v>94</v>
      </c>
      <c r="H440" s="58">
        <v>100</v>
      </c>
      <c r="I440" s="59">
        <f t="shared" si="225"/>
        <v>105.25</v>
      </c>
      <c r="J440" s="56">
        <f>I440*2*10000</f>
        <v>2105000</v>
      </c>
      <c r="K440" s="56">
        <v>3000000</v>
      </c>
      <c r="L440" s="56">
        <f>J440*5</f>
        <v>10525000</v>
      </c>
      <c r="M440" s="60">
        <f>I440/(I440+I441)*100</f>
        <v>95.681818181818173</v>
      </c>
      <c r="N440" s="22">
        <f>I442/I440*100</f>
        <v>0</v>
      </c>
      <c r="O440" s="61">
        <f>3.32*(LOG(L440)-LOG(K440))</f>
        <v>1.8097348212963034</v>
      </c>
      <c r="P440" s="61">
        <f>IF(O440&lt;0,P437,P437+O440)</f>
        <v>142.69260942234985</v>
      </c>
    </row>
    <row r="441" spans="1:16" ht="15.75" customHeight="1" x14ac:dyDescent="0.35">
      <c r="A441" s="56"/>
      <c r="B441" s="110"/>
      <c r="C441" s="103"/>
      <c r="D441" s="92" t="s">
        <v>66</v>
      </c>
      <c r="E441" s="58">
        <v>5</v>
      </c>
      <c r="F441" s="58">
        <v>4</v>
      </c>
      <c r="G441" s="58">
        <v>4</v>
      </c>
      <c r="H441" s="58">
        <v>6</v>
      </c>
      <c r="I441" s="59">
        <f t="shared" si="225"/>
        <v>4.75</v>
      </c>
      <c r="J441" s="56"/>
      <c r="K441" s="56"/>
      <c r="L441" s="56"/>
      <c r="M441" s="56"/>
      <c r="N441" s="20"/>
      <c r="O441" s="56"/>
      <c r="P441" s="56"/>
    </row>
    <row r="442" spans="1:16" ht="15.75" customHeight="1" x14ac:dyDescent="0.35">
      <c r="A442" s="56"/>
      <c r="B442" s="110"/>
      <c r="C442" s="103"/>
      <c r="D442" s="92" t="s">
        <v>67</v>
      </c>
      <c r="E442" s="58">
        <v>0</v>
      </c>
      <c r="F442" s="58">
        <v>0</v>
      </c>
      <c r="G442" s="58">
        <v>0</v>
      </c>
      <c r="H442" s="58">
        <v>0</v>
      </c>
      <c r="I442" s="59">
        <f t="shared" si="225"/>
        <v>0</v>
      </c>
      <c r="J442" s="56"/>
      <c r="K442" s="56"/>
      <c r="L442" s="56"/>
      <c r="M442" s="56"/>
      <c r="N442" s="20"/>
      <c r="O442" s="56"/>
      <c r="P442" s="56"/>
    </row>
    <row r="443" spans="1:16" ht="15.75" customHeight="1" x14ac:dyDescent="0.35">
      <c r="A443" s="63">
        <f>A440+7</f>
        <v>45370</v>
      </c>
      <c r="B443" s="110">
        <f>B440+7</f>
        <v>1019</v>
      </c>
      <c r="C443" s="103" t="str">
        <f>$C$158</f>
        <v>3% FBS R3</v>
      </c>
      <c r="D443" s="91" t="s">
        <v>65</v>
      </c>
      <c r="E443" s="58">
        <v>83</v>
      </c>
      <c r="F443" s="58">
        <v>82</v>
      </c>
      <c r="G443" s="58">
        <v>85</v>
      </c>
      <c r="H443" s="58">
        <v>87</v>
      </c>
      <c r="I443" s="59">
        <f t="shared" si="225"/>
        <v>84.25</v>
      </c>
      <c r="J443" s="56">
        <f>I443*2*10000</f>
        <v>1685000</v>
      </c>
      <c r="K443" s="56">
        <v>3000000</v>
      </c>
      <c r="L443" s="56">
        <f>J443*5</f>
        <v>8425000</v>
      </c>
      <c r="M443" s="60">
        <f>I443/(I443+I444)*100</f>
        <v>95.197740112994353</v>
      </c>
      <c r="N443" s="22">
        <f>I445/I443*100</f>
        <v>0</v>
      </c>
      <c r="O443" s="61">
        <f>3.32*(LOG(L443)-LOG(K443))</f>
        <v>1.4888495340147285</v>
      </c>
      <c r="P443" s="61">
        <f>IF(O443&lt;0,P440,P440+O443)</f>
        <v>144.18145895636457</v>
      </c>
    </row>
    <row r="444" spans="1:16" ht="15.75" customHeight="1" x14ac:dyDescent="0.35">
      <c r="A444" s="56"/>
      <c r="B444" s="110"/>
      <c r="C444" s="103"/>
      <c r="D444" s="92" t="s">
        <v>66</v>
      </c>
      <c r="E444" s="58">
        <v>6</v>
      </c>
      <c r="F444" s="58">
        <v>4</v>
      </c>
      <c r="G444" s="58">
        <v>4</v>
      </c>
      <c r="H444" s="58">
        <v>3</v>
      </c>
      <c r="I444" s="59">
        <f t="shared" si="225"/>
        <v>4.25</v>
      </c>
      <c r="J444" s="56"/>
      <c r="K444" s="56"/>
      <c r="L444" s="56"/>
      <c r="M444" s="56"/>
      <c r="N444" s="20"/>
      <c r="O444" s="56"/>
      <c r="P444" s="56"/>
    </row>
    <row r="445" spans="1:16" ht="15.75" customHeight="1" x14ac:dyDescent="0.35">
      <c r="A445" s="56"/>
      <c r="B445" s="110"/>
      <c r="C445" s="103"/>
      <c r="D445" s="92" t="s">
        <v>67</v>
      </c>
      <c r="E445" s="58">
        <v>0</v>
      </c>
      <c r="F445" s="58">
        <v>0</v>
      </c>
      <c r="G445" s="58">
        <v>0</v>
      </c>
      <c r="H445" s="58">
        <v>0</v>
      </c>
      <c r="I445" s="59">
        <f t="shared" si="225"/>
        <v>0</v>
      </c>
      <c r="J445" s="56"/>
      <c r="K445" s="56"/>
      <c r="L445" s="56"/>
      <c r="M445" s="56"/>
      <c r="N445" s="20"/>
      <c r="O445" s="56"/>
      <c r="P445" s="56"/>
    </row>
    <row r="446" spans="1:16" ht="15.75" customHeight="1" x14ac:dyDescent="0.35">
      <c r="A446" s="63">
        <f t="shared" ref="A446:B446" si="237">A443+7</f>
        <v>45377</v>
      </c>
      <c r="B446" s="110">
        <f t="shared" si="237"/>
        <v>1026</v>
      </c>
      <c r="C446" s="103" t="str">
        <f t="shared" ref="C446" si="238">$C$158</f>
        <v>3% FBS R3</v>
      </c>
      <c r="D446" s="91" t="s">
        <v>65</v>
      </c>
      <c r="E446" s="58">
        <v>114</v>
      </c>
      <c r="F446" s="58">
        <v>110</v>
      </c>
      <c r="G446" s="58">
        <v>104</v>
      </c>
      <c r="H446" s="58">
        <v>123</v>
      </c>
      <c r="I446" s="59">
        <f t="shared" si="225"/>
        <v>112.75</v>
      </c>
      <c r="J446" s="56">
        <f t="shared" ref="J446" si="239">I446*2*10000</f>
        <v>2255000</v>
      </c>
      <c r="K446" s="56">
        <v>3000000</v>
      </c>
      <c r="L446" s="56">
        <f t="shared" ref="L446" si="240">J446*5</f>
        <v>11275000</v>
      </c>
      <c r="M446" s="60">
        <f t="shared" ref="M446" si="241">I446/(I446+I447)*100</f>
        <v>97.830802603036886</v>
      </c>
      <c r="N446" s="22">
        <f>I448/I446*100</f>
        <v>0</v>
      </c>
      <c r="O446" s="61">
        <f>3.32*(LOG(L446)-LOG(K446))</f>
        <v>1.9089843821567145</v>
      </c>
      <c r="P446" s="61">
        <f t="shared" ref="P446" si="242">IF(O446&lt;0,P443,P443+O446)</f>
        <v>146.09044333852128</v>
      </c>
    </row>
    <row r="447" spans="1:16" ht="15.75" customHeight="1" x14ac:dyDescent="0.35">
      <c r="A447" s="56"/>
      <c r="B447" s="110"/>
      <c r="C447" s="103"/>
      <c r="D447" s="92" t="s">
        <v>66</v>
      </c>
      <c r="E447" s="58">
        <v>2</v>
      </c>
      <c r="F447" s="58">
        <v>2</v>
      </c>
      <c r="G447" s="58">
        <v>3</v>
      </c>
      <c r="H447" s="58">
        <v>3</v>
      </c>
      <c r="I447" s="59">
        <f t="shared" si="225"/>
        <v>2.5</v>
      </c>
      <c r="J447" s="56"/>
      <c r="K447" s="56"/>
      <c r="L447" s="56"/>
      <c r="M447" s="56"/>
      <c r="N447" s="20"/>
      <c r="O447" s="56"/>
      <c r="P447" s="56"/>
    </row>
    <row r="448" spans="1:16" ht="15.75" customHeight="1" x14ac:dyDescent="0.35">
      <c r="A448" s="56"/>
      <c r="B448" s="110"/>
      <c r="C448" s="103"/>
      <c r="D448" s="92" t="s">
        <v>67</v>
      </c>
      <c r="E448" s="58">
        <v>0</v>
      </c>
      <c r="F448" s="58">
        <v>0</v>
      </c>
      <c r="G448" s="58">
        <v>0</v>
      </c>
      <c r="H448" s="58">
        <v>0</v>
      </c>
      <c r="I448" s="59">
        <f t="shared" si="225"/>
        <v>0</v>
      </c>
      <c r="J448" s="56"/>
      <c r="K448" s="56"/>
      <c r="L448" s="56"/>
      <c r="M448" s="56"/>
      <c r="N448" s="20"/>
      <c r="O448" s="56"/>
      <c r="P448" s="56"/>
    </row>
    <row r="449" spans="1:16" ht="15.75" customHeight="1" x14ac:dyDescent="0.35">
      <c r="A449" s="63">
        <f t="shared" ref="A449:B449" si="243">A446+7</f>
        <v>45384</v>
      </c>
      <c r="B449" s="110">
        <f t="shared" si="243"/>
        <v>1033</v>
      </c>
      <c r="C449" s="103" t="str">
        <f t="shared" ref="C449" si="244">$C$158</f>
        <v>3% FBS R3</v>
      </c>
      <c r="D449" s="91" t="s">
        <v>65</v>
      </c>
      <c r="E449" s="58">
        <v>171</v>
      </c>
      <c r="F449" s="58">
        <v>170</v>
      </c>
      <c r="G449" s="58">
        <v>183</v>
      </c>
      <c r="H449" s="58">
        <v>190</v>
      </c>
      <c r="I449" s="59">
        <f t="shared" si="225"/>
        <v>178.5</v>
      </c>
      <c r="J449" s="56">
        <f t="shared" ref="J449" si="245">I449*2*10000</f>
        <v>3570000</v>
      </c>
      <c r="K449" s="56">
        <v>3000000</v>
      </c>
      <c r="L449" s="56">
        <f t="shared" ref="L449" si="246">J449*5</f>
        <v>17850000</v>
      </c>
      <c r="M449" s="60">
        <f t="shared" ref="M449" si="247">I449/(I449+I450)*100</f>
        <v>97.540983606557376</v>
      </c>
      <c r="N449" s="22">
        <f>I451/I449*100</f>
        <v>0</v>
      </c>
      <c r="O449" s="61">
        <f>3.32*(LOG(L449)-LOG(K449))</f>
        <v>2.5713963262187853</v>
      </c>
      <c r="P449" s="61">
        <f t="shared" ref="P449" si="248">IF(O449&lt;0,P446,P446+O449)</f>
        <v>148.66183966474006</v>
      </c>
    </row>
    <row r="450" spans="1:16" ht="15.75" customHeight="1" x14ac:dyDescent="0.35">
      <c r="A450" s="56"/>
      <c r="B450" s="110"/>
      <c r="C450" s="103"/>
      <c r="D450" s="92" t="s">
        <v>66</v>
      </c>
      <c r="E450" s="58">
        <v>5</v>
      </c>
      <c r="F450" s="58">
        <v>4</v>
      </c>
      <c r="G450" s="58">
        <v>6</v>
      </c>
      <c r="H450" s="58">
        <v>3</v>
      </c>
      <c r="I450" s="59">
        <f t="shared" si="225"/>
        <v>4.5</v>
      </c>
      <c r="J450" s="56"/>
      <c r="K450" s="56"/>
      <c r="L450" s="56"/>
      <c r="M450" s="56"/>
      <c r="N450" s="20"/>
      <c r="O450" s="56"/>
      <c r="P450" s="56"/>
    </row>
    <row r="451" spans="1:16" ht="15.75" customHeight="1" x14ac:dyDescent="0.35">
      <c r="A451" s="56"/>
      <c r="B451" s="110"/>
      <c r="C451" s="103"/>
      <c r="D451" s="92" t="s">
        <v>67</v>
      </c>
      <c r="E451" s="58">
        <v>0</v>
      </c>
      <c r="F451" s="58">
        <v>0</v>
      </c>
      <c r="G451" s="58">
        <v>0</v>
      </c>
      <c r="H451" s="58">
        <v>0</v>
      </c>
      <c r="I451" s="59">
        <f t="shared" si="225"/>
        <v>0</v>
      </c>
      <c r="J451" s="56"/>
      <c r="K451" s="56"/>
      <c r="L451" s="56"/>
      <c r="M451" s="56"/>
      <c r="N451" s="20"/>
      <c r="O451" s="56"/>
      <c r="P451" s="56"/>
    </row>
    <row r="452" spans="1:16" ht="15.75" customHeight="1" x14ac:dyDescent="0.35">
      <c r="A452" s="63">
        <f t="shared" ref="A452:B452" si="249">A449+7</f>
        <v>45391</v>
      </c>
      <c r="B452" s="110">
        <f t="shared" si="249"/>
        <v>1040</v>
      </c>
      <c r="C452" s="103" t="str">
        <f t="shared" ref="C452" si="250">$C$158</f>
        <v>3% FBS R3</v>
      </c>
      <c r="D452" s="91" t="s">
        <v>65</v>
      </c>
      <c r="E452" s="58">
        <v>143</v>
      </c>
      <c r="F452" s="58">
        <v>125</v>
      </c>
      <c r="G452" s="58">
        <v>149</v>
      </c>
      <c r="H452" s="58">
        <v>153</v>
      </c>
      <c r="I452" s="59">
        <f t="shared" si="225"/>
        <v>142.5</v>
      </c>
      <c r="J452" s="56">
        <f t="shared" ref="J452" si="251">I452*2*10000</f>
        <v>2850000</v>
      </c>
      <c r="K452" s="56">
        <v>3000000</v>
      </c>
      <c r="L452" s="56">
        <f t="shared" ref="L452" si="252">J452*5</f>
        <v>14250000</v>
      </c>
      <c r="M452" s="60">
        <f t="shared" ref="M452" si="253">I452/(I452+I453)*100</f>
        <v>97.9381443298969</v>
      </c>
      <c r="N452" s="22">
        <f>I454/I452*100</f>
        <v>0</v>
      </c>
      <c r="O452" s="61">
        <f>3.32*(LOG(L452)-LOG(K452))</f>
        <v>2.2466227839545563</v>
      </c>
      <c r="P452" s="61">
        <f t="shared" ref="P452" si="254">IF(O452&lt;0,P449,P449+O452)</f>
        <v>150.90846244869462</v>
      </c>
    </row>
    <row r="453" spans="1:16" ht="15.75" customHeight="1" x14ac:dyDescent="0.35">
      <c r="A453" s="56"/>
      <c r="B453" s="110"/>
      <c r="C453" s="103"/>
      <c r="D453" s="92" t="s">
        <v>66</v>
      </c>
      <c r="E453" s="58">
        <v>4</v>
      </c>
      <c r="F453" s="58">
        <v>3</v>
      </c>
      <c r="G453" s="58">
        <v>3</v>
      </c>
      <c r="H453" s="58">
        <v>2</v>
      </c>
      <c r="I453" s="59">
        <f t="shared" si="225"/>
        <v>3</v>
      </c>
      <c r="J453" s="56"/>
      <c r="K453" s="56"/>
      <c r="L453" s="56"/>
      <c r="M453" s="56"/>
      <c r="N453" s="20"/>
      <c r="O453" s="56"/>
      <c r="P453" s="56"/>
    </row>
    <row r="454" spans="1:16" ht="15.75" customHeight="1" x14ac:dyDescent="0.35">
      <c r="A454" s="56"/>
      <c r="B454" s="110"/>
      <c r="C454" s="103"/>
      <c r="D454" s="92" t="s">
        <v>67</v>
      </c>
      <c r="E454" s="58">
        <v>0</v>
      </c>
      <c r="F454" s="58">
        <v>0</v>
      </c>
      <c r="G454" s="58">
        <v>0</v>
      </c>
      <c r="H454" s="58">
        <v>0</v>
      </c>
      <c r="I454" s="59">
        <f t="shared" si="225"/>
        <v>0</v>
      </c>
      <c r="J454" s="56"/>
      <c r="K454" s="56"/>
      <c r="L454" s="56"/>
      <c r="M454" s="56"/>
      <c r="N454" s="20"/>
      <c r="O454" s="56"/>
      <c r="P454" s="56"/>
    </row>
    <row r="455" spans="1:16" ht="15.75" customHeight="1" x14ac:dyDescent="0.35">
      <c r="A455" s="63">
        <f t="shared" ref="A455:B455" si="255">A452+7</f>
        <v>45398</v>
      </c>
      <c r="B455" s="110">
        <f t="shared" si="255"/>
        <v>1047</v>
      </c>
      <c r="C455" s="103" t="str">
        <f t="shared" ref="C455:C470" si="256">$C$158</f>
        <v>3% FBS R3</v>
      </c>
      <c r="D455" s="91" t="s">
        <v>65</v>
      </c>
      <c r="E455" s="58">
        <v>127</v>
      </c>
      <c r="F455" s="58">
        <v>135</v>
      </c>
      <c r="G455" s="58">
        <v>142</v>
      </c>
      <c r="H455" s="58">
        <v>128</v>
      </c>
      <c r="I455" s="59">
        <f t="shared" si="225"/>
        <v>133</v>
      </c>
      <c r="J455" s="56">
        <f t="shared" ref="J455" si="257">I455*2*10000</f>
        <v>2660000</v>
      </c>
      <c r="K455" s="56">
        <v>3000000</v>
      </c>
      <c r="L455" s="56">
        <f t="shared" ref="L455" si="258">J455*5</f>
        <v>13300000</v>
      </c>
      <c r="M455" s="60">
        <f t="shared" ref="M455" si="259">I455/(I455+I456)*100</f>
        <v>97.614678899082577</v>
      </c>
      <c r="N455" s="22">
        <f>I457/I455*100</f>
        <v>0</v>
      </c>
      <c r="O455" s="61">
        <f>3.32*(LOG(L455)-LOG(K455))</f>
        <v>2.1471448823414447</v>
      </c>
      <c r="P455" s="61">
        <f t="shared" ref="P455" si="260">IF(O455&lt;0,P452,P452+O455)</f>
        <v>153.05560733103607</v>
      </c>
    </row>
    <row r="456" spans="1:16" ht="15.75" customHeight="1" x14ac:dyDescent="0.35">
      <c r="A456" s="56"/>
      <c r="B456" s="110"/>
      <c r="C456" s="103"/>
      <c r="D456" s="92" t="s">
        <v>66</v>
      </c>
      <c r="E456" s="58">
        <v>4</v>
      </c>
      <c r="F456" s="58">
        <v>2</v>
      </c>
      <c r="G456" s="58">
        <v>4</v>
      </c>
      <c r="H456" s="58">
        <v>3</v>
      </c>
      <c r="I456" s="59">
        <f t="shared" si="225"/>
        <v>3.25</v>
      </c>
      <c r="J456" s="56"/>
      <c r="K456" s="56"/>
      <c r="L456" s="56"/>
      <c r="M456" s="56"/>
      <c r="N456" s="20"/>
      <c r="O456" s="56"/>
      <c r="P456" s="56"/>
    </row>
    <row r="457" spans="1:16" ht="15.75" customHeight="1" x14ac:dyDescent="0.35">
      <c r="A457" s="56"/>
      <c r="B457" s="110"/>
      <c r="C457" s="103"/>
      <c r="D457" s="92" t="s">
        <v>67</v>
      </c>
      <c r="E457" s="58">
        <v>0</v>
      </c>
      <c r="F457" s="58">
        <v>0</v>
      </c>
      <c r="G457" s="58">
        <v>0</v>
      </c>
      <c r="H457" s="58">
        <v>0</v>
      </c>
      <c r="I457" s="59">
        <f t="shared" si="225"/>
        <v>0</v>
      </c>
      <c r="J457" s="56"/>
      <c r="K457" s="56"/>
      <c r="L457" s="56"/>
      <c r="M457" s="56"/>
      <c r="N457" s="20"/>
      <c r="O457" s="56"/>
      <c r="P457" s="56"/>
    </row>
    <row r="458" spans="1:16" ht="15.75" customHeight="1" x14ac:dyDescent="0.35">
      <c r="A458" s="63">
        <f t="shared" ref="A458:B458" si="261">A455+7</f>
        <v>45405</v>
      </c>
      <c r="B458" s="110">
        <f t="shared" si="261"/>
        <v>1054</v>
      </c>
      <c r="C458" s="103" t="str">
        <f t="shared" si="256"/>
        <v>3% FBS R3</v>
      </c>
      <c r="D458" s="91" t="s">
        <v>65</v>
      </c>
      <c r="E458" s="58">
        <v>84</v>
      </c>
      <c r="F458" s="58">
        <v>72</v>
      </c>
      <c r="G458" s="58">
        <v>67</v>
      </c>
      <c r="H458" s="58">
        <v>75</v>
      </c>
      <c r="I458" s="59">
        <f t="shared" si="225"/>
        <v>74.5</v>
      </c>
      <c r="J458" s="56">
        <f t="shared" ref="J458" si="262">I458*2*10000</f>
        <v>1490000</v>
      </c>
      <c r="K458" s="56">
        <v>3000000</v>
      </c>
      <c r="L458" s="56">
        <f t="shared" ref="L458" si="263">J458*5</f>
        <v>7450000</v>
      </c>
      <c r="M458" s="60">
        <f t="shared" ref="M458" si="264">I458/(I458+I459)*100</f>
        <v>96.753246753246756</v>
      </c>
      <c r="N458" s="22">
        <f>I460/I458*100</f>
        <v>0</v>
      </c>
      <c r="O458" s="61">
        <f>3.32*(LOG(L458)-LOG(K458))</f>
        <v>1.311516259855052</v>
      </c>
      <c r="P458" s="61">
        <f t="shared" ref="P458" si="265">IF(O458&lt;0,P455,P455+O458)</f>
        <v>154.36712359089111</v>
      </c>
    </row>
    <row r="459" spans="1:16" ht="15.75" customHeight="1" x14ac:dyDescent="0.35">
      <c r="A459" s="56"/>
      <c r="B459" s="110"/>
      <c r="C459" s="103"/>
      <c r="D459" s="92" t="s">
        <v>66</v>
      </c>
      <c r="E459" s="58">
        <v>2</v>
      </c>
      <c r="F459" s="58">
        <v>3</v>
      </c>
      <c r="G459" s="58">
        <v>2</v>
      </c>
      <c r="H459" s="58">
        <v>3</v>
      </c>
      <c r="I459" s="59">
        <f t="shared" si="225"/>
        <v>2.5</v>
      </c>
      <c r="J459" s="56"/>
      <c r="K459" s="56"/>
      <c r="L459" s="56"/>
      <c r="M459" s="56"/>
      <c r="N459" s="20"/>
      <c r="O459" s="56"/>
      <c r="P459" s="56"/>
    </row>
    <row r="460" spans="1:16" ht="15.75" customHeight="1" x14ac:dyDescent="0.35">
      <c r="A460" s="56"/>
      <c r="B460" s="110"/>
      <c r="C460" s="103"/>
      <c r="D460" s="92" t="s">
        <v>67</v>
      </c>
      <c r="E460" s="58">
        <v>0</v>
      </c>
      <c r="F460" s="58">
        <v>0</v>
      </c>
      <c r="G460" s="58">
        <v>0</v>
      </c>
      <c r="H460" s="58">
        <v>0</v>
      </c>
      <c r="I460" s="59">
        <f t="shared" si="225"/>
        <v>0</v>
      </c>
      <c r="J460" s="56"/>
      <c r="K460" s="56"/>
      <c r="L460" s="56"/>
      <c r="M460" s="56"/>
      <c r="N460" s="20"/>
      <c r="O460" s="56"/>
      <c r="P460" s="56"/>
    </row>
    <row r="461" spans="1:16" ht="15.75" customHeight="1" x14ac:dyDescent="0.35">
      <c r="A461" s="63">
        <f t="shared" ref="A461" si="266">A458+7</f>
        <v>45412</v>
      </c>
      <c r="B461" s="110">
        <f t="shared" ref="B461" si="267">B458+7</f>
        <v>1061</v>
      </c>
      <c r="C461" s="103" t="str">
        <f t="shared" si="256"/>
        <v>3% FBS R3</v>
      </c>
      <c r="D461" s="91" t="s">
        <v>65</v>
      </c>
      <c r="E461" s="58">
        <v>149</v>
      </c>
      <c r="F461" s="58">
        <v>141</v>
      </c>
      <c r="G461" s="58">
        <v>167</v>
      </c>
      <c r="H461" s="58">
        <v>155</v>
      </c>
      <c r="I461" s="59">
        <f t="shared" si="225"/>
        <v>153</v>
      </c>
      <c r="J461" s="56">
        <f t="shared" ref="J461" si="268">I461*2*10000</f>
        <v>3060000</v>
      </c>
      <c r="K461" s="56">
        <v>3000000</v>
      </c>
      <c r="L461" s="56">
        <f t="shared" ref="L461" si="269">J461*5</f>
        <v>15300000</v>
      </c>
      <c r="M461" s="60">
        <f t="shared" ref="M461" si="270">I461/(I461+I462)*100</f>
        <v>94.444444444444443</v>
      </c>
      <c r="N461" s="22">
        <f>I463/I461*100</f>
        <v>0</v>
      </c>
      <c r="O461" s="61">
        <f>3.32*(LOG(L461)-LOG(K461))</f>
        <v>2.3491329846451467</v>
      </c>
      <c r="P461" s="61">
        <f t="shared" ref="P461" si="271">IF(O461&lt;0,P458,P458+O461)</f>
        <v>156.71625657553625</v>
      </c>
    </row>
    <row r="462" spans="1:16" ht="15.75" customHeight="1" x14ac:dyDescent="0.35">
      <c r="A462" s="56"/>
      <c r="B462" s="110"/>
      <c r="C462" s="103"/>
      <c r="D462" s="92" t="s">
        <v>66</v>
      </c>
      <c r="E462" s="58">
        <v>10</v>
      </c>
      <c r="F462" s="58">
        <v>8</v>
      </c>
      <c r="G462" s="58">
        <v>10</v>
      </c>
      <c r="H462" s="58">
        <v>8</v>
      </c>
      <c r="I462" s="59">
        <f t="shared" si="225"/>
        <v>9</v>
      </c>
      <c r="J462" s="56"/>
      <c r="K462" s="56"/>
      <c r="L462" s="56"/>
      <c r="M462" s="56"/>
      <c r="N462" s="20"/>
      <c r="O462" s="56"/>
      <c r="P462" s="56"/>
    </row>
    <row r="463" spans="1:16" ht="15.75" customHeight="1" x14ac:dyDescent="0.35">
      <c r="A463" s="56"/>
      <c r="B463" s="110"/>
      <c r="C463" s="103"/>
      <c r="D463" s="92" t="s">
        <v>67</v>
      </c>
      <c r="E463" s="58">
        <v>0</v>
      </c>
      <c r="F463" s="58">
        <v>0</v>
      </c>
      <c r="G463" s="58">
        <v>0</v>
      </c>
      <c r="H463" s="58">
        <v>0</v>
      </c>
      <c r="I463" s="59">
        <f t="shared" si="225"/>
        <v>0</v>
      </c>
      <c r="J463" s="56"/>
      <c r="K463" s="56"/>
      <c r="L463" s="56"/>
      <c r="M463" s="56"/>
      <c r="N463" s="20"/>
      <c r="O463" s="56"/>
      <c r="P463" s="56"/>
    </row>
    <row r="464" spans="1:16" ht="15.75" customHeight="1" x14ac:dyDescent="0.35">
      <c r="A464" s="63">
        <f t="shared" ref="A464" si="272">A461+7</f>
        <v>45419</v>
      </c>
      <c r="B464" s="110">
        <f t="shared" ref="B464" si="273">B461+7</f>
        <v>1068</v>
      </c>
      <c r="C464" s="103" t="str">
        <f t="shared" si="256"/>
        <v>3% FBS R3</v>
      </c>
      <c r="D464" s="91" t="s">
        <v>65</v>
      </c>
      <c r="E464" s="58">
        <v>113</v>
      </c>
      <c r="F464" s="58">
        <v>114</v>
      </c>
      <c r="G464" s="58">
        <v>116</v>
      </c>
      <c r="H464" s="58">
        <v>120</v>
      </c>
      <c r="I464" s="59">
        <f t="shared" si="225"/>
        <v>115.75</v>
      </c>
      <c r="J464" s="56">
        <f t="shared" ref="J464" si="274">I464*2*10000</f>
        <v>2315000</v>
      </c>
      <c r="K464" s="56">
        <v>3000000</v>
      </c>
      <c r="L464" s="56">
        <f t="shared" ref="L464" si="275">J464*5</f>
        <v>11575000</v>
      </c>
      <c r="M464" s="60">
        <f t="shared" ref="M464" si="276">I464/(I464+I465)*100</f>
        <v>97.064989517819711</v>
      </c>
      <c r="N464" s="22">
        <f>I466/I464*100</f>
        <v>0</v>
      </c>
      <c r="O464" s="61">
        <f>3.32*(LOG(L464)-LOG(K464))</f>
        <v>1.9468471533014895</v>
      </c>
      <c r="P464" s="61">
        <f t="shared" ref="P464" si="277">IF(O464&lt;0,P461,P461+O464)</f>
        <v>158.66310372883774</v>
      </c>
    </row>
    <row r="465" spans="1:16" ht="15.75" customHeight="1" x14ac:dyDescent="0.35">
      <c r="A465" s="56"/>
      <c r="B465" s="110"/>
      <c r="C465" s="103"/>
      <c r="D465" s="92" t="s">
        <v>66</v>
      </c>
      <c r="E465" s="58">
        <v>3</v>
      </c>
      <c r="F465" s="58">
        <v>4</v>
      </c>
      <c r="G465" s="58">
        <v>4</v>
      </c>
      <c r="H465" s="58">
        <v>3</v>
      </c>
      <c r="I465" s="59">
        <f t="shared" si="225"/>
        <v>3.5</v>
      </c>
      <c r="J465" s="56"/>
      <c r="K465" s="56"/>
      <c r="L465" s="56"/>
      <c r="M465" s="56"/>
      <c r="N465" s="20"/>
      <c r="O465" s="56"/>
      <c r="P465" s="56"/>
    </row>
    <row r="466" spans="1:16" ht="15.75" customHeight="1" x14ac:dyDescent="0.35">
      <c r="A466" s="56"/>
      <c r="B466" s="110"/>
      <c r="C466" s="103"/>
      <c r="D466" s="92" t="s">
        <v>67</v>
      </c>
      <c r="E466" s="58">
        <v>0</v>
      </c>
      <c r="F466" s="58">
        <v>0</v>
      </c>
      <c r="G466" s="58">
        <v>0</v>
      </c>
      <c r="H466" s="58">
        <v>0</v>
      </c>
      <c r="I466" s="59">
        <f t="shared" si="225"/>
        <v>0</v>
      </c>
      <c r="J466" s="56"/>
      <c r="K466" s="56"/>
      <c r="L466" s="56"/>
      <c r="M466" s="56"/>
      <c r="N466" s="20"/>
      <c r="O466" s="56"/>
      <c r="P466" s="56"/>
    </row>
    <row r="467" spans="1:16" ht="15.75" customHeight="1" x14ac:dyDescent="0.35">
      <c r="A467" s="63">
        <f t="shared" ref="A467" si="278">A464+7</f>
        <v>45426</v>
      </c>
      <c r="B467" s="110">
        <f t="shared" ref="B467" si="279">B464+7</f>
        <v>1075</v>
      </c>
      <c r="C467" s="103" t="str">
        <f t="shared" si="256"/>
        <v>3% FBS R3</v>
      </c>
      <c r="D467" s="91" t="s">
        <v>65</v>
      </c>
      <c r="E467" s="58">
        <v>131</v>
      </c>
      <c r="F467" s="58">
        <v>139</v>
      </c>
      <c r="G467" s="58">
        <v>142</v>
      </c>
      <c r="H467" s="58">
        <v>146</v>
      </c>
      <c r="I467" s="59">
        <f t="shared" si="225"/>
        <v>139.5</v>
      </c>
      <c r="J467" s="56">
        <f t="shared" ref="J467" si="280">I467*2*10000</f>
        <v>2790000</v>
      </c>
      <c r="K467" s="56">
        <v>3000000</v>
      </c>
      <c r="L467" s="56">
        <f t="shared" ref="L467" si="281">J467*5</f>
        <v>13950000</v>
      </c>
      <c r="M467" s="60">
        <f t="shared" ref="M467" si="282">I467/(I467+I468)*100</f>
        <v>97.382198952879577</v>
      </c>
      <c r="N467" s="22">
        <f>I469/I467*100</f>
        <v>0</v>
      </c>
      <c r="O467" s="61">
        <f>3.32*(LOG(L467)-LOG(K467))</f>
        <v>2.2159438035946457</v>
      </c>
      <c r="P467" s="61">
        <f t="shared" ref="P467" si="283">IF(O467&lt;0,P464,P464+O467)</f>
        <v>160.87904753243239</v>
      </c>
    </row>
    <row r="468" spans="1:16" ht="15.75" customHeight="1" x14ac:dyDescent="0.35">
      <c r="A468" s="56"/>
      <c r="B468" s="110"/>
      <c r="C468" s="103"/>
      <c r="D468" s="92" t="s">
        <v>66</v>
      </c>
      <c r="E468" s="58">
        <v>5</v>
      </c>
      <c r="F468" s="58">
        <v>4</v>
      </c>
      <c r="G468" s="58">
        <v>2</v>
      </c>
      <c r="H468" s="58">
        <v>4</v>
      </c>
      <c r="I468" s="59">
        <f t="shared" si="225"/>
        <v>3.75</v>
      </c>
      <c r="J468" s="56"/>
      <c r="K468" s="56"/>
      <c r="L468" s="56"/>
      <c r="M468" s="56"/>
      <c r="N468" s="20"/>
      <c r="O468" s="56"/>
      <c r="P468" s="56"/>
    </row>
    <row r="469" spans="1:16" ht="15.75" customHeight="1" x14ac:dyDescent="0.35">
      <c r="A469" s="56"/>
      <c r="B469" s="110"/>
      <c r="C469" s="103"/>
      <c r="D469" s="92" t="s">
        <v>67</v>
      </c>
      <c r="E469" s="58">
        <v>0</v>
      </c>
      <c r="F469" s="58">
        <v>0</v>
      </c>
      <c r="G469" s="58">
        <v>0</v>
      </c>
      <c r="H469" s="58">
        <v>0</v>
      </c>
      <c r="I469" s="59">
        <f t="shared" si="225"/>
        <v>0</v>
      </c>
      <c r="J469" s="56"/>
      <c r="K469" s="56"/>
      <c r="L469" s="56"/>
      <c r="M469" s="56"/>
      <c r="N469" s="20"/>
      <c r="O469" s="56"/>
      <c r="P469" s="56"/>
    </row>
    <row r="470" spans="1:16" ht="15.75" customHeight="1" x14ac:dyDescent="0.35">
      <c r="A470" s="63">
        <f t="shared" ref="A470" si="284">A467+7</f>
        <v>45433</v>
      </c>
      <c r="B470" s="110">
        <f t="shared" ref="B470" si="285">B467+7</f>
        <v>1082</v>
      </c>
      <c r="C470" s="103" t="str">
        <f t="shared" si="256"/>
        <v>3% FBS R3</v>
      </c>
      <c r="D470" s="91" t="s">
        <v>65</v>
      </c>
      <c r="E470" s="58">
        <v>84</v>
      </c>
      <c r="F470" s="58">
        <v>89</v>
      </c>
      <c r="G470" s="58">
        <v>88</v>
      </c>
      <c r="H470" s="58">
        <v>87</v>
      </c>
      <c r="I470" s="59">
        <f t="shared" si="225"/>
        <v>87</v>
      </c>
      <c r="J470" s="56">
        <f t="shared" ref="J470" si="286">I470*2*10000</f>
        <v>1740000</v>
      </c>
      <c r="K470" s="56">
        <v>3000000</v>
      </c>
      <c r="L470" s="56">
        <f t="shared" ref="L470" si="287">J470*5</f>
        <v>8700000</v>
      </c>
      <c r="M470" s="60">
        <f t="shared" ref="M470" si="288">I470/(I470+I471)*100</f>
        <v>97.47899159663865</v>
      </c>
      <c r="N470" s="22">
        <f>I472/I470*100</f>
        <v>0</v>
      </c>
      <c r="O470" s="61">
        <f>3.32*(LOG(L470)-LOG(K470))</f>
        <v>1.5351613530245327</v>
      </c>
      <c r="P470" s="61">
        <f t="shared" ref="P470" si="289">IF(O470&lt;0,P467,P467+O470)</f>
        <v>162.41420888545693</v>
      </c>
    </row>
    <row r="471" spans="1:16" ht="15.75" customHeight="1" x14ac:dyDescent="0.35">
      <c r="A471" s="56"/>
      <c r="B471" s="110"/>
      <c r="C471" s="103"/>
      <c r="D471" s="92" t="s">
        <v>66</v>
      </c>
      <c r="E471" s="58">
        <v>1</v>
      </c>
      <c r="F471" s="58">
        <v>2</v>
      </c>
      <c r="G471" s="58">
        <v>4</v>
      </c>
      <c r="H471" s="58">
        <v>2</v>
      </c>
      <c r="I471" s="59">
        <f t="shared" si="225"/>
        <v>2.25</v>
      </c>
      <c r="J471" s="56"/>
      <c r="K471" s="56"/>
      <c r="L471" s="56"/>
      <c r="M471" s="56"/>
      <c r="N471" s="20"/>
      <c r="O471" s="56"/>
      <c r="P471" s="56"/>
    </row>
    <row r="472" spans="1:16" ht="15.75" customHeight="1" x14ac:dyDescent="0.35">
      <c r="A472" s="56"/>
      <c r="B472" s="110"/>
      <c r="C472" s="103"/>
      <c r="D472" s="92" t="s">
        <v>67</v>
      </c>
      <c r="E472" s="58">
        <v>0</v>
      </c>
      <c r="F472" s="58">
        <v>0</v>
      </c>
      <c r="G472" s="58">
        <v>0</v>
      </c>
      <c r="H472" s="58">
        <v>0</v>
      </c>
      <c r="I472" s="59">
        <f t="shared" si="225"/>
        <v>0</v>
      </c>
      <c r="J472" s="56"/>
      <c r="K472" s="56"/>
      <c r="L472" s="56"/>
      <c r="M472" s="56"/>
      <c r="N472" s="20"/>
      <c r="O472" s="56"/>
      <c r="P472" s="56"/>
    </row>
    <row r="473" spans="1:16" ht="15.75" customHeight="1" x14ac:dyDescent="0.35">
      <c r="A473" s="63">
        <f t="shared" ref="A473" si="290">A470+7</f>
        <v>45440</v>
      </c>
      <c r="B473" s="110">
        <f t="shared" ref="B473" si="291">B470+7</f>
        <v>1089</v>
      </c>
      <c r="C473" s="103" t="str">
        <f t="shared" ref="C473:C476" si="292">$C$158</f>
        <v>3% FBS R3</v>
      </c>
      <c r="D473" s="91" t="s">
        <v>65</v>
      </c>
      <c r="E473" s="58">
        <v>92</v>
      </c>
      <c r="F473" s="58">
        <v>101</v>
      </c>
      <c r="G473" s="58">
        <v>86</v>
      </c>
      <c r="H473" s="58">
        <v>112</v>
      </c>
      <c r="I473" s="59">
        <f t="shared" si="225"/>
        <v>97.75</v>
      </c>
      <c r="J473" s="56">
        <f t="shared" ref="J473" si="293">I473*2*10000</f>
        <v>1955000</v>
      </c>
      <c r="K473" s="56">
        <v>3000000</v>
      </c>
      <c r="L473" s="56">
        <f t="shared" ref="L473" si="294">J473*5</f>
        <v>9775000</v>
      </c>
      <c r="M473" s="60">
        <f t="shared" ref="M473" si="295">I473/(I473+I474)*100</f>
        <v>96.068796068796075</v>
      </c>
      <c r="N473" s="22">
        <f>I475/I473*100</f>
        <v>0</v>
      </c>
      <c r="O473" s="61">
        <f>3.32*(LOG(L473)-LOG(K473))</f>
        <v>1.7031450976761635</v>
      </c>
      <c r="P473" s="61">
        <f t="shared" ref="P473" si="296">IF(O473&lt;0,P470,P470+O473)</f>
        <v>164.11735398313309</v>
      </c>
    </row>
    <row r="474" spans="1:16" ht="15.75" customHeight="1" x14ac:dyDescent="0.35">
      <c r="A474" s="56"/>
      <c r="B474" s="110"/>
      <c r="C474" s="103"/>
      <c r="D474" s="92" t="s">
        <v>66</v>
      </c>
      <c r="E474" s="58">
        <v>6</v>
      </c>
      <c r="F474" s="58">
        <v>3</v>
      </c>
      <c r="G474" s="58">
        <v>4</v>
      </c>
      <c r="H474" s="58">
        <v>3</v>
      </c>
      <c r="I474" s="59">
        <f t="shared" si="225"/>
        <v>4</v>
      </c>
      <c r="J474" s="56"/>
      <c r="K474" s="56"/>
      <c r="L474" s="56"/>
      <c r="M474" s="56"/>
      <c r="N474" s="20"/>
      <c r="O474" s="56"/>
      <c r="P474" s="56"/>
    </row>
    <row r="475" spans="1:16" ht="15.75" customHeight="1" x14ac:dyDescent="0.35">
      <c r="A475" s="56"/>
      <c r="B475" s="110"/>
      <c r="C475" s="103"/>
      <c r="D475" s="92" t="s">
        <v>67</v>
      </c>
      <c r="E475" s="58">
        <v>0</v>
      </c>
      <c r="F475" s="58">
        <v>0</v>
      </c>
      <c r="G475" s="58">
        <v>0</v>
      </c>
      <c r="H475" s="58">
        <v>0</v>
      </c>
      <c r="I475" s="59">
        <f t="shared" si="225"/>
        <v>0</v>
      </c>
      <c r="J475" s="56"/>
      <c r="K475" s="56"/>
      <c r="L475" s="56"/>
      <c r="M475" s="56"/>
      <c r="N475" s="20"/>
      <c r="O475" s="56"/>
      <c r="P475" s="56"/>
    </row>
    <row r="476" spans="1:16" ht="15.75" customHeight="1" x14ac:dyDescent="0.35">
      <c r="A476" s="63">
        <f t="shared" ref="A476" si="297">A473+7</f>
        <v>45447</v>
      </c>
      <c r="B476" s="110">
        <f t="shared" ref="B476" si="298">B473+7</f>
        <v>1096</v>
      </c>
      <c r="C476" s="103" t="str">
        <f t="shared" si="292"/>
        <v>3% FBS R3</v>
      </c>
      <c r="D476" s="91" t="s">
        <v>65</v>
      </c>
      <c r="E476" s="58">
        <v>140</v>
      </c>
      <c r="F476" s="58">
        <v>151</v>
      </c>
      <c r="G476" s="58">
        <v>128</v>
      </c>
      <c r="H476" s="58">
        <v>125</v>
      </c>
      <c r="I476" s="59">
        <f t="shared" si="225"/>
        <v>136</v>
      </c>
      <c r="J476" s="56">
        <f t="shared" ref="J476" si="299">I476*2*10000</f>
        <v>2720000</v>
      </c>
      <c r="K476" s="56">
        <v>3000000</v>
      </c>
      <c r="L476" s="56">
        <f t="shared" ref="L476" si="300">J476*5</f>
        <v>13600000</v>
      </c>
      <c r="M476" s="60">
        <f t="shared" ref="M476" si="301">I476/(I476+I477)*100</f>
        <v>93.955094991364419</v>
      </c>
      <c r="N476" s="22">
        <f>I478/I476*100</f>
        <v>0</v>
      </c>
      <c r="O476" s="61">
        <f>3.32*(LOG(L476)-LOG(K476))</f>
        <v>2.1793066101198435</v>
      </c>
      <c r="P476" s="61">
        <f t="shared" ref="P476" si="302">IF(O476&lt;0,P473,P473+O476)</f>
        <v>166.29666059325294</v>
      </c>
    </row>
    <row r="477" spans="1:16" ht="15.75" customHeight="1" x14ac:dyDescent="0.35">
      <c r="A477" s="56"/>
      <c r="B477" s="110"/>
      <c r="C477" s="103"/>
      <c r="D477" s="92" t="s">
        <v>66</v>
      </c>
      <c r="E477" s="58">
        <v>10</v>
      </c>
      <c r="F477" s="58">
        <v>7</v>
      </c>
      <c r="G477" s="58">
        <v>11</v>
      </c>
      <c r="H477" s="58">
        <v>7</v>
      </c>
      <c r="I477" s="59">
        <f t="shared" si="225"/>
        <v>8.75</v>
      </c>
      <c r="J477" s="56"/>
      <c r="K477" s="56"/>
      <c r="L477" s="56"/>
      <c r="M477" s="56"/>
      <c r="N477" s="20"/>
      <c r="O477" s="56"/>
      <c r="P477" s="56"/>
    </row>
    <row r="478" spans="1:16" ht="15.75" customHeight="1" x14ac:dyDescent="0.35">
      <c r="A478" s="56"/>
      <c r="B478" s="110"/>
      <c r="C478" s="103"/>
      <c r="D478" s="92" t="s">
        <v>67</v>
      </c>
      <c r="E478" s="58">
        <v>0</v>
      </c>
      <c r="F478" s="58">
        <v>0</v>
      </c>
      <c r="G478" s="58">
        <v>0</v>
      </c>
      <c r="H478" s="58">
        <v>0</v>
      </c>
      <c r="I478" s="59">
        <f t="shared" si="225"/>
        <v>0</v>
      </c>
      <c r="J478" s="56"/>
      <c r="K478" s="56"/>
      <c r="L478" s="56"/>
      <c r="M478" s="56"/>
      <c r="N478" s="20"/>
      <c r="O478" s="56"/>
      <c r="P478" s="56"/>
    </row>
    <row r="479" spans="1:16" ht="15.75" customHeight="1" x14ac:dyDescent="0.35">
      <c r="A479" s="63">
        <f t="shared" ref="A479" si="303">A476+7</f>
        <v>45454</v>
      </c>
      <c r="B479" s="110">
        <f t="shared" ref="B479" si="304">B476+7</f>
        <v>1103</v>
      </c>
      <c r="C479" s="103" t="str">
        <f t="shared" ref="C479:C482" si="305">$C$158</f>
        <v>3% FBS R3</v>
      </c>
      <c r="D479" s="91" t="s">
        <v>65</v>
      </c>
      <c r="E479" s="58">
        <v>113</v>
      </c>
      <c r="F479" s="58">
        <v>92</v>
      </c>
      <c r="G479" s="58">
        <v>113</v>
      </c>
      <c r="H479" s="58">
        <v>100</v>
      </c>
      <c r="I479" s="59">
        <f t="shared" si="225"/>
        <v>104.5</v>
      </c>
      <c r="J479" s="56">
        <f t="shared" ref="J479" si="306">I479*2*10000</f>
        <v>2090000</v>
      </c>
      <c r="K479" s="56">
        <v>3000000</v>
      </c>
      <c r="L479" s="56">
        <f t="shared" ref="L479" si="307">J479*5</f>
        <v>10450000</v>
      </c>
      <c r="M479" s="60">
        <f t="shared" ref="M479" si="308">I479/(I479+I480)*100</f>
        <v>94.14414414414415</v>
      </c>
      <c r="N479" s="22">
        <f>I481/I479*100</f>
        <v>0</v>
      </c>
      <c r="O479" s="61">
        <f>3.32*(LOG(L479)-LOG(K479))</f>
        <v>1.7994235186150023</v>
      </c>
      <c r="P479" s="61">
        <f t="shared" ref="P479" si="309">IF(O479&lt;0,P476,P476+O479)</f>
        <v>168.09608411186795</v>
      </c>
    </row>
    <row r="480" spans="1:16" ht="15.75" customHeight="1" x14ac:dyDescent="0.35">
      <c r="A480" s="56"/>
      <c r="B480" s="110"/>
      <c r="C480" s="103"/>
      <c r="D480" s="92" t="s">
        <v>66</v>
      </c>
      <c r="E480" s="58">
        <v>4</v>
      </c>
      <c r="F480" s="58">
        <v>9</v>
      </c>
      <c r="G480" s="58">
        <v>9</v>
      </c>
      <c r="H480" s="58">
        <v>4</v>
      </c>
      <c r="I480" s="59">
        <f t="shared" si="225"/>
        <v>6.5</v>
      </c>
      <c r="J480" s="56"/>
      <c r="K480" s="56"/>
      <c r="L480" s="56"/>
      <c r="M480" s="56"/>
      <c r="N480" s="20"/>
      <c r="O480" s="56"/>
      <c r="P480" s="56"/>
    </row>
    <row r="481" spans="1:16" ht="15.75" customHeight="1" x14ac:dyDescent="0.35">
      <c r="A481" s="56"/>
      <c r="B481" s="110"/>
      <c r="C481" s="103"/>
      <c r="D481" s="92" t="s">
        <v>67</v>
      </c>
      <c r="E481" s="58">
        <v>0</v>
      </c>
      <c r="F481" s="58">
        <v>0</v>
      </c>
      <c r="G481" s="58">
        <v>0</v>
      </c>
      <c r="H481" s="58">
        <v>0</v>
      </c>
      <c r="I481" s="59">
        <f t="shared" si="225"/>
        <v>0</v>
      </c>
      <c r="J481" s="56"/>
      <c r="K481" s="56"/>
      <c r="L481" s="56"/>
      <c r="M481" s="56"/>
      <c r="N481" s="20"/>
      <c r="O481" s="56"/>
      <c r="P481" s="56"/>
    </row>
    <row r="482" spans="1:16" ht="15.75" customHeight="1" x14ac:dyDescent="0.35">
      <c r="A482" s="63">
        <f t="shared" ref="A482" si="310">A479+7</f>
        <v>45461</v>
      </c>
      <c r="B482" s="110">
        <f t="shared" ref="B482" si="311">B479+7</f>
        <v>1110</v>
      </c>
      <c r="C482" s="103" t="str">
        <f t="shared" si="305"/>
        <v>3% FBS R3</v>
      </c>
      <c r="D482" s="91" t="s">
        <v>65</v>
      </c>
      <c r="E482" s="58">
        <v>75</v>
      </c>
      <c r="F482" s="58">
        <v>84</v>
      </c>
      <c r="G482" s="58">
        <v>61</v>
      </c>
      <c r="H482" s="58">
        <v>70</v>
      </c>
      <c r="I482" s="59">
        <f t="shared" si="225"/>
        <v>72.5</v>
      </c>
      <c r="J482" s="56">
        <f t="shared" ref="J482" si="312">I482*2*10000</f>
        <v>1450000</v>
      </c>
      <c r="K482" s="56">
        <v>3000000</v>
      </c>
      <c r="L482" s="56">
        <f t="shared" ref="L482" si="313">J482*5</f>
        <v>7250000</v>
      </c>
      <c r="M482" s="60">
        <f t="shared" ref="M482" si="314">I482/(I482+I483)*100</f>
        <v>94.155844155844164</v>
      </c>
      <c r="N482" s="22">
        <f>I484/I482*100</f>
        <v>0</v>
      </c>
      <c r="O482" s="61">
        <f>3.32*(LOG(L482)-LOG(K482))</f>
        <v>1.2722796161464203</v>
      </c>
      <c r="P482" s="61">
        <f t="shared" ref="P482" si="315">IF(O482&lt;0,P479,P479+O482)</f>
        <v>169.36836372801437</v>
      </c>
    </row>
    <row r="483" spans="1:16" ht="15.75" customHeight="1" x14ac:dyDescent="0.35">
      <c r="A483" s="56"/>
      <c r="B483" s="110"/>
      <c r="C483" s="103"/>
      <c r="D483" s="92" t="s">
        <v>66</v>
      </c>
      <c r="E483" s="58">
        <v>3</v>
      </c>
      <c r="F483" s="58">
        <v>5</v>
      </c>
      <c r="G483" s="58">
        <v>7</v>
      </c>
      <c r="H483" s="58">
        <v>3</v>
      </c>
      <c r="I483" s="59">
        <f t="shared" si="225"/>
        <v>4.5</v>
      </c>
      <c r="J483" s="56"/>
      <c r="K483" s="56"/>
      <c r="L483" s="56"/>
      <c r="M483" s="56"/>
      <c r="N483" s="20"/>
      <c r="O483" s="56"/>
      <c r="P483" s="56"/>
    </row>
    <row r="484" spans="1:16" ht="15.75" customHeight="1" x14ac:dyDescent="0.35">
      <c r="A484" s="56"/>
      <c r="B484" s="110"/>
      <c r="C484" s="103"/>
      <c r="D484" s="92" t="s">
        <v>67</v>
      </c>
      <c r="E484" s="58">
        <v>0</v>
      </c>
      <c r="F484" s="58">
        <v>0</v>
      </c>
      <c r="G484" s="58">
        <v>0</v>
      </c>
      <c r="H484" s="58">
        <v>0</v>
      </c>
      <c r="I484" s="59">
        <f t="shared" si="225"/>
        <v>0</v>
      </c>
      <c r="J484" s="56"/>
      <c r="K484" s="56"/>
      <c r="L484" s="56"/>
      <c r="M484" s="56"/>
      <c r="N484" s="20"/>
      <c r="O484" s="56"/>
      <c r="P484" s="56"/>
    </row>
    <row r="485" spans="1:16" ht="15.75" customHeight="1" x14ac:dyDescent="0.35">
      <c r="A485" s="63">
        <f t="shared" ref="A485" si="316">A482+7</f>
        <v>45468</v>
      </c>
      <c r="B485" s="110">
        <f t="shared" ref="B485" si="317">B482+7</f>
        <v>1117</v>
      </c>
      <c r="C485" s="103" t="str">
        <f t="shared" ref="C485:C491" si="318">$C$158</f>
        <v>3% FBS R3</v>
      </c>
      <c r="D485" s="91" t="s">
        <v>65</v>
      </c>
      <c r="E485" s="58">
        <v>69</v>
      </c>
      <c r="F485" s="58">
        <v>86</v>
      </c>
      <c r="G485" s="58">
        <v>90</v>
      </c>
      <c r="H485" s="58">
        <v>92</v>
      </c>
      <c r="I485" s="59">
        <f t="shared" si="225"/>
        <v>84.25</v>
      </c>
      <c r="J485" s="56">
        <f t="shared" ref="J485" si="319">I485*2*10000</f>
        <v>1685000</v>
      </c>
      <c r="K485" s="56">
        <v>3000000</v>
      </c>
      <c r="L485" s="56">
        <f t="shared" ref="L485" si="320">J485*5</f>
        <v>8425000</v>
      </c>
      <c r="M485" s="60">
        <f t="shared" ref="M485" si="321">I485/(I485+I486)*100</f>
        <v>96.839080459770116</v>
      </c>
      <c r="N485" s="22">
        <f>I487/I485*100</f>
        <v>0</v>
      </c>
      <c r="O485" s="61">
        <f>3.32*(LOG(L485)-LOG(K485))</f>
        <v>1.4888495340147285</v>
      </c>
      <c r="P485" s="61">
        <f t="shared" ref="P485" si="322">IF(O485&lt;0,P482,P482+O485)</f>
        <v>170.85721326202909</v>
      </c>
    </row>
    <row r="486" spans="1:16" ht="15.75" customHeight="1" x14ac:dyDescent="0.35">
      <c r="A486" s="56"/>
      <c r="B486" s="110"/>
      <c r="C486" s="103"/>
      <c r="D486" s="92" t="s">
        <v>66</v>
      </c>
      <c r="E486" s="58">
        <v>2</v>
      </c>
      <c r="F486" s="58">
        <v>3</v>
      </c>
      <c r="G486" s="58">
        <v>4</v>
      </c>
      <c r="H486" s="58">
        <v>2</v>
      </c>
      <c r="I486" s="59">
        <f t="shared" si="225"/>
        <v>2.75</v>
      </c>
      <c r="J486" s="56"/>
      <c r="K486" s="56"/>
      <c r="L486" s="56"/>
      <c r="M486" s="56"/>
      <c r="N486" s="20"/>
      <c r="O486" s="56"/>
      <c r="P486" s="56"/>
    </row>
    <row r="487" spans="1:16" ht="15.75" customHeight="1" x14ac:dyDescent="0.35">
      <c r="A487" s="56"/>
      <c r="B487" s="110"/>
      <c r="C487" s="103"/>
      <c r="D487" s="92" t="s">
        <v>67</v>
      </c>
      <c r="E487" s="58">
        <v>0</v>
      </c>
      <c r="F487" s="58">
        <v>0</v>
      </c>
      <c r="G487" s="58">
        <v>0</v>
      </c>
      <c r="H487" s="58">
        <v>0</v>
      </c>
      <c r="I487" s="59">
        <f t="shared" si="225"/>
        <v>0</v>
      </c>
      <c r="J487" s="56"/>
      <c r="K487" s="56"/>
      <c r="L487" s="56"/>
      <c r="M487" s="56"/>
      <c r="N487" s="20"/>
      <c r="O487" s="56"/>
      <c r="P487" s="56"/>
    </row>
    <row r="488" spans="1:16" ht="15.75" customHeight="1" x14ac:dyDescent="0.35">
      <c r="A488" s="63">
        <f t="shared" ref="A488" si="323">A485+7</f>
        <v>45475</v>
      </c>
      <c r="B488" s="110">
        <f t="shared" ref="B488" si="324">B485+7</f>
        <v>1124</v>
      </c>
      <c r="C488" s="103" t="str">
        <f t="shared" si="318"/>
        <v>3% FBS R3</v>
      </c>
      <c r="D488" s="91" t="s">
        <v>65</v>
      </c>
      <c r="E488" s="58">
        <v>99</v>
      </c>
      <c r="F488" s="58">
        <v>98</v>
      </c>
      <c r="G488" s="58">
        <v>115</v>
      </c>
      <c r="H488" s="58">
        <v>106</v>
      </c>
      <c r="I488" s="59">
        <f t="shared" si="225"/>
        <v>104.5</v>
      </c>
      <c r="J488" s="56">
        <f t="shared" ref="J488" si="325">I488*2*10000</f>
        <v>2090000</v>
      </c>
      <c r="K488" s="56">
        <v>3000000</v>
      </c>
      <c r="L488" s="56">
        <f t="shared" ref="L488" si="326">J488*5</f>
        <v>10450000</v>
      </c>
      <c r="M488" s="60">
        <f t="shared" ref="M488" si="327">I488/(I488+I489)*100</f>
        <v>98.122065727699521</v>
      </c>
      <c r="N488" s="22">
        <f>I490/I488*100</f>
        <v>0</v>
      </c>
      <c r="O488" s="61">
        <f>3.32*(LOG(L488)-LOG(K488))</f>
        <v>1.7994235186150023</v>
      </c>
      <c r="P488" s="61">
        <f t="shared" ref="P488" si="328">IF(O488&lt;0,P485,P485+O488)</f>
        <v>172.65663678064411</v>
      </c>
    </row>
    <row r="489" spans="1:16" ht="15.75" customHeight="1" x14ac:dyDescent="0.35">
      <c r="A489" s="56"/>
      <c r="B489" s="110"/>
      <c r="C489" s="103"/>
      <c r="D489" s="92" t="s">
        <v>66</v>
      </c>
      <c r="E489" s="58">
        <v>2</v>
      </c>
      <c r="F489" s="58">
        <v>1</v>
      </c>
      <c r="G489" s="58">
        <v>2</v>
      </c>
      <c r="H489" s="58">
        <v>3</v>
      </c>
      <c r="I489" s="59">
        <f t="shared" si="225"/>
        <v>2</v>
      </c>
      <c r="J489" s="56"/>
      <c r="K489" s="56"/>
      <c r="L489" s="56"/>
      <c r="M489" s="56"/>
      <c r="N489" s="20"/>
      <c r="O489" s="56"/>
      <c r="P489" s="56"/>
    </row>
    <row r="490" spans="1:16" ht="15.75" customHeight="1" x14ac:dyDescent="0.35">
      <c r="A490" s="56"/>
      <c r="B490" s="110"/>
      <c r="C490" s="103"/>
      <c r="D490" s="92" t="s">
        <v>67</v>
      </c>
      <c r="E490" s="58">
        <v>0</v>
      </c>
      <c r="F490" s="58">
        <v>0</v>
      </c>
      <c r="G490" s="58">
        <v>0</v>
      </c>
      <c r="H490" s="58">
        <v>0</v>
      </c>
      <c r="I490" s="59">
        <f t="shared" si="225"/>
        <v>0</v>
      </c>
      <c r="J490" s="56"/>
      <c r="K490" s="56"/>
      <c r="L490" s="56"/>
      <c r="M490" s="56"/>
      <c r="N490" s="20"/>
      <c r="O490" s="56"/>
      <c r="P490" s="56"/>
    </row>
    <row r="491" spans="1:16" ht="15.75" customHeight="1" x14ac:dyDescent="0.35">
      <c r="A491" s="63">
        <f t="shared" ref="A491" si="329">A488+7</f>
        <v>45482</v>
      </c>
      <c r="B491" s="110">
        <f t="shared" ref="B491" si="330">B488+7</f>
        <v>1131</v>
      </c>
      <c r="C491" s="103" t="str">
        <f t="shared" si="318"/>
        <v>3% FBS R3</v>
      </c>
      <c r="D491" s="91" t="s">
        <v>65</v>
      </c>
      <c r="E491" s="58">
        <v>64</v>
      </c>
      <c r="F491" s="58">
        <v>65</v>
      </c>
      <c r="G491" s="58">
        <v>54</v>
      </c>
      <c r="H491" s="58">
        <v>52</v>
      </c>
      <c r="I491" s="59">
        <f t="shared" si="225"/>
        <v>58.75</v>
      </c>
      <c r="J491" s="56">
        <f t="shared" ref="J491" si="331">I491*2*10000</f>
        <v>1175000</v>
      </c>
      <c r="K491" s="56">
        <v>3000000</v>
      </c>
      <c r="L491" s="56">
        <f t="shared" ref="L491" si="332">J491*5</f>
        <v>5875000</v>
      </c>
      <c r="M491" s="60">
        <f t="shared" ref="M491" si="333">I491/(I491+I492)*100</f>
        <v>98.326359832635973</v>
      </c>
      <c r="N491" s="22">
        <f>I493/I491*100</f>
        <v>0</v>
      </c>
      <c r="O491" s="61">
        <f>3.32*(LOG(L491)-LOG(K491))</f>
        <v>0.96906356586405051</v>
      </c>
      <c r="P491" s="61">
        <f t="shared" ref="P491" si="334">IF(O491&lt;0,P488,P488+O491)</f>
        <v>173.62570034650815</v>
      </c>
    </row>
    <row r="492" spans="1:16" ht="15.75" customHeight="1" x14ac:dyDescent="0.35">
      <c r="A492" s="56"/>
      <c r="B492" s="110"/>
      <c r="C492" s="103"/>
      <c r="D492" s="92" t="s">
        <v>66</v>
      </c>
      <c r="E492" s="58">
        <v>2</v>
      </c>
      <c r="F492" s="58">
        <v>1</v>
      </c>
      <c r="G492" s="58">
        <v>0</v>
      </c>
      <c r="H492" s="58">
        <v>1</v>
      </c>
      <c r="I492" s="59">
        <f t="shared" si="225"/>
        <v>1</v>
      </c>
      <c r="J492" s="56"/>
      <c r="K492" s="56"/>
      <c r="L492" s="56"/>
      <c r="M492" s="56"/>
      <c r="N492" s="20"/>
      <c r="O492" s="56"/>
      <c r="P492" s="56"/>
    </row>
    <row r="493" spans="1:16" ht="15.75" customHeight="1" x14ac:dyDescent="0.35">
      <c r="A493" s="56"/>
      <c r="B493" s="110"/>
      <c r="C493" s="103"/>
      <c r="D493" s="92" t="s">
        <v>67</v>
      </c>
      <c r="E493" s="58">
        <v>0</v>
      </c>
      <c r="F493" s="58">
        <v>0</v>
      </c>
      <c r="G493" s="58">
        <v>0</v>
      </c>
      <c r="H493" s="58">
        <v>0</v>
      </c>
      <c r="I493" s="59">
        <f t="shared" si="225"/>
        <v>0</v>
      </c>
      <c r="J493" s="56"/>
      <c r="K493" s="56"/>
      <c r="L493" s="56"/>
      <c r="M493" s="56"/>
      <c r="N493" s="20"/>
      <c r="O493" s="56"/>
      <c r="P493" s="56"/>
    </row>
    <row r="494" spans="1:16" ht="15.75" customHeight="1" x14ac:dyDescent="0.35">
      <c r="A494" s="63">
        <f t="shared" ref="A494" si="335">A491+7</f>
        <v>45489</v>
      </c>
      <c r="B494" s="110">
        <f t="shared" ref="B494" si="336">B491+7</f>
        <v>1138</v>
      </c>
      <c r="C494" s="103" t="str">
        <f t="shared" ref="C494" si="337">$C$158</f>
        <v>3% FBS R3</v>
      </c>
      <c r="D494" s="91" t="s">
        <v>65</v>
      </c>
      <c r="E494" s="58">
        <v>77</v>
      </c>
      <c r="F494" s="58">
        <v>60</v>
      </c>
      <c r="G494" s="58">
        <v>52</v>
      </c>
      <c r="H494" s="58">
        <v>46</v>
      </c>
      <c r="I494" s="59">
        <f t="shared" si="225"/>
        <v>58.75</v>
      </c>
      <c r="J494" s="56">
        <f t="shared" ref="J494" si="338">I494*2*10000</f>
        <v>1175000</v>
      </c>
      <c r="K494" s="56">
        <v>3000000</v>
      </c>
      <c r="L494" s="56">
        <f t="shared" ref="L494" si="339">J494*5</f>
        <v>5875000</v>
      </c>
      <c r="M494" s="60">
        <f t="shared" ref="M494" si="340">I494/(I494+I495)*100</f>
        <v>95.141700404858298</v>
      </c>
      <c r="N494" s="22">
        <f>I496/I494*100</f>
        <v>0</v>
      </c>
      <c r="O494" s="61">
        <f>3.32*(LOG(L494)-LOG(K494))</f>
        <v>0.96906356586405051</v>
      </c>
      <c r="P494" s="61">
        <f t="shared" ref="P494" si="341">IF(O494&lt;0,P491,P491+O494)</f>
        <v>174.5947639123722</v>
      </c>
    </row>
    <row r="495" spans="1:16" ht="15.75" customHeight="1" x14ac:dyDescent="0.35">
      <c r="A495" s="56"/>
      <c r="B495" s="110"/>
      <c r="C495" s="103"/>
      <c r="D495" s="92" t="s">
        <v>66</v>
      </c>
      <c r="E495" s="58">
        <v>6</v>
      </c>
      <c r="F495" s="58">
        <v>3</v>
      </c>
      <c r="G495" s="58">
        <v>1</v>
      </c>
      <c r="H495" s="58">
        <v>2</v>
      </c>
      <c r="I495" s="59">
        <f t="shared" ref="I495:I499" si="342">AVERAGE(E495:H495)</f>
        <v>3</v>
      </c>
      <c r="J495" s="56"/>
      <c r="K495" s="56"/>
      <c r="L495" s="56"/>
      <c r="M495" s="56"/>
      <c r="N495" s="20"/>
      <c r="O495" s="56"/>
      <c r="P495" s="56"/>
    </row>
    <row r="496" spans="1:16" ht="15.75" customHeight="1" x14ac:dyDescent="0.35">
      <c r="A496" s="56"/>
      <c r="B496" s="110"/>
      <c r="C496" s="103"/>
      <c r="D496" s="92" t="s">
        <v>67</v>
      </c>
      <c r="E496" s="58">
        <v>0</v>
      </c>
      <c r="F496" s="58">
        <v>0</v>
      </c>
      <c r="G496" s="58">
        <v>0</v>
      </c>
      <c r="H496" s="58">
        <v>0</v>
      </c>
      <c r="I496" s="59">
        <f t="shared" si="342"/>
        <v>0</v>
      </c>
      <c r="J496" s="56"/>
      <c r="K496" s="56"/>
      <c r="L496" s="56"/>
      <c r="M496" s="56"/>
      <c r="N496" s="20"/>
      <c r="O496" s="56"/>
      <c r="P496" s="56"/>
    </row>
    <row r="497" spans="1:16" ht="15.75" customHeight="1" x14ac:dyDescent="0.35">
      <c r="A497" s="63">
        <f t="shared" ref="A497" si="343">A494+7</f>
        <v>45496</v>
      </c>
      <c r="B497" s="110">
        <f t="shared" ref="B497" si="344">B494+7</f>
        <v>1145</v>
      </c>
      <c r="C497" s="103" t="str">
        <f t="shared" ref="C497" si="345">$C$158</f>
        <v>3% FBS R3</v>
      </c>
      <c r="D497" s="91" t="s">
        <v>65</v>
      </c>
      <c r="E497" s="58">
        <v>97</v>
      </c>
      <c r="F497" s="58">
        <v>89</v>
      </c>
      <c r="G497" s="58">
        <v>92</v>
      </c>
      <c r="H497" s="58">
        <v>91</v>
      </c>
      <c r="I497" s="59">
        <f t="shared" si="342"/>
        <v>92.25</v>
      </c>
      <c r="J497" s="56">
        <f t="shared" ref="J497" si="346">I497*2*10000</f>
        <v>1845000</v>
      </c>
      <c r="K497" s="56">
        <v>3000000</v>
      </c>
      <c r="L497" s="56">
        <f t="shared" ref="L497" si="347">J497*5</f>
        <v>9225000</v>
      </c>
      <c r="M497" s="60">
        <f t="shared" ref="M497" si="348">I497/(I497+I498)*100</f>
        <v>94.85861182519281</v>
      </c>
      <c r="N497" s="22">
        <f>I499/I497*100</f>
        <v>0</v>
      </c>
      <c r="O497" s="61">
        <f>3.32*(LOG(L497)-LOG(K497))</f>
        <v>1.6196457987699659</v>
      </c>
      <c r="P497" s="61">
        <f t="shared" ref="P497" si="349">IF(O497&lt;0,P494,P494+O497)</f>
        <v>176.21440971114217</v>
      </c>
    </row>
    <row r="498" spans="1:16" ht="15.75" customHeight="1" x14ac:dyDescent="0.35">
      <c r="A498" s="56"/>
      <c r="B498" s="110"/>
      <c r="C498" s="104"/>
      <c r="D498" s="93" t="s">
        <v>66</v>
      </c>
      <c r="E498" s="58">
        <v>5</v>
      </c>
      <c r="F498" s="58">
        <v>6</v>
      </c>
      <c r="G498" s="58">
        <v>3</v>
      </c>
      <c r="H498" s="58">
        <v>6</v>
      </c>
      <c r="I498" s="59">
        <f t="shared" si="342"/>
        <v>5</v>
      </c>
      <c r="J498" s="96"/>
      <c r="K498" s="96"/>
      <c r="L498" s="56"/>
      <c r="M498" s="56"/>
      <c r="N498" s="20"/>
      <c r="O498" s="56"/>
      <c r="P498" s="56"/>
    </row>
    <row r="499" spans="1:16" ht="15.75" customHeight="1" x14ac:dyDescent="0.35">
      <c r="A499" s="56"/>
      <c r="B499" s="111"/>
      <c r="C499" s="105"/>
      <c r="D499" s="92" t="s">
        <v>67</v>
      </c>
      <c r="E499" s="95">
        <v>0</v>
      </c>
      <c r="F499" s="58">
        <v>0</v>
      </c>
      <c r="G499" s="58">
        <v>0</v>
      </c>
      <c r="H499" s="58">
        <v>0</v>
      </c>
      <c r="I499" s="97">
        <f t="shared" si="342"/>
        <v>0</v>
      </c>
      <c r="J499" s="64"/>
      <c r="K499" s="64"/>
      <c r="L499" s="59"/>
      <c r="M499" s="56"/>
      <c r="N499" s="20"/>
      <c r="O499" s="56"/>
      <c r="P499" s="56"/>
    </row>
    <row r="500" spans="1:16" ht="15.75" customHeight="1" x14ac:dyDescent="0.35">
      <c r="D500" s="94"/>
      <c r="K500" s="70"/>
    </row>
    <row r="501" spans="1:16" ht="15.75" customHeight="1" x14ac:dyDescent="0.35">
      <c r="D501" s="94"/>
    </row>
    <row r="502" spans="1:16" ht="15.75" customHeight="1" x14ac:dyDescent="0.35">
      <c r="D502" s="94"/>
    </row>
    <row r="503" spans="1:16" ht="15.75" customHeight="1" x14ac:dyDescent="0.35">
      <c r="D503" s="94"/>
    </row>
    <row r="504" spans="1:16" ht="15.75" customHeight="1" x14ac:dyDescent="0.35">
      <c r="D504" s="94"/>
    </row>
    <row r="505" spans="1:16" ht="15.75" customHeight="1" x14ac:dyDescent="0.35">
      <c r="D505" s="94"/>
    </row>
    <row r="506" spans="1:16" ht="15.75" customHeight="1" x14ac:dyDescent="0.35">
      <c r="D506" s="94"/>
    </row>
    <row r="507" spans="1:16" ht="15.75" customHeight="1" x14ac:dyDescent="0.35">
      <c r="D507" s="94"/>
    </row>
    <row r="508" spans="1:16" ht="15.75" customHeight="1" x14ac:dyDescent="0.35">
      <c r="D508" s="94"/>
    </row>
    <row r="509" spans="1:16" ht="15.75" customHeight="1" x14ac:dyDescent="0.35"/>
    <row r="510" spans="1:16" ht="15.75" customHeight="1" x14ac:dyDescent="0.35"/>
    <row r="511" spans="1:16" ht="15.75" customHeight="1" x14ac:dyDescent="0.35"/>
    <row r="512" spans="1:16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46"/>
  <sheetViews>
    <sheetView workbookViewId="0">
      <pane ySplit="4" topLeftCell="A5" activePane="bottomLeft" state="frozen"/>
      <selection pane="bottomLeft"/>
    </sheetView>
  </sheetViews>
  <sheetFormatPr defaultColWidth="14.453125" defaultRowHeight="15" customHeight="1" x14ac:dyDescent="0.35"/>
  <cols>
    <col min="1" max="1" width="11.54296875" customWidth="1"/>
    <col min="2" max="2" width="10.6328125" style="98" customWidth="1"/>
    <col min="3" max="3" width="10.6328125" style="116" customWidth="1"/>
    <col min="4" max="4" width="10.6328125" customWidth="1"/>
    <col min="5" max="9" width="9" style="46" customWidth="1"/>
    <col min="10" max="11" width="9" customWidth="1"/>
    <col min="12" max="12" width="9.81640625" customWidth="1"/>
    <col min="13" max="13" width="10.6328125" customWidth="1"/>
    <col min="14" max="14" width="10.7265625" bestFit="1" customWidth="1"/>
    <col min="15" max="15" width="9" customWidth="1"/>
    <col min="16" max="16" width="12.6328125" style="36" customWidth="1"/>
    <col min="17" max="17" width="16.54296875" style="36" customWidth="1"/>
    <col min="18" max="18" width="12.453125" style="36" customWidth="1"/>
    <col min="19" max="19" width="16.453125" style="36" customWidth="1"/>
  </cols>
  <sheetData>
    <row r="1" spans="1:19" ht="15" customHeight="1" thickBot="1" x14ac:dyDescent="0.4">
      <c r="A1" s="140" t="s">
        <v>75</v>
      </c>
    </row>
    <row r="2" spans="1:19" ht="35" customHeight="1" x14ac:dyDescent="0.35">
      <c r="A2" s="143" t="s">
        <v>0</v>
      </c>
      <c r="B2" s="145" t="s">
        <v>53</v>
      </c>
      <c r="C2" s="141" t="s">
        <v>54</v>
      </c>
      <c r="D2" s="147" t="s">
        <v>55</v>
      </c>
      <c r="E2" s="149" t="s">
        <v>56</v>
      </c>
      <c r="F2" s="150"/>
      <c r="G2" s="150"/>
      <c r="H2" s="151"/>
      <c r="I2" s="141" t="s">
        <v>57</v>
      </c>
      <c r="J2" s="152" t="s">
        <v>1</v>
      </c>
      <c r="K2" s="152" t="s">
        <v>58</v>
      </c>
      <c r="L2" s="152" t="s">
        <v>59</v>
      </c>
      <c r="M2" s="152" t="s">
        <v>60</v>
      </c>
      <c r="N2" s="154" t="s">
        <v>69</v>
      </c>
      <c r="O2" s="152" t="s">
        <v>2</v>
      </c>
      <c r="P2" s="147" t="s">
        <v>68</v>
      </c>
    </row>
    <row r="3" spans="1:19" ht="15" customHeight="1" thickBot="1" x14ac:dyDescent="0.4">
      <c r="A3" s="144"/>
      <c r="B3" s="146"/>
      <c r="C3" s="142"/>
      <c r="D3" s="148"/>
      <c r="E3" s="117" t="s">
        <v>61</v>
      </c>
      <c r="F3" s="118" t="s">
        <v>62</v>
      </c>
      <c r="G3" s="118" t="s">
        <v>63</v>
      </c>
      <c r="H3" s="119" t="s">
        <v>64</v>
      </c>
      <c r="I3" s="142"/>
      <c r="J3" s="153"/>
      <c r="K3" s="153"/>
      <c r="L3" s="153"/>
      <c r="M3" s="153"/>
      <c r="N3" s="155"/>
      <c r="O3" s="153"/>
      <c r="P3" s="148"/>
    </row>
    <row r="4" spans="1:19" ht="15" customHeight="1" thickBot="1" x14ac:dyDescent="0.4">
      <c r="A4" s="121" t="s">
        <v>71</v>
      </c>
      <c r="B4" s="112"/>
      <c r="C4" s="115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</row>
    <row r="5" spans="1:19" ht="14.25" customHeight="1" x14ac:dyDescent="0.35">
      <c r="A5" s="19" t="s">
        <v>3</v>
      </c>
      <c r="B5" s="92">
        <v>3</v>
      </c>
      <c r="C5" s="101" t="s">
        <v>41</v>
      </c>
      <c r="D5" s="91" t="s">
        <v>65</v>
      </c>
      <c r="E5" s="43">
        <v>74</v>
      </c>
      <c r="F5" s="43">
        <v>62</v>
      </c>
      <c r="G5" s="43">
        <v>70</v>
      </c>
      <c r="H5" s="43">
        <v>79</v>
      </c>
      <c r="I5" s="43">
        <f t="shared" ref="I5:I229" si="0">AVERAGE(E5:H5)</f>
        <v>71.25</v>
      </c>
      <c r="J5" s="20">
        <f>I5*2*10000</f>
        <v>1425000</v>
      </c>
      <c r="K5" s="20">
        <v>1290000</v>
      </c>
      <c r="L5" s="20">
        <f>J5*5</f>
        <v>7125000</v>
      </c>
      <c r="M5" s="22">
        <f>I5/(I5+I6)*100</f>
        <v>99.650349650349639</v>
      </c>
      <c r="N5" s="34">
        <f>I7/I5*100</f>
        <v>0.70175438596491224</v>
      </c>
      <c r="O5" s="23">
        <f>3.32*(LOG(L5)-LOG(K5))</f>
        <v>2.4640879258259121</v>
      </c>
      <c r="P5" s="20">
        <v>2.46</v>
      </c>
      <c r="Q5" s="24"/>
      <c r="R5" s="24"/>
      <c r="S5" s="24"/>
    </row>
    <row r="6" spans="1:19" ht="14.25" customHeight="1" x14ac:dyDescent="0.35">
      <c r="A6" s="20"/>
      <c r="B6" s="92"/>
      <c r="C6" s="101"/>
      <c r="D6" s="92" t="s">
        <v>66</v>
      </c>
      <c r="E6" s="43">
        <v>1</v>
      </c>
      <c r="F6" s="43">
        <v>0</v>
      </c>
      <c r="G6" s="43">
        <v>0</v>
      </c>
      <c r="H6" s="43">
        <v>0</v>
      </c>
      <c r="I6" s="43">
        <f t="shared" si="0"/>
        <v>0.25</v>
      </c>
      <c r="J6" s="20"/>
      <c r="K6" s="20"/>
      <c r="L6" s="20"/>
      <c r="M6" s="20"/>
      <c r="N6" s="20"/>
      <c r="O6" s="20"/>
      <c r="P6" s="20"/>
      <c r="Q6" s="24"/>
      <c r="R6" s="24"/>
      <c r="S6" s="24"/>
    </row>
    <row r="7" spans="1:19" ht="14.25" customHeight="1" x14ac:dyDescent="0.35">
      <c r="A7" s="20"/>
      <c r="B7" s="92"/>
      <c r="C7" s="101"/>
      <c r="D7" s="92" t="s">
        <v>67</v>
      </c>
      <c r="E7" s="43">
        <v>1</v>
      </c>
      <c r="F7" s="43">
        <v>0</v>
      </c>
      <c r="G7" s="43">
        <v>1</v>
      </c>
      <c r="H7" s="43">
        <v>0</v>
      </c>
      <c r="I7" s="43">
        <f t="shared" si="0"/>
        <v>0.5</v>
      </c>
      <c r="J7" s="20"/>
      <c r="K7" s="20"/>
      <c r="L7" s="20"/>
      <c r="M7" s="20"/>
      <c r="N7" s="20"/>
      <c r="O7" s="20"/>
      <c r="P7" s="20"/>
      <c r="Q7" s="24"/>
      <c r="R7" s="24"/>
      <c r="S7" s="24"/>
    </row>
    <row r="8" spans="1:19" ht="14.25" customHeight="1" x14ac:dyDescent="0.35">
      <c r="A8" s="19" t="s">
        <v>5</v>
      </c>
      <c r="B8" s="92">
        <v>7</v>
      </c>
      <c r="C8" s="101" t="s">
        <v>41</v>
      </c>
      <c r="D8" s="91" t="s">
        <v>65</v>
      </c>
      <c r="E8" s="43">
        <v>79</v>
      </c>
      <c r="F8" s="43">
        <v>59</v>
      </c>
      <c r="G8" s="43">
        <v>76</v>
      </c>
      <c r="H8" s="43">
        <v>82</v>
      </c>
      <c r="I8" s="43">
        <f t="shared" si="0"/>
        <v>74</v>
      </c>
      <c r="J8" s="20">
        <f>I8*2*10000</f>
        <v>1480000</v>
      </c>
      <c r="K8" s="20">
        <v>3000000</v>
      </c>
      <c r="L8" s="20">
        <f>J8*5</f>
        <v>7400000</v>
      </c>
      <c r="M8" s="22">
        <f>I8/(I8+I9)*100</f>
        <v>99.663299663299668</v>
      </c>
      <c r="N8" s="22">
        <f>I10/I8*100</f>
        <v>0.33783783783783783</v>
      </c>
      <c r="O8" s="23">
        <f>3.32*(LOG(L8)-LOG(K8))</f>
        <v>1.3018067438375611</v>
      </c>
      <c r="P8" s="23">
        <f>P5+O8</f>
        <v>3.7618067438375613</v>
      </c>
      <c r="Q8" s="24"/>
      <c r="R8" s="24"/>
      <c r="S8" s="24"/>
    </row>
    <row r="9" spans="1:19" ht="14.25" customHeight="1" x14ac:dyDescent="0.35">
      <c r="A9" s="20"/>
      <c r="B9" s="92"/>
      <c r="C9" s="101"/>
      <c r="D9" s="92" t="s">
        <v>66</v>
      </c>
      <c r="E9" s="43">
        <v>0</v>
      </c>
      <c r="F9" s="43">
        <v>1</v>
      </c>
      <c r="G9" s="43">
        <v>0</v>
      </c>
      <c r="H9" s="43">
        <v>0</v>
      </c>
      <c r="I9" s="43">
        <f t="shared" si="0"/>
        <v>0.25</v>
      </c>
      <c r="J9" s="20"/>
      <c r="K9" s="20"/>
      <c r="L9" s="20"/>
      <c r="M9" s="20"/>
      <c r="N9" s="20"/>
      <c r="O9" s="20"/>
      <c r="P9" s="20"/>
      <c r="Q9" s="24"/>
      <c r="R9" s="24"/>
      <c r="S9" s="24"/>
    </row>
    <row r="10" spans="1:19" ht="14.25" customHeight="1" x14ac:dyDescent="0.35">
      <c r="A10" s="20"/>
      <c r="B10" s="92"/>
      <c r="C10" s="101"/>
      <c r="D10" s="92" t="s">
        <v>67</v>
      </c>
      <c r="E10" s="43">
        <v>0</v>
      </c>
      <c r="F10" s="43">
        <v>1</v>
      </c>
      <c r="G10" s="43">
        <v>0</v>
      </c>
      <c r="H10" s="43">
        <v>0</v>
      </c>
      <c r="I10" s="43">
        <f t="shared" si="0"/>
        <v>0.25</v>
      </c>
      <c r="J10" s="20"/>
      <c r="K10" s="20"/>
      <c r="L10" s="20"/>
      <c r="M10" s="20"/>
      <c r="N10" s="20"/>
      <c r="O10" s="20"/>
      <c r="P10" s="20"/>
      <c r="Q10" s="24"/>
      <c r="R10" s="24"/>
      <c r="S10" s="24"/>
    </row>
    <row r="11" spans="1:19" ht="14.25" customHeight="1" x14ac:dyDescent="0.35">
      <c r="A11" s="19" t="s">
        <v>6</v>
      </c>
      <c r="B11" s="92">
        <v>10</v>
      </c>
      <c r="C11" s="101" t="s">
        <v>41</v>
      </c>
      <c r="D11" s="91" t="s">
        <v>65</v>
      </c>
      <c r="E11" s="43">
        <v>45</v>
      </c>
      <c r="F11" s="43">
        <v>36</v>
      </c>
      <c r="G11" s="43">
        <v>29</v>
      </c>
      <c r="H11" s="43">
        <v>38</v>
      </c>
      <c r="I11" s="43">
        <f t="shared" si="0"/>
        <v>37</v>
      </c>
      <c r="J11" s="20">
        <f>I11*2*10000</f>
        <v>740000</v>
      </c>
      <c r="K11" s="20">
        <v>3000000</v>
      </c>
      <c r="L11" s="20">
        <f>J11*5</f>
        <v>3700000</v>
      </c>
      <c r="M11" s="22">
        <f>I11/(I11+I12)*100</f>
        <v>98.013245033112582</v>
      </c>
      <c r="N11" s="22">
        <f>I13/I11*100</f>
        <v>0.67567567567567566</v>
      </c>
      <c r="O11" s="23">
        <f>3.32*(LOG(L11)-LOG(K11))</f>
        <v>0.30238715823314349</v>
      </c>
      <c r="P11" s="23">
        <f>P8+O11</f>
        <v>4.0641939020707047</v>
      </c>
      <c r="Q11" s="24"/>
      <c r="R11" s="24"/>
      <c r="S11" s="24"/>
    </row>
    <row r="12" spans="1:19" ht="14.25" customHeight="1" x14ac:dyDescent="0.35">
      <c r="A12" s="20"/>
      <c r="B12" s="92"/>
      <c r="C12" s="101"/>
      <c r="D12" s="92" t="s">
        <v>66</v>
      </c>
      <c r="E12" s="43">
        <v>0</v>
      </c>
      <c r="F12" s="43">
        <v>1</v>
      </c>
      <c r="G12" s="43">
        <v>1</v>
      </c>
      <c r="H12" s="43">
        <v>1</v>
      </c>
      <c r="I12" s="43">
        <f t="shared" si="0"/>
        <v>0.75</v>
      </c>
      <c r="J12" s="20"/>
      <c r="K12" s="20"/>
      <c r="L12" s="20"/>
      <c r="M12" s="20"/>
      <c r="N12" s="20"/>
      <c r="O12" s="20"/>
      <c r="P12" s="20"/>
      <c r="Q12" s="24"/>
      <c r="R12" s="24"/>
      <c r="S12" s="24"/>
    </row>
    <row r="13" spans="1:19" ht="14.25" customHeight="1" x14ac:dyDescent="0.35">
      <c r="A13" s="20"/>
      <c r="B13" s="92"/>
      <c r="C13" s="101"/>
      <c r="D13" s="92" t="s">
        <v>67</v>
      </c>
      <c r="E13" s="43">
        <v>0</v>
      </c>
      <c r="F13" s="43">
        <v>0</v>
      </c>
      <c r="G13" s="43">
        <v>0</v>
      </c>
      <c r="H13" s="43">
        <v>1</v>
      </c>
      <c r="I13" s="43">
        <f t="shared" si="0"/>
        <v>0.25</v>
      </c>
      <c r="J13" s="20"/>
      <c r="K13" s="20"/>
      <c r="L13" s="20"/>
      <c r="M13" s="20"/>
      <c r="N13" s="20"/>
      <c r="O13" s="20"/>
      <c r="P13" s="20"/>
      <c r="Q13" s="24"/>
      <c r="R13" s="24"/>
      <c r="S13" s="24"/>
    </row>
    <row r="14" spans="1:19" ht="14.25" customHeight="1" x14ac:dyDescent="0.35">
      <c r="A14" s="19" t="s">
        <v>7</v>
      </c>
      <c r="B14" s="92">
        <v>14</v>
      </c>
      <c r="C14" s="101" t="s">
        <v>41</v>
      </c>
      <c r="D14" s="91" t="s">
        <v>65</v>
      </c>
      <c r="E14" s="43">
        <v>27</v>
      </c>
      <c r="F14" s="43">
        <v>18</v>
      </c>
      <c r="G14" s="43">
        <v>37</v>
      </c>
      <c r="H14" s="43">
        <v>28</v>
      </c>
      <c r="I14" s="43">
        <f t="shared" si="0"/>
        <v>27.5</v>
      </c>
      <c r="J14" s="20">
        <f>I14*2*10000</f>
        <v>550000</v>
      </c>
      <c r="K14" s="20">
        <v>3000000</v>
      </c>
      <c r="L14" s="20">
        <f>J14*5</f>
        <v>2750000</v>
      </c>
      <c r="M14" s="22">
        <f>I14/(I14+I15)*100</f>
        <v>97.345132743362825</v>
      </c>
      <c r="N14" s="22">
        <f>I16/I14*100</f>
        <v>0</v>
      </c>
      <c r="O14" s="23">
        <f>3.32*(LOG(L14)-LOG(K14))</f>
        <v>-0.12545802215280716</v>
      </c>
      <c r="P14" s="23">
        <f>P11</f>
        <v>4.0641939020707047</v>
      </c>
      <c r="Q14" s="24"/>
      <c r="R14" s="24"/>
      <c r="S14" s="24"/>
    </row>
    <row r="15" spans="1:19" ht="14.25" customHeight="1" x14ac:dyDescent="0.35">
      <c r="A15" s="20"/>
      <c r="B15" s="92"/>
      <c r="C15" s="101"/>
      <c r="D15" s="92" t="s">
        <v>66</v>
      </c>
      <c r="E15" s="43">
        <v>0</v>
      </c>
      <c r="F15" s="43">
        <v>1</v>
      </c>
      <c r="G15" s="43">
        <v>1</v>
      </c>
      <c r="H15" s="43">
        <v>1</v>
      </c>
      <c r="I15" s="43">
        <f t="shared" si="0"/>
        <v>0.75</v>
      </c>
      <c r="J15" s="20"/>
      <c r="K15" s="20"/>
      <c r="L15" s="20"/>
      <c r="M15" s="20"/>
      <c r="N15" s="20"/>
      <c r="O15" s="20"/>
      <c r="P15" s="20"/>
      <c r="Q15" s="24"/>
      <c r="R15" s="24"/>
      <c r="S15" s="24"/>
    </row>
    <row r="16" spans="1:19" ht="14.25" customHeight="1" x14ac:dyDescent="0.35">
      <c r="A16" s="20"/>
      <c r="B16" s="92"/>
      <c r="C16" s="101"/>
      <c r="D16" s="92" t="s">
        <v>67</v>
      </c>
      <c r="E16" s="43">
        <v>0</v>
      </c>
      <c r="F16" s="43">
        <v>0</v>
      </c>
      <c r="G16" s="43">
        <v>0</v>
      </c>
      <c r="H16" s="43">
        <v>0</v>
      </c>
      <c r="I16" s="43">
        <f t="shared" si="0"/>
        <v>0</v>
      </c>
      <c r="J16" s="20"/>
      <c r="K16" s="20"/>
      <c r="L16" s="20"/>
      <c r="M16" s="20"/>
      <c r="N16" s="20"/>
      <c r="O16" s="20"/>
      <c r="P16" s="20"/>
      <c r="Q16" s="24"/>
      <c r="R16" s="24"/>
      <c r="S16" s="24"/>
    </row>
    <row r="17" spans="1:19" ht="14.25" customHeight="1" x14ac:dyDescent="0.35">
      <c r="A17" s="19" t="s">
        <v>8</v>
      </c>
      <c r="B17" s="92">
        <v>21</v>
      </c>
      <c r="C17" s="101" t="s">
        <v>41</v>
      </c>
      <c r="D17" s="91" t="s">
        <v>65</v>
      </c>
      <c r="E17" s="43">
        <v>66</v>
      </c>
      <c r="F17" s="43">
        <v>45</v>
      </c>
      <c r="G17" s="43">
        <v>55</v>
      </c>
      <c r="H17" s="43">
        <v>69</v>
      </c>
      <c r="I17" s="43">
        <f t="shared" si="0"/>
        <v>58.75</v>
      </c>
      <c r="J17" s="20">
        <f>I17*2*10000</f>
        <v>1175000</v>
      </c>
      <c r="K17" s="20">
        <v>2750000</v>
      </c>
      <c r="L17" s="20">
        <f>J17*5</f>
        <v>5875000</v>
      </c>
      <c r="M17" s="22">
        <f>I17/(I17+I18)*100</f>
        <v>93.253968253968253</v>
      </c>
      <c r="N17" s="22">
        <f>I19/I17*100</f>
        <v>0</v>
      </c>
      <c r="O17" s="23">
        <f>3.32*(LOG(L17)-LOG(K17))</f>
        <v>1.0945215880168577</v>
      </c>
      <c r="P17" s="23">
        <f>P14+O17</f>
        <v>5.1587154900875625</v>
      </c>
      <c r="Q17" s="24"/>
      <c r="R17" s="24"/>
      <c r="S17" s="24"/>
    </row>
    <row r="18" spans="1:19" ht="14.25" customHeight="1" x14ac:dyDescent="0.35">
      <c r="A18" s="20"/>
      <c r="B18" s="92"/>
      <c r="C18" s="101"/>
      <c r="D18" s="92" t="s">
        <v>66</v>
      </c>
      <c r="E18" s="43">
        <v>3</v>
      </c>
      <c r="F18" s="43">
        <v>4</v>
      </c>
      <c r="G18" s="43">
        <v>4</v>
      </c>
      <c r="H18" s="43">
        <v>6</v>
      </c>
      <c r="I18" s="43">
        <f t="shared" si="0"/>
        <v>4.25</v>
      </c>
      <c r="J18" s="20"/>
      <c r="K18" s="20"/>
      <c r="L18" s="20"/>
      <c r="M18" s="20"/>
      <c r="N18" s="20"/>
      <c r="O18" s="20"/>
      <c r="P18" s="20"/>
      <c r="Q18" s="24"/>
      <c r="R18" s="24"/>
      <c r="S18" s="24"/>
    </row>
    <row r="19" spans="1:19" ht="14.25" customHeight="1" x14ac:dyDescent="0.35">
      <c r="A19" s="20"/>
      <c r="B19" s="92"/>
      <c r="C19" s="101"/>
      <c r="D19" s="92" t="s">
        <v>67</v>
      </c>
      <c r="E19" s="43">
        <v>0</v>
      </c>
      <c r="F19" s="43">
        <v>0</v>
      </c>
      <c r="G19" s="43">
        <v>0</v>
      </c>
      <c r="H19" s="43">
        <v>0</v>
      </c>
      <c r="I19" s="43">
        <f t="shared" si="0"/>
        <v>0</v>
      </c>
      <c r="J19" s="20"/>
      <c r="K19" s="20"/>
      <c r="L19" s="20"/>
      <c r="M19" s="20"/>
      <c r="N19" s="20"/>
      <c r="O19" s="20"/>
      <c r="P19" s="20"/>
      <c r="Q19" s="24"/>
      <c r="R19" s="24"/>
      <c r="S19" s="24"/>
    </row>
    <row r="20" spans="1:19" ht="14.25" customHeight="1" x14ac:dyDescent="0.35">
      <c r="A20" s="19" t="s">
        <v>9</v>
      </c>
      <c r="B20" s="92">
        <v>28</v>
      </c>
      <c r="C20" s="101" t="s">
        <v>41</v>
      </c>
      <c r="D20" s="91" t="s">
        <v>65</v>
      </c>
      <c r="E20" s="43">
        <v>63</v>
      </c>
      <c r="F20" s="43">
        <v>53</v>
      </c>
      <c r="G20" s="43">
        <v>60</v>
      </c>
      <c r="H20" s="43">
        <v>51</v>
      </c>
      <c r="I20" s="43">
        <f t="shared" si="0"/>
        <v>56.75</v>
      </c>
      <c r="J20" s="20">
        <f>I20*2*10000</f>
        <v>1135000</v>
      </c>
      <c r="K20" s="20">
        <v>3000000</v>
      </c>
      <c r="L20" s="20">
        <f>J20*5</f>
        <v>5675000</v>
      </c>
      <c r="M20" s="22">
        <f>I20/(I20+I21)*100</f>
        <v>90.8</v>
      </c>
      <c r="N20" s="22">
        <f>I22/I20*100</f>
        <v>1.3215859030837005</v>
      </c>
      <c r="O20" s="23">
        <f>3.32*(LOG(L20)-LOG(K20))</f>
        <v>0.9191241090030513</v>
      </c>
      <c r="P20" s="23">
        <f>P17+O20</f>
        <v>6.0778395990906136</v>
      </c>
      <c r="Q20" s="24"/>
      <c r="R20" s="24"/>
      <c r="S20" s="24"/>
    </row>
    <row r="21" spans="1:19" ht="14.25" customHeight="1" x14ac:dyDescent="0.35">
      <c r="A21" s="20"/>
      <c r="B21" s="92"/>
      <c r="C21" s="101"/>
      <c r="D21" s="92" t="s">
        <v>66</v>
      </c>
      <c r="E21" s="43">
        <v>5</v>
      </c>
      <c r="F21" s="43">
        <v>5</v>
      </c>
      <c r="G21" s="43">
        <v>5</v>
      </c>
      <c r="H21" s="43">
        <v>8</v>
      </c>
      <c r="I21" s="43">
        <f t="shared" si="0"/>
        <v>5.75</v>
      </c>
      <c r="J21" s="20"/>
      <c r="K21" s="20"/>
      <c r="L21" s="20"/>
      <c r="M21" s="20"/>
      <c r="N21" s="20"/>
      <c r="O21" s="20"/>
      <c r="P21" s="20"/>
      <c r="Q21" s="24"/>
      <c r="R21" s="24"/>
      <c r="S21" s="24"/>
    </row>
    <row r="22" spans="1:19" ht="14.25" customHeight="1" x14ac:dyDescent="0.35">
      <c r="A22" s="20"/>
      <c r="B22" s="92"/>
      <c r="C22" s="101"/>
      <c r="D22" s="92" t="s">
        <v>67</v>
      </c>
      <c r="E22" s="43">
        <v>1</v>
      </c>
      <c r="F22" s="43">
        <v>1</v>
      </c>
      <c r="G22" s="43">
        <v>0</v>
      </c>
      <c r="H22" s="43">
        <v>1</v>
      </c>
      <c r="I22" s="43">
        <f t="shared" si="0"/>
        <v>0.75</v>
      </c>
      <c r="J22" s="20"/>
      <c r="K22" s="20"/>
      <c r="L22" s="20"/>
      <c r="M22" s="20"/>
      <c r="N22" s="20"/>
      <c r="O22" s="20"/>
      <c r="P22" s="20"/>
      <c r="Q22" s="24"/>
      <c r="R22" s="24"/>
      <c r="S22" s="24"/>
    </row>
    <row r="23" spans="1:19" ht="14.25" customHeight="1" x14ac:dyDescent="0.35">
      <c r="A23" s="19" t="s">
        <v>10</v>
      </c>
      <c r="B23" s="92">
        <v>35</v>
      </c>
      <c r="C23" s="101" t="s">
        <v>41</v>
      </c>
      <c r="D23" s="91" t="s">
        <v>65</v>
      </c>
      <c r="E23" s="43">
        <v>38</v>
      </c>
      <c r="F23" s="43">
        <v>39</v>
      </c>
      <c r="G23" s="43">
        <v>49</v>
      </c>
      <c r="H23" s="43">
        <v>51</v>
      </c>
      <c r="I23" s="43">
        <f t="shared" si="0"/>
        <v>44.25</v>
      </c>
      <c r="J23" s="20">
        <f>I23*2*10000</f>
        <v>885000</v>
      </c>
      <c r="K23" s="20">
        <v>3000000</v>
      </c>
      <c r="L23" s="20">
        <f>J23*5</f>
        <v>4425000</v>
      </c>
      <c r="M23" s="22">
        <f>I23/(I23+I24)*100</f>
        <v>91.709844559585491</v>
      </c>
      <c r="N23" s="22">
        <f>I25/I23*100</f>
        <v>3.9548022598870061</v>
      </c>
      <c r="O23" s="23">
        <f>3.32*(LOG(L23)-LOG(K23))</f>
        <v>0.5603895074430818</v>
      </c>
      <c r="P23" s="23">
        <f>P20+O23</f>
        <v>6.6382291065336956</v>
      </c>
      <c r="Q23" s="24"/>
      <c r="R23" s="24"/>
      <c r="S23" s="24"/>
    </row>
    <row r="24" spans="1:19" ht="14.25" customHeight="1" x14ac:dyDescent="0.35">
      <c r="A24" s="20"/>
      <c r="B24" s="92"/>
      <c r="C24" s="101"/>
      <c r="D24" s="92" t="s">
        <v>66</v>
      </c>
      <c r="E24" s="43">
        <v>4</v>
      </c>
      <c r="F24" s="43">
        <v>3</v>
      </c>
      <c r="G24" s="43">
        <v>6</v>
      </c>
      <c r="H24" s="43">
        <v>3</v>
      </c>
      <c r="I24" s="43">
        <f t="shared" si="0"/>
        <v>4</v>
      </c>
      <c r="J24" s="20"/>
      <c r="K24" s="20"/>
      <c r="L24" s="20"/>
      <c r="M24" s="20"/>
      <c r="N24" s="20"/>
      <c r="O24" s="20"/>
      <c r="P24" s="20"/>
      <c r="Q24" s="24"/>
      <c r="R24" s="24"/>
      <c r="S24" s="24"/>
    </row>
    <row r="25" spans="1:19" ht="14.25" customHeight="1" x14ac:dyDescent="0.35">
      <c r="A25" s="20"/>
      <c r="B25" s="92"/>
      <c r="C25" s="101"/>
      <c r="D25" s="92" t="s">
        <v>67</v>
      </c>
      <c r="E25" s="43">
        <v>2</v>
      </c>
      <c r="F25" s="43">
        <v>2</v>
      </c>
      <c r="G25" s="43">
        <v>0</v>
      </c>
      <c r="H25" s="43">
        <v>3</v>
      </c>
      <c r="I25" s="43">
        <f t="shared" si="0"/>
        <v>1.75</v>
      </c>
      <c r="J25" s="20"/>
      <c r="K25" s="20"/>
      <c r="L25" s="20"/>
      <c r="M25" s="20"/>
      <c r="N25" s="20"/>
      <c r="O25" s="20"/>
      <c r="P25" s="20"/>
      <c r="Q25" s="24"/>
      <c r="R25" s="24"/>
      <c r="S25" s="24"/>
    </row>
    <row r="26" spans="1:19" ht="14.25" customHeight="1" x14ac:dyDescent="0.35">
      <c r="A26" s="19" t="s">
        <v>11</v>
      </c>
      <c r="B26" s="92">
        <v>42</v>
      </c>
      <c r="C26" s="101" t="s">
        <v>41</v>
      </c>
      <c r="D26" s="91" t="s">
        <v>65</v>
      </c>
      <c r="E26" s="43">
        <v>38</v>
      </c>
      <c r="F26" s="43">
        <v>29</v>
      </c>
      <c r="G26" s="43">
        <v>40</v>
      </c>
      <c r="H26" s="43">
        <v>39</v>
      </c>
      <c r="I26" s="43">
        <f t="shared" si="0"/>
        <v>36.5</v>
      </c>
      <c r="J26" s="20">
        <f>I26*2*10000</f>
        <v>730000</v>
      </c>
      <c r="K26" s="20">
        <v>3000000</v>
      </c>
      <c r="L26" s="20">
        <f>J26*5</f>
        <v>3650000</v>
      </c>
      <c r="M26" s="22">
        <f>I26/(I26+I27)*100</f>
        <v>83.908045977011497</v>
      </c>
      <c r="N26" s="22">
        <f>I28/I26*100</f>
        <v>1.3698630136986301</v>
      </c>
      <c r="O26" s="23">
        <f>3.32*(LOG(L26)-LOG(K26))</f>
        <v>0.28276974432621593</v>
      </c>
      <c r="P26" s="23">
        <f>P23+O26</f>
        <v>6.9209988508599114</v>
      </c>
      <c r="Q26" s="24"/>
      <c r="R26" s="24"/>
      <c r="S26" s="24"/>
    </row>
    <row r="27" spans="1:19" ht="14.25" customHeight="1" x14ac:dyDescent="0.35">
      <c r="A27" s="20"/>
      <c r="B27" s="92"/>
      <c r="C27" s="101"/>
      <c r="D27" s="92" t="s">
        <v>66</v>
      </c>
      <c r="E27" s="43">
        <v>7</v>
      </c>
      <c r="F27" s="43">
        <v>8</v>
      </c>
      <c r="G27" s="43">
        <v>6</v>
      </c>
      <c r="H27" s="43">
        <v>7</v>
      </c>
      <c r="I27" s="43">
        <f t="shared" si="0"/>
        <v>7</v>
      </c>
      <c r="J27" s="20"/>
      <c r="K27" s="20"/>
      <c r="L27" s="20"/>
      <c r="M27" s="20"/>
      <c r="N27" s="20"/>
      <c r="O27" s="20"/>
      <c r="P27" s="20"/>
      <c r="Q27" s="24"/>
      <c r="R27" s="24"/>
      <c r="S27" s="24"/>
    </row>
    <row r="28" spans="1:19" ht="14.25" customHeight="1" x14ac:dyDescent="0.35">
      <c r="A28" s="20"/>
      <c r="B28" s="92"/>
      <c r="C28" s="101"/>
      <c r="D28" s="92" t="s">
        <v>67</v>
      </c>
      <c r="E28" s="43">
        <v>1</v>
      </c>
      <c r="F28" s="43">
        <v>0</v>
      </c>
      <c r="G28" s="43">
        <v>0</v>
      </c>
      <c r="H28" s="43">
        <v>1</v>
      </c>
      <c r="I28" s="43">
        <f t="shared" si="0"/>
        <v>0.5</v>
      </c>
      <c r="J28" s="20"/>
      <c r="K28" s="20"/>
      <c r="L28" s="20"/>
      <c r="M28" s="20"/>
      <c r="N28" s="20"/>
      <c r="O28" s="20"/>
      <c r="P28" s="20"/>
      <c r="Q28" s="24"/>
      <c r="R28" s="24"/>
      <c r="S28" s="24"/>
    </row>
    <row r="29" spans="1:19" ht="14.25" customHeight="1" x14ac:dyDescent="0.35">
      <c r="A29" s="19" t="s">
        <v>12</v>
      </c>
      <c r="B29" s="92">
        <v>49</v>
      </c>
      <c r="C29" s="101" t="s">
        <v>41</v>
      </c>
      <c r="D29" s="91" t="s">
        <v>65</v>
      </c>
      <c r="E29" s="43">
        <v>40</v>
      </c>
      <c r="F29" s="43">
        <v>26</v>
      </c>
      <c r="G29" s="43">
        <v>42</v>
      </c>
      <c r="H29" s="43">
        <v>29</v>
      </c>
      <c r="I29" s="43">
        <f t="shared" si="0"/>
        <v>34.25</v>
      </c>
      <c r="J29" s="20">
        <f>I29*2*10000</f>
        <v>685000</v>
      </c>
      <c r="K29" s="20">
        <v>3000000</v>
      </c>
      <c r="L29" s="20">
        <f>J29*5</f>
        <v>3425000</v>
      </c>
      <c r="M29" s="22">
        <f>I29/(I29+I30)*100</f>
        <v>91.946308724832221</v>
      </c>
      <c r="N29" s="22">
        <f>I31/I29*100</f>
        <v>2.9197080291970803</v>
      </c>
      <c r="O29" s="23">
        <f>3.32*(LOG(L29)-LOG(K29))</f>
        <v>0.1910305460811548</v>
      </c>
      <c r="P29" s="23">
        <f>P26+O29</f>
        <v>7.1120293969410664</v>
      </c>
      <c r="Q29" s="24"/>
      <c r="R29" s="24"/>
      <c r="S29" s="24"/>
    </row>
    <row r="30" spans="1:19" ht="14.25" customHeight="1" x14ac:dyDescent="0.35">
      <c r="A30" s="20"/>
      <c r="B30" s="92"/>
      <c r="C30" s="101"/>
      <c r="D30" s="92" t="s">
        <v>66</v>
      </c>
      <c r="E30" s="43">
        <v>4</v>
      </c>
      <c r="F30" s="43">
        <v>3</v>
      </c>
      <c r="G30" s="43">
        <v>3</v>
      </c>
      <c r="H30" s="43">
        <v>2</v>
      </c>
      <c r="I30" s="43">
        <f t="shared" si="0"/>
        <v>3</v>
      </c>
      <c r="J30" s="20"/>
      <c r="K30" s="20"/>
      <c r="L30" s="20"/>
      <c r="M30" s="20"/>
      <c r="N30" s="20"/>
      <c r="O30" s="20"/>
      <c r="P30" s="20"/>
      <c r="Q30" s="24"/>
      <c r="R30" s="24"/>
      <c r="S30" s="24"/>
    </row>
    <row r="31" spans="1:19" ht="14.25" customHeight="1" x14ac:dyDescent="0.35">
      <c r="A31" s="20"/>
      <c r="B31" s="92"/>
      <c r="C31" s="101"/>
      <c r="D31" s="92" t="s">
        <v>67</v>
      </c>
      <c r="E31" s="43">
        <v>0</v>
      </c>
      <c r="F31" s="43">
        <v>0</v>
      </c>
      <c r="G31" s="43">
        <v>3</v>
      </c>
      <c r="H31" s="43">
        <v>1</v>
      </c>
      <c r="I31" s="43">
        <f t="shared" si="0"/>
        <v>1</v>
      </c>
      <c r="J31" s="20"/>
      <c r="K31" s="20"/>
      <c r="L31" s="20"/>
      <c r="M31" s="20"/>
      <c r="N31" s="20"/>
      <c r="O31" s="20"/>
      <c r="P31" s="20"/>
      <c r="Q31" s="24"/>
      <c r="R31" s="24"/>
      <c r="S31" s="24"/>
    </row>
    <row r="32" spans="1:19" ht="14.25" customHeight="1" x14ac:dyDescent="0.35">
      <c r="A32" s="19" t="s">
        <v>13</v>
      </c>
      <c r="B32" s="92">
        <v>56</v>
      </c>
      <c r="C32" s="101" t="s">
        <v>41</v>
      </c>
      <c r="D32" s="91" t="s">
        <v>65</v>
      </c>
      <c r="E32" s="43">
        <v>30</v>
      </c>
      <c r="F32" s="43">
        <v>30</v>
      </c>
      <c r="G32" s="43">
        <v>23</v>
      </c>
      <c r="H32" s="43">
        <v>34</v>
      </c>
      <c r="I32" s="43">
        <f t="shared" si="0"/>
        <v>29.25</v>
      </c>
      <c r="J32" s="20">
        <f>I32*2*10000</f>
        <v>585000</v>
      </c>
      <c r="K32" s="20">
        <v>3000000</v>
      </c>
      <c r="L32" s="20">
        <f>J32*5</f>
        <v>2925000</v>
      </c>
      <c r="M32" s="22">
        <f>I32/(I32+I33)*100</f>
        <v>85.40145985401459</v>
      </c>
      <c r="N32" s="22">
        <f>I34/I32*100</f>
        <v>8.5470085470085468</v>
      </c>
      <c r="O32" s="23">
        <f>3.32*(LOG(L32)-LOG(K32))</f>
        <v>-3.6504675880857033E-2</v>
      </c>
      <c r="P32" s="23">
        <f>P29</f>
        <v>7.1120293969410664</v>
      </c>
      <c r="Q32" s="24"/>
      <c r="R32" s="24"/>
      <c r="S32" s="24"/>
    </row>
    <row r="33" spans="1:19" ht="14.25" customHeight="1" x14ac:dyDescent="0.35">
      <c r="A33" s="20"/>
      <c r="B33" s="92"/>
      <c r="C33" s="101"/>
      <c r="D33" s="92" t="s">
        <v>66</v>
      </c>
      <c r="E33" s="43">
        <v>7</v>
      </c>
      <c r="F33" s="43">
        <v>5</v>
      </c>
      <c r="G33" s="43">
        <v>4</v>
      </c>
      <c r="H33" s="43">
        <v>4</v>
      </c>
      <c r="I33" s="43">
        <f t="shared" si="0"/>
        <v>5</v>
      </c>
      <c r="J33" s="20"/>
      <c r="K33" s="20"/>
      <c r="L33" s="20"/>
      <c r="M33" s="20"/>
      <c r="N33" s="20"/>
      <c r="O33" s="20"/>
      <c r="P33" s="20"/>
      <c r="Q33" s="24"/>
      <c r="R33" s="24"/>
      <c r="S33" s="24"/>
    </row>
    <row r="34" spans="1:19" ht="14.25" customHeight="1" x14ac:dyDescent="0.35">
      <c r="A34" s="20"/>
      <c r="B34" s="92"/>
      <c r="C34" s="101"/>
      <c r="D34" s="92" t="s">
        <v>67</v>
      </c>
      <c r="E34" s="43">
        <v>3</v>
      </c>
      <c r="F34" s="43">
        <v>5</v>
      </c>
      <c r="G34" s="43">
        <v>2</v>
      </c>
      <c r="H34" s="43">
        <v>0</v>
      </c>
      <c r="I34" s="43">
        <f t="shared" si="0"/>
        <v>2.5</v>
      </c>
      <c r="J34" s="20"/>
      <c r="K34" s="20"/>
      <c r="L34" s="20"/>
      <c r="M34" s="20"/>
      <c r="N34" s="20"/>
      <c r="O34" s="20"/>
      <c r="P34" s="20"/>
      <c r="Q34" s="24"/>
      <c r="R34" s="24"/>
      <c r="S34" s="24"/>
    </row>
    <row r="35" spans="1:19" ht="14.25" customHeight="1" x14ac:dyDescent="0.35">
      <c r="A35" s="19" t="s">
        <v>14</v>
      </c>
      <c r="B35" s="92">
        <v>63</v>
      </c>
      <c r="C35" s="101" t="s">
        <v>41</v>
      </c>
      <c r="D35" s="91" t="s">
        <v>65</v>
      </c>
      <c r="E35" s="43">
        <v>23</v>
      </c>
      <c r="F35" s="43">
        <v>33</v>
      </c>
      <c r="G35" s="43">
        <v>30</v>
      </c>
      <c r="H35" s="43">
        <v>32</v>
      </c>
      <c r="I35" s="43">
        <f t="shared" si="0"/>
        <v>29.5</v>
      </c>
      <c r="J35" s="20">
        <f>I35*2*10000</f>
        <v>590000</v>
      </c>
      <c r="K35" s="20">
        <v>2925000</v>
      </c>
      <c r="L35" s="20">
        <f>J35*5</f>
        <v>2950000</v>
      </c>
      <c r="M35" s="22">
        <f>I35/(I35+I36)*100</f>
        <v>75.159235668789819</v>
      </c>
      <c r="N35" s="22">
        <f>I37/I35*100</f>
        <v>11.016949152542372</v>
      </c>
      <c r="O35" s="23">
        <f>3.32*(LOG(L35)-LOG(K35))</f>
        <v>1.2271203259079754E-2</v>
      </c>
      <c r="P35" s="23">
        <f>P32+O35</f>
        <v>7.1243006002001463</v>
      </c>
      <c r="Q35" s="24"/>
      <c r="R35" s="24"/>
      <c r="S35" s="24"/>
    </row>
    <row r="36" spans="1:19" ht="14.25" customHeight="1" x14ac:dyDescent="0.35">
      <c r="A36" s="20"/>
      <c r="B36" s="92"/>
      <c r="C36" s="101"/>
      <c r="D36" s="92" t="s">
        <v>66</v>
      </c>
      <c r="E36" s="43">
        <v>10</v>
      </c>
      <c r="F36" s="43">
        <v>9</v>
      </c>
      <c r="G36" s="43">
        <v>9</v>
      </c>
      <c r="H36" s="43">
        <v>11</v>
      </c>
      <c r="I36" s="43">
        <f t="shared" si="0"/>
        <v>9.75</v>
      </c>
      <c r="J36" s="20"/>
      <c r="K36" s="20"/>
      <c r="L36" s="20"/>
      <c r="M36" s="20"/>
      <c r="N36" s="20"/>
      <c r="O36" s="20"/>
      <c r="P36" s="20"/>
      <c r="Q36" s="24"/>
      <c r="R36" s="24"/>
      <c r="S36" s="24"/>
    </row>
    <row r="37" spans="1:19" ht="14.25" customHeight="1" x14ac:dyDescent="0.35">
      <c r="A37" s="20"/>
      <c r="B37" s="92"/>
      <c r="C37" s="101"/>
      <c r="D37" s="92" t="s">
        <v>67</v>
      </c>
      <c r="E37" s="43">
        <v>2</v>
      </c>
      <c r="F37" s="43">
        <v>4</v>
      </c>
      <c r="G37" s="43">
        <v>3</v>
      </c>
      <c r="H37" s="43">
        <v>4</v>
      </c>
      <c r="I37" s="43">
        <f t="shared" si="0"/>
        <v>3.25</v>
      </c>
      <c r="J37" s="20"/>
      <c r="K37" s="20"/>
      <c r="L37" s="20"/>
      <c r="M37" s="20"/>
      <c r="N37" s="20"/>
      <c r="O37" s="20"/>
      <c r="P37" s="20"/>
      <c r="Q37" s="24"/>
      <c r="R37" s="24"/>
      <c r="S37" s="24"/>
    </row>
    <row r="38" spans="1:19" ht="14.25" customHeight="1" x14ac:dyDescent="0.35">
      <c r="A38" s="19" t="s">
        <v>15</v>
      </c>
      <c r="B38" s="92">
        <v>70</v>
      </c>
      <c r="C38" s="101" t="s">
        <v>41</v>
      </c>
      <c r="D38" s="91" t="s">
        <v>65</v>
      </c>
      <c r="E38" s="43">
        <v>34</v>
      </c>
      <c r="F38" s="43">
        <v>34</v>
      </c>
      <c r="G38" s="43">
        <v>38</v>
      </c>
      <c r="H38" s="43">
        <v>30</v>
      </c>
      <c r="I38" s="43">
        <f t="shared" si="0"/>
        <v>34</v>
      </c>
      <c r="J38" s="20">
        <f>I38*2*10000</f>
        <v>680000</v>
      </c>
      <c r="K38" s="20">
        <v>2925000</v>
      </c>
      <c r="L38" s="20">
        <f>J38*5</f>
        <v>3400000</v>
      </c>
      <c r="M38" s="22">
        <f>I38/(I38+I39)*100</f>
        <v>80</v>
      </c>
      <c r="N38" s="22">
        <f>I40/I38*100</f>
        <v>19.852941176470587</v>
      </c>
      <c r="O38" s="23">
        <f>3.32*(LOG(L38)-LOG(K38))</f>
        <v>0.21697211479186498</v>
      </c>
      <c r="P38" s="23">
        <f>P35+O38</f>
        <v>7.3412727149920114</v>
      </c>
      <c r="Q38" s="24"/>
      <c r="R38" s="24"/>
      <c r="S38" s="24"/>
    </row>
    <row r="39" spans="1:19" ht="14.25" customHeight="1" x14ac:dyDescent="0.35">
      <c r="A39" s="20"/>
      <c r="B39" s="92"/>
      <c r="C39" s="101"/>
      <c r="D39" s="92" t="s">
        <v>66</v>
      </c>
      <c r="E39" s="43">
        <v>7</v>
      </c>
      <c r="F39" s="43">
        <v>9</v>
      </c>
      <c r="G39" s="43">
        <v>8</v>
      </c>
      <c r="H39" s="43">
        <v>10</v>
      </c>
      <c r="I39" s="43">
        <f t="shared" si="0"/>
        <v>8.5</v>
      </c>
      <c r="J39" s="20"/>
      <c r="K39" s="20"/>
      <c r="L39" s="20"/>
      <c r="M39" s="20"/>
      <c r="N39" s="20"/>
      <c r="O39" s="20"/>
      <c r="P39" s="20"/>
      <c r="Q39" s="24"/>
      <c r="R39" s="24"/>
      <c r="S39" s="24"/>
    </row>
    <row r="40" spans="1:19" ht="14.25" customHeight="1" x14ac:dyDescent="0.35">
      <c r="A40" s="20"/>
      <c r="B40" s="92"/>
      <c r="C40" s="101"/>
      <c r="D40" s="92" t="s">
        <v>67</v>
      </c>
      <c r="E40" s="43">
        <v>9</v>
      </c>
      <c r="F40" s="43">
        <v>6</v>
      </c>
      <c r="G40" s="43">
        <v>8</v>
      </c>
      <c r="H40" s="43">
        <v>4</v>
      </c>
      <c r="I40" s="43">
        <f t="shared" si="0"/>
        <v>6.75</v>
      </c>
      <c r="J40" s="20"/>
      <c r="K40" s="20"/>
      <c r="L40" s="20"/>
      <c r="M40" s="20"/>
      <c r="N40" s="20"/>
      <c r="O40" s="20"/>
      <c r="P40" s="20"/>
      <c r="Q40" s="24"/>
      <c r="R40" s="24"/>
      <c r="S40" s="24"/>
    </row>
    <row r="41" spans="1:19" ht="14.25" customHeight="1" x14ac:dyDescent="0.35">
      <c r="A41" s="19" t="s">
        <v>16</v>
      </c>
      <c r="B41" s="92">
        <v>77</v>
      </c>
      <c r="C41" s="101" t="s">
        <v>41</v>
      </c>
      <c r="D41" s="91" t="s">
        <v>65</v>
      </c>
      <c r="E41" s="43">
        <v>51</v>
      </c>
      <c r="F41" s="43">
        <v>45</v>
      </c>
      <c r="G41" s="43">
        <v>48</v>
      </c>
      <c r="H41" s="43">
        <v>40</v>
      </c>
      <c r="I41" s="43">
        <f t="shared" si="0"/>
        <v>46</v>
      </c>
      <c r="J41" s="20">
        <f>I41*2*10000</f>
        <v>920000</v>
      </c>
      <c r="K41" s="20">
        <v>3000000</v>
      </c>
      <c r="L41" s="20">
        <f>J41*5</f>
        <v>4600000</v>
      </c>
      <c r="M41" s="22">
        <f>I41/(I41+I42)*100</f>
        <v>84.792626728110605</v>
      </c>
      <c r="N41" s="22">
        <f>I43/I41*100</f>
        <v>7.0652173913043477</v>
      </c>
      <c r="O41" s="23">
        <f>3.32*(LOG(L41)-LOG(K41))</f>
        <v>0.61631343551354689</v>
      </c>
      <c r="P41" s="23">
        <f>P38+O41</f>
        <v>7.9575861505055583</v>
      </c>
      <c r="Q41" s="24"/>
      <c r="R41" s="24"/>
      <c r="S41" s="24"/>
    </row>
    <row r="42" spans="1:19" ht="14.25" customHeight="1" x14ac:dyDescent="0.35">
      <c r="A42" s="20"/>
      <c r="B42" s="92"/>
      <c r="C42" s="101"/>
      <c r="D42" s="92" t="s">
        <v>66</v>
      </c>
      <c r="E42" s="43">
        <v>5</v>
      </c>
      <c r="F42" s="43">
        <v>10</v>
      </c>
      <c r="G42" s="43">
        <v>7</v>
      </c>
      <c r="H42" s="43">
        <v>11</v>
      </c>
      <c r="I42" s="43">
        <f t="shared" si="0"/>
        <v>8.25</v>
      </c>
      <c r="J42" s="20"/>
      <c r="K42" s="20"/>
      <c r="L42" s="20"/>
      <c r="M42" s="20"/>
      <c r="N42" s="20"/>
      <c r="O42" s="20"/>
      <c r="P42" s="20"/>
      <c r="Q42" s="24"/>
      <c r="R42" s="24"/>
      <c r="S42" s="24"/>
    </row>
    <row r="43" spans="1:19" ht="14.25" customHeight="1" x14ac:dyDescent="0.35">
      <c r="A43" s="20"/>
      <c r="B43" s="92"/>
      <c r="C43" s="101"/>
      <c r="D43" s="92" t="s">
        <v>67</v>
      </c>
      <c r="E43" s="43">
        <v>9</v>
      </c>
      <c r="F43" s="43">
        <v>1</v>
      </c>
      <c r="G43" s="43">
        <v>2</v>
      </c>
      <c r="H43" s="43">
        <v>1</v>
      </c>
      <c r="I43" s="43">
        <f t="shared" si="0"/>
        <v>3.25</v>
      </c>
      <c r="J43" s="20"/>
      <c r="K43" s="20"/>
      <c r="L43" s="20"/>
      <c r="M43" s="20"/>
      <c r="N43" s="20"/>
      <c r="O43" s="20"/>
      <c r="P43" s="20"/>
      <c r="Q43" s="24"/>
      <c r="R43" s="24"/>
      <c r="S43" s="24"/>
    </row>
    <row r="44" spans="1:19" ht="14.25" customHeight="1" x14ac:dyDescent="0.35">
      <c r="A44" s="19" t="s">
        <v>17</v>
      </c>
      <c r="B44" s="92">
        <v>86</v>
      </c>
      <c r="C44" s="101" t="s">
        <v>41</v>
      </c>
      <c r="D44" s="91" t="s">
        <v>65</v>
      </c>
      <c r="E44" s="43">
        <v>32</v>
      </c>
      <c r="F44" s="43">
        <v>41</v>
      </c>
      <c r="G44" s="43">
        <v>34</v>
      </c>
      <c r="H44" s="43">
        <v>41</v>
      </c>
      <c r="I44" s="43">
        <f t="shared" si="0"/>
        <v>37</v>
      </c>
      <c r="J44" s="20">
        <f>I44*2*10000</f>
        <v>740000</v>
      </c>
      <c r="K44" s="20">
        <v>3000000</v>
      </c>
      <c r="L44" s="20">
        <f>J44*5</f>
        <v>3700000</v>
      </c>
      <c r="M44" s="22">
        <f>I44/(I44+I45)*100</f>
        <v>76.683937823834185</v>
      </c>
      <c r="N44" s="22">
        <f>I46/I44*100</f>
        <v>5.4054054054054053</v>
      </c>
      <c r="O44" s="23">
        <f>3.32*(LOG(L44)-LOG(K44))</f>
        <v>0.30238715823314349</v>
      </c>
      <c r="P44" s="23">
        <f>P41+O44</f>
        <v>8.2599733087387026</v>
      </c>
      <c r="Q44" s="24"/>
      <c r="R44" s="24"/>
      <c r="S44" s="24"/>
    </row>
    <row r="45" spans="1:19" ht="14.25" customHeight="1" x14ac:dyDescent="0.35">
      <c r="A45" s="20"/>
      <c r="B45" s="92"/>
      <c r="C45" s="101"/>
      <c r="D45" s="92" t="s">
        <v>66</v>
      </c>
      <c r="E45" s="43">
        <v>14</v>
      </c>
      <c r="F45" s="43">
        <v>11</v>
      </c>
      <c r="G45" s="43">
        <v>9</v>
      </c>
      <c r="H45" s="43">
        <v>11</v>
      </c>
      <c r="I45" s="43">
        <f t="shared" si="0"/>
        <v>11.25</v>
      </c>
      <c r="J45" s="20"/>
      <c r="K45" s="20"/>
      <c r="L45" s="20"/>
      <c r="M45" s="20"/>
      <c r="N45" s="20"/>
      <c r="O45" s="20"/>
      <c r="P45" s="20"/>
      <c r="Q45" s="24"/>
      <c r="R45" s="24"/>
      <c r="S45" s="24"/>
    </row>
    <row r="46" spans="1:19" ht="14.25" customHeight="1" x14ac:dyDescent="0.35">
      <c r="A46" s="20"/>
      <c r="B46" s="92"/>
      <c r="C46" s="101"/>
      <c r="D46" s="92" t="s">
        <v>67</v>
      </c>
      <c r="E46" s="43">
        <v>2</v>
      </c>
      <c r="F46" s="43">
        <v>1</v>
      </c>
      <c r="G46" s="43">
        <v>3</v>
      </c>
      <c r="H46" s="43">
        <v>2</v>
      </c>
      <c r="I46" s="43">
        <f t="shared" si="0"/>
        <v>2</v>
      </c>
      <c r="J46" s="20"/>
      <c r="K46" s="20"/>
      <c r="L46" s="20"/>
      <c r="M46" s="20"/>
      <c r="N46" s="20"/>
      <c r="O46" s="20"/>
      <c r="P46" s="20"/>
      <c r="Q46" s="24"/>
      <c r="R46" s="24"/>
      <c r="S46" s="24"/>
    </row>
    <row r="47" spans="1:19" ht="14.25" customHeight="1" x14ac:dyDescent="0.35">
      <c r="A47" s="19" t="s">
        <v>18</v>
      </c>
      <c r="B47" s="92">
        <v>98</v>
      </c>
      <c r="C47" s="101" t="s">
        <v>41</v>
      </c>
      <c r="D47" s="91" t="s">
        <v>65</v>
      </c>
      <c r="E47" s="43">
        <v>30</v>
      </c>
      <c r="F47" s="43">
        <v>39</v>
      </c>
      <c r="G47" s="43">
        <v>29</v>
      </c>
      <c r="H47" s="43">
        <v>41</v>
      </c>
      <c r="I47" s="43">
        <f t="shared" si="0"/>
        <v>34.75</v>
      </c>
      <c r="J47" s="20">
        <f>I47*2*10000</f>
        <v>695000</v>
      </c>
      <c r="K47" s="20">
        <v>3000000</v>
      </c>
      <c r="L47" s="20">
        <f>J47*5</f>
        <v>3475000</v>
      </c>
      <c r="M47" s="22">
        <f>I47/(I47+I48)*100</f>
        <v>81.764705882352942</v>
      </c>
      <c r="N47" s="22">
        <f>I49/I47*100</f>
        <v>19.424460431654676</v>
      </c>
      <c r="O47" s="23">
        <f>3.32*(LOG(L47)-LOG(K47))</f>
        <v>0.21192739996547991</v>
      </c>
      <c r="P47" s="23">
        <f>P44+O47</f>
        <v>8.4719007087041831</v>
      </c>
      <c r="Q47" s="24"/>
      <c r="R47" s="24"/>
      <c r="S47" s="24"/>
    </row>
    <row r="48" spans="1:19" ht="14.25" customHeight="1" x14ac:dyDescent="0.35">
      <c r="A48" s="20"/>
      <c r="B48" s="92"/>
      <c r="C48" s="101"/>
      <c r="D48" s="92" t="s">
        <v>66</v>
      </c>
      <c r="E48" s="43">
        <v>7</v>
      </c>
      <c r="F48" s="43">
        <v>7</v>
      </c>
      <c r="G48" s="43">
        <v>11</v>
      </c>
      <c r="H48" s="43">
        <v>6</v>
      </c>
      <c r="I48" s="43">
        <f t="shared" si="0"/>
        <v>7.75</v>
      </c>
      <c r="J48" s="20"/>
      <c r="K48" s="20"/>
      <c r="L48" s="20"/>
      <c r="M48" s="20"/>
      <c r="N48" s="20"/>
      <c r="O48" s="20"/>
      <c r="P48" s="20"/>
      <c r="Q48" s="24"/>
      <c r="R48" s="24"/>
      <c r="S48" s="24"/>
    </row>
    <row r="49" spans="1:19" ht="14.25" customHeight="1" x14ac:dyDescent="0.35">
      <c r="A49" s="20"/>
      <c r="B49" s="92"/>
      <c r="C49" s="101"/>
      <c r="D49" s="92" t="s">
        <v>67</v>
      </c>
      <c r="E49" s="43">
        <v>6</v>
      </c>
      <c r="F49" s="43">
        <v>6</v>
      </c>
      <c r="G49" s="43">
        <v>7</v>
      </c>
      <c r="H49" s="43">
        <v>8</v>
      </c>
      <c r="I49" s="43">
        <f t="shared" si="0"/>
        <v>6.75</v>
      </c>
      <c r="J49" s="20"/>
      <c r="K49" s="20"/>
      <c r="L49" s="20"/>
      <c r="M49" s="20"/>
      <c r="N49" s="20"/>
      <c r="O49" s="20"/>
      <c r="P49" s="20"/>
      <c r="Q49" s="24"/>
      <c r="R49" s="24"/>
      <c r="S49" s="24"/>
    </row>
    <row r="50" spans="1:19" ht="14.25" customHeight="1" x14ac:dyDescent="0.35">
      <c r="A50" s="19" t="s">
        <v>19</v>
      </c>
      <c r="B50" s="92">
        <v>105</v>
      </c>
      <c r="C50" s="101" t="s">
        <v>41</v>
      </c>
      <c r="D50" s="91" t="s">
        <v>65</v>
      </c>
      <c r="E50" s="43">
        <v>38</v>
      </c>
      <c r="F50" s="43">
        <v>39</v>
      </c>
      <c r="G50" s="43">
        <v>41</v>
      </c>
      <c r="H50" s="43">
        <v>34</v>
      </c>
      <c r="I50" s="43">
        <f t="shared" si="0"/>
        <v>38</v>
      </c>
      <c r="J50" s="20">
        <f>I50*2*10000</f>
        <v>760000</v>
      </c>
      <c r="K50" s="20">
        <v>3000000</v>
      </c>
      <c r="L50" s="20">
        <f>J50*5</f>
        <v>3800000</v>
      </c>
      <c r="M50" s="22">
        <f>I50/(I50+I51)*100</f>
        <v>82.162162162162161</v>
      </c>
      <c r="N50" s="22">
        <f>I52/I50*100</f>
        <v>16.447368421052634</v>
      </c>
      <c r="O50" s="23">
        <f>3.32*(LOG(L50)-LOG(K50))</f>
        <v>0.34083897509852973</v>
      </c>
      <c r="P50" s="23">
        <f>P47+O50</f>
        <v>8.8127396838027128</v>
      </c>
      <c r="Q50" s="24"/>
      <c r="R50" s="24"/>
      <c r="S50" s="24"/>
    </row>
    <row r="51" spans="1:19" ht="14.25" customHeight="1" x14ac:dyDescent="0.35">
      <c r="A51" s="20"/>
      <c r="B51" s="92"/>
      <c r="C51" s="101"/>
      <c r="D51" s="92" t="s">
        <v>66</v>
      </c>
      <c r="E51" s="43">
        <v>12</v>
      </c>
      <c r="F51" s="43">
        <v>7</v>
      </c>
      <c r="G51" s="43">
        <v>5</v>
      </c>
      <c r="H51" s="43">
        <v>9</v>
      </c>
      <c r="I51" s="43">
        <f t="shared" si="0"/>
        <v>8.25</v>
      </c>
      <c r="J51" s="20"/>
      <c r="K51" s="20"/>
      <c r="L51" s="20"/>
      <c r="M51" s="20"/>
      <c r="N51" s="20"/>
      <c r="O51" s="20"/>
      <c r="P51" s="20"/>
      <c r="Q51" s="24"/>
      <c r="R51" s="24"/>
      <c r="S51" s="24"/>
    </row>
    <row r="52" spans="1:19" ht="14.25" customHeight="1" x14ac:dyDescent="0.35">
      <c r="A52" s="20"/>
      <c r="B52" s="92"/>
      <c r="C52" s="101"/>
      <c r="D52" s="92" t="s">
        <v>67</v>
      </c>
      <c r="E52" s="43">
        <v>12</v>
      </c>
      <c r="F52" s="43">
        <v>6</v>
      </c>
      <c r="G52" s="43">
        <v>4</v>
      </c>
      <c r="H52" s="43">
        <v>3</v>
      </c>
      <c r="I52" s="43">
        <f t="shared" si="0"/>
        <v>6.25</v>
      </c>
      <c r="J52" s="20"/>
      <c r="K52" s="20"/>
      <c r="L52" s="20"/>
      <c r="M52" s="20"/>
      <c r="N52" s="20"/>
      <c r="O52" s="20"/>
      <c r="P52" s="20"/>
      <c r="Q52" s="24"/>
      <c r="R52" s="24"/>
      <c r="S52" s="24"/>
    </row>
    <row r="53" spans="1:19" ht="14.25" customHeight="1" x14ac:dyDescent="0.35">
      <c r="A53" s="19" t="s">
        <v>20</v>
      </c>
      <c r="B53" s="92">
        <v>112</v>
      </c>
      <c r="C53" s="101" t="s">
        <v>41</v>
      </c>
      <c r="D53" s="91" t="s">
        <v>65</v>
      </c>
      <c r="E53" s="43">
        <v>60</v>
      </c>
      <c r="F53" s="43">
        <v>49</v>
      </c>
      <c r="G53" s="43">
        <v>51</v>
      </c>
      <c r="H53" s="43">
        <v>56</v>
      </c>
      <c r="I53" s="43">
        <f t="shared" si="0"/>
        <v>54</v>
      </c>
      <c r="J53" s="20">
        <f>I53*2*10000</f>
        <v>1080000</v>
      </c>
      <c r="K53" s="20">
        <v>3000000</v>
      </c>
      <c r="L53" s="20">
        <f>J53*5</f>
        <v>5400000</v>
      </c>
      <c r="M53" s="22">
        <f>I53/(I53+I54)*100</f>
        <v>91.914893617021278</v>
      </c>
      <c r="N53" s="22">
        <f>I55/I53*100</f>
        <v>17.592592592592592</v>
      </c>
      <c r="O53" s="23">
        <f>3.32*(LOG(L53)-LOG(K53))</f>
        <v>0.84750471694297447</v>
      </c>
      <c r="P53" s="23">
        <f>P50+O53</f>
        <v>9.6602444007456878</v>
      </c>
      <c r="Q53" s="24"/>
      <c r="R53" s="24"/>
      <c r="S53" s="24"/>
    </row>
    <row r="54" spans="1:19" ht="14.25" customHeight="1" x14ac:dyDescent="0.35">
      <c r="A54" s="20"/>
      <c r="B54" s="92"/>
      <c r="C54" s="101"/>
      <c r="D54" s="92" t="s">
        <v>66</v>
      </c>
      <c r="E54" s="43">
        <v>3</v>
      </c>
      <c r="F54" s="43">
        <v>4</v>
      </c>
      <c r="G54" s="43">
        <v>9</v>
      </c>
      <c r="H54" s="43">
        <v>3</v>
      </c>
      <c r="I54" s="43">
        <f t="shared" si="0"/>
        <v>4.75</v>
      </c>
      <c r="J54" s="20"/>
      <c r="K54" s="20"/>
      <c r="L54" s="20"/>
      <c r="M54" s="20"/>
      <c r="N54" s="20"/>
      <c r="O54" s="20"/>
      <c r="P54" s="20"/>
      <c r="Q54" s="24"/>
      <c r="R54" s="24"/>
      <c r="S54" s="24"/>
    </row>
    <row r="55" spans="1:19" ht="14.25" customHeight="1" x14ac:dyDescent="0.35">
      <c r="A55" s="20"/>
      <c r="B55" s="92"/>
      <c r="C55" s="101"/>
      <c r="D55" s="92" t="s">
        <v>67</v>
      </c>
      <c r="E55" s="43">
        <v>7</v>
      </c>
      <c r="F55" s="43">
        <v>6</v>
      </c>
      <c r="G55" s="43">
        <v>11</v>
      </c>
      <c r="H55" s="43">
        <v>14</v>
      </c>
      <c r="I55" s="43">
        <f t="shared" si="0"/>
        <v>9.5</v>
      </c>
      <c r="J55" s="20"/>
      <c r="K55" s="20"/>
      <c r="L55" s="20"/>
      <c r="M55" s="20"/>
      <c r="N55" s="20"/>
      <c r="O55" s="20"/>
      <c r="P55" s="20"/>
      <c r="Q55" s="24"/>
      <c r="R55" s="24"/>
      <c r="S55" s="24"/>
    </row>
    <row r="56" spans="1:19" ht="14.25" customHeight="1" x14ac:dyDescent="0.35">
      <c r="A56" s="19" t="s">
        <v>21</v>
      </c>
      <c r="B56" s="92">
        <v>119</v>
      </c>
      <c r="C56" s="101" t="s">
        <v>41</v>
      </c>
      <c r="D56" s="91" t="s">
        <v>65</v>
      </c>
      <c r="E56" s="43">
        <v>35</v>
      </c>
      <c r="F56" s="43">
        <v>22</v>
      </c>
      <c r="G56" s="43">
        <v>25</v>
      </c>
      <c r="H56" s="43">
        <v>36</v>
      </c>
      <c r="I56" s="43">
        <f t="shared" si="0"/>
        <v>29.5</v>
      </c>
      <c r="J56" s="20">
        <f>I56*2*10000</f>
        <v>590000</v>
      </c>
      <c r="K56" s="20">
        <v>3000000</v>
      </c>
      <c r="L56" s="20">
        <f>J56*5</f>
        <v>2950000</v>
      </c>
      <c r="M56" s="22">
        <f>I56/(I56+I57)*100</f>
        <v>83.687943262411352</v>
      </c>
      <c r="N56" s="22">
        <f>I58/I56*100</f>
        <v>13.559322033898304</v>
      </c>
      <c r="O56" s="23">
        <f>3.32*(LOG(L56)-LOG(K56))</f>
        <v>-2.4233472621777281E-2</v>
      </c>
      <c r="P56" s="23">
        <f>P53</f>
        <v>9.6602444007456878</v>
      </c>
      <c r="Q56" s="24"/>
      <c r="R56" s="24"/>
      <c r="S56" s="24"/>
    </row>
    <row r="57" spans="1:19" ht="14.25" customHeight="1" x14ac:dyDescent="0.35">
      <c r="A57" s="20"/>
      <c r="B57" s="92"/>
      <c r="C57" s="101"/>
      <c r="D57" s="92" t="s">
        <v>66</v>
      </c>
      <c r="E57" s="43">
        <v>7</v>
      </c>
      <c r="F57" s="43">
        <v>6</v>
      </c>
      <c r="G57" s="43">
        <v>7</v>
      </c>
      <c r="H57" s="43">
        <v>3</v>
      </c>
      <c r="I57" s="43">
        <f t="shared" si="0"/>
        <v>5.75</v>
      </c>
      <c r="J57" s="20"/>
      <c r="K57" s="20"/>
      <c r="L57" s="20"/>
      <c r="M57" s="20"/>
      <c r="N57" s="20"/>
      <c r="O57" s="20"/>
      <c r="P57" s="20"/>
      <c r="Q57" s="24"/>
      <c r="R57" s="24"/>
      <c r="S57" s="24"/>
    </row>
    <row r="58" spans="1:19" ht="14.25" customHeight="1" x14ac:dyDescent="0.35">
      <c r="A58" s="20"/>
      <c r="B58" s="92"/>
      <c r="C58" s="101"/>
      <c r="D58" s="92" t="s">
        <v>67</v>
      </c>
      <c r="E58" s="43">
        <v>7</v>
      </c>
      <c r="F58" s="43">
        <v>1</v>
      </c>
      <c r="G58" s="43">
        <v>5</v>
      </c>
      <c r="H58" s="43">
        <v>3</v>
      </c>
      <c r="I58" s="43">
        <f t="shared" si="0"/>
        <v>4</v>
      </c>
      <c r="J58" s="20"/>
      <c r="K58" s="20"/>
      <c r="L58" s="20"/>
      <c r="M58" s="20"/>
      <c r="N58" s="20"/>
      <c r="O58" s="20"/>
      <c r="P58" s="20"/>
      <c r="Q58" s="24"/>
      <c r="R58" s="24"/>
      <c r="S58" s="24"/>
    </row>
    <row r="59" spans="1:19" ht="14.25" customHeight="1" x14ac:dyDescent="0.35">
      <c r="A59" s="19" t="s">
        <v>22</v>
      </c>
      <c r="B59" s="92">
        <v>126</v>
      </c>
      <c r="C59" s="101" t="s">
        <v>41</v>
      </c>
      <c r="D59" s="91" t="s">
        <v>65</v>
      </c>
      <c r="E59" s="43">
        <v>48</v>
      </c>
      <c r="F59" s="43">
        <v>56</v>
      </c>
      <c r="G59" s="43">
        <v>52</v>
      </c>
      <c r="H59" s="43">
        <v>57</v>
      </c>
      <c r="I59" s="43">
        <f t="shared" si="0"/>
        <v>53.25</v>
      </c>
      <c r="J59" s="20">
        <f>I59*2*10000</f>
        <v>1065000</v>
      </c>
      <c r="K59" s="20">
        <v>2950000</v>
      </c>
      <c r="L59" s="20">
        <f>J59*5</f>
        <v>5325000</v>
      </c>
      <c r="M59" s="22">
        <f>I59/(I59+I60)*100</f>
        <v>86.938775510204081</v>
      </c>
      <c r="N59" s="22">
        <f>I61/I59*100</f>
        <v>14.553990610328638</v>
      </c>
      <c r="O59" s="23">
        <f>3.32*(LOG(L59)-LOG(K59))</f>
        <v>0.85157201916027225</v>
      </c>
      <c r="P59" s="23">
        <f>P56+O59</f>
        <v>10.51181641990596</v>
      </c>
      <c r="Q59" s="24"/>
      <c r="R59" s="24"/>
      <c r="S59" s="24"/>
    </row>
    <row r="60" spans="1:19" ht="14.25" customHeight="1" x14ac:dyDescent="0.35">
      <c r="A60" s="20"/>
      <c r="B60" s="92"/>
      <c r="C60" s="101"/>
      <c r="D60" s="92" t="s">
        <v>66</v>
      </c>
      <c r="E60" s="43">
        <v>9</v>
      </c>
      <c r="F60" s="43">
        <v>12</v>
      </c>
      <c r="G60" s="43">
        <v>6</v>
      </c>
      <c r="H60" s="43">
        <v>5</v>
      </c>
      <c r="I60" s="43">
        <f t="shared" si="0"/>
        <v>8</v>
      </c>
      <c r="J60" s="20"/>
      <c r="K60" s="20"/>
      <c r="L60" s="20"/>
      <c r="M60" s="20"/>
      <c r="N60" s="20"/>
      <c r="O60" s="20"/>
      <c r="P60" s="20"/>
      <c r="Q60" s="24"/>
      <c r="R60" s="24"/>
      <c r="S60" s="24"/>
    </row>
    <row r="61" spans="1:19" ht="14.25" customHeight="1" x14ac:dyDescent="0.35">
      <c r="A61" s="20"/>
      <c r="B61" s="92"/>
      <c r="C61" s="101"/>
      <c r="D61" s="92" t="s">
        <v>67</v>
      </c>
      <c r="E61" s="43">
        <v>8</v>
      </c>
      <c r="F61" s="43">
        <v>10</v>
      </c>
      <c r="G61" s="43">
        <v>8</v>
      </c>
      <c r="H61" s="43">
        <v>5</v>
      </c>
      <c r="I61" s="43">
        <f t="shared" si="0"/>
        <v>7.75</v>
      </c>
      <c r="J61" s="20"/>
      <c r="K61" s="20"/>
      <c r="L61" s="20"/>
      <c r="M61" s="20"/>
      <c r="N61" s="20"/>
      <c r="O61" s="20"/>
      <c r="P61" s="20"/>
      <c r="Q61" s="24"/>
      <c r="R61" s="24"/>
      <c r="S61" s="24"/>
    </row>
    <row r="62" spans="1:19" ht="14.25" customHeight="1" x14ac:dyDescent="0.35">
      <c r="A62" s="19" t="s">
        <v>23</v>
      </c>
      <c r="B62" s="92">
        <v>133</v>
      </c>
      <c r="C62" s="101" t="s">
        <v>41</v>
      </c>
      <c r="D62" s="91" t="s">
        <v>65</v>
      </c>
      <c r="E62" s="43">
        <v>44</v>
      </c>
      <c r="F62" s="43">
        <v>46</v>
      </c>
      <c r="G62" s="43">
        <v>55</v>
      </c>
      <c r="H62" s="43">
        <v>48</v>
      </c>
      <c r="I62" s="43">
        <f t="shared" si="0"/>
        <v>48.25</v>
      </c>
      <c r="J62" s="20">
        <f>I62*2*10000</f>
        <v>965000</v>
      </c>
      <c r="K62" s="20">
        <v>3000000</v>
      </c>
      <c r="L62" s="20">
        <f>J62*5</f>
        <v>4825000</v>
      </c>
      <c r="M62" s="22">
        <f>I62/(I62+I63)*100</f>
        <v>87.727272727272734</v>
      </c>
      <c r="N62" s="22">
        <f>I64/I62*100</f>
        <v>18.134715025906736</v>
      </c>
      <c r="O62" s="23">
        <f>3.32*(LOG(L62)-LOG(K62))</f>
        <v>0.68516852902769387</v>
      </c>
      <c r="P62" s="23">
        <f>P59+O62</f>
        <v>11.196984948933654</v>
      </c>
      <c r="Q62" s="2" t="s">
        <v>50</v>
      </c>
      <c r="R62" s="24"/>
      <c r="S62" s="24"/>
    </row>
    <row r="63" spans="1:19" ht="14.25" customHeight="1" x14ac:dyDescent="0.35">
      <c r="A63" s="20"/>
      <c r="B63" s="92"/>
      <c r="C63" s="101"/>
      <c r="D63" s="92" t="s">
        <v>66</v>
      </c>
      <c r="E63" s="43">
        <v>5</v>
      </c>
      <c r="F63" s="43">
        <v>13</v>
      </c>
      <c r="G63" s="43">
        <v>3</v>
      </c>
      <c r="H63" s="43">
        <v>6</v>
      </c>
      <c r="I63" s="43">
        <f t="shared" si="0"/>
        <v>6.75</v>
      </c>
      <c r="J63" s="20"/>
      <c r="K63" s="20"/>
      <c r="L63" s="20"/>
      <c r="M63" s="20"/>
      <c r="N63" s="20"/>
      <c r="O63" s="20"/>
      <c r="P63" s="20"/>
      <c r="Q63" s="24"/>
      <c r="R63" s="24"/>
      <c r="S63" s="24"/>
    </row>
    <row r="64" spans="1:19" ht="14.25" customHeight="1" x14ac:dyDescent="0.35">
      <c r="A64" s="20"/>
      <c r="B64" s="92"/>
      <c r="C64" s="101"/>
      <c r="D64" s="92" t="s">
        <v>67</v>
      </c>
      <c r="E64" s="43">
        <v>7</v>
      </c>
      <c r="F64" s="43">
        <v>5</v>
      </c>
      <c r="G64" s="43">
        <v>13</v>
      </c>
      <c r="H64" s="43">
        <v>10</v>
      </c>
      <c r="I64" s="43">
        <f t="shared" si="0"/>
        <v>8.75</v>
      </c>
      <c r="J64" s="20"/>
      <c r="K64" s="20"/>
      <c r="L64" s="20"/>
      <c r="M64" s="20"/>
      <c r="N64" s="20"/>
      <c r="O64" s="20"/>
      <c r="P64" s="20"/>
      <c r="Q64" s="24"/>
      <c r="R64" s="24"/>
      <c r="S64" s="24"/>
    </row>
    <row r="65" spans="1:19" ht="14.25" customHeight="1" x14ac:dyDescent="0.35">
      <c r="A65" s="19" t="s">
        <v>24</v>
      </c>
      <c r="B65" s="92">
        <v>140</v>
      </c>
      <c r="C65" s="101" t="s">
        <v>41</v>
      </c>
      <c r="D65" s="91" t="s">
        <v>65</v>
      </c>
      <c r="E65" s="43">
        <v>43</v>
      </c>
      <c r="F65" s="43">
        <v>39</v>
      </c>
      <c r="G65" s="43">
        <v>25</v>
      </c>
      <c r="H65" s="43">
        <v>25</v>
      </c>
      <c r="I65" s="43">
        <f t="shared" si="0"/>
        <v>33</v>
      </c>
      <c r="J65" s="20">
        <f>I65*2*10000</f>
        <v>660000</v>
      </c>
      <c r="K65" s="20">
        <v>4825000</v>
      </c>
      <c r="L65" s="20">
        <f>J65*10</f>
        <v>6600000</v>
      </c>
      <c r="M65" s="22">
        <f>I65/(I65+I66)*100</f>
        <v>95.652173913043484</v>
      </c>
      <c r="N65" s="22">
        <f>I67/I65*100</f>
        <v>17.424242424242426</v>
      </c>
      <c r="O65" s="23">
        <f>3.32*(LOG(L65)-LOG(K65))</f>
        <v>0.4516747713020291</v>
      </c>
      <c r="P65" s="23">
        <f>P62+O65</f>
        <v>11.648659720235683</v>
      </c>
      <c r="Q65" s="2" t="s">
        <v>49</v>
      </c>
      <c r="R65" s="24"/>
      <c r="S65" s="24"/>
    </row>
    <row r="66" spans="1:19" ht="14.25" customHeight="1" x14ac:dyDescent="0.35">
      <c r="A66" s="20"/>
      <c r="B66" s="92"/>
      <c r="C66" s="101"/>
      <c r="D66" s="92" t="s">
        <v>66</v>
      </c>
      <c r="E66" s="43">
        <v>2</v>
      </c>
      <c r="F66" s="43">
        <v>2</v>
      </c>
      <c r="G66" s="43">
        <v>1</v>
      </c>
      <c r="H66" s="43">
        <v>1</v>
      </c>
      <c r="I66" s="43">
        <f t="shared" si="0"/>
        <v>1.5</v>
      </c>
      <c r="J66" s="20"/>
      <c r="K66" s="20"/>
      <c r="L66" s="20"/>
      <c r="M66" s="20"/>
      <c r="N66" s="20"/>
      <c r="O66" s="20"/>
      <c r="P66" s="20"/>
      <c r="Q66" s="24"/>
      <c r="R66" s="24"/>
      <c r="S66" s="24"/>
    </row>
    <row r="67" spans="1:19" ht="14.25" customHeight="1" x14ac:dyDescent="0.35">
      <c r="A67" s="20"/>
      <c r="B67" s="92"/>
      <c r="C67" s="101"/>
      <c r="D67" s="92" t="s">
        <v>67</v>
      </c>
      <c r="E67" s="43">
        <v>5</v>
      </c>
      <c r="F67" s="43">
        <v>9</v>
      </c>
      <c r="G67" s="43">
        <v>5</v>
      </c>
      <c r="H67" s="43">
        <v>4</v>
      </c>
      <c r="I67" s="43">
        <f t="shared" si="0"/>
        <v>5.75</v>
      </c>
      <c r="J67" s="20"/>
      <c r="K67" s="20"/>
      <c r="L67" s="20"/>
      <c r="M67" s="20"/>
      <c r="N67" s="20"/>
      <c r="O67" s="20"/>
      <c r="P67" s="20"/>
      <c r="Q67" s="24"/>
      <c r="R67" s="24"/>
      <c r="S67" s="24"/>
    </row>
    <row r="68" spans="1:19" ht="14.25" customHeight="1" x14ac:dyDescent="0.35">
      <c r="A68" s="19" t="s">
        <v>25</v>
      </c>
      <c r="B68" s="92">
        <v>147</v>
      </c>
      <c r="C68" s="101" t="s">
        <v>41</v>
      </c>
      <c r="D68" s="91" t="s">
        <v>65</v>
      </c>
      <c r="E68" s="43">
        <v>37</v>
      </c>
      <c r="F68" s="43">
        <v>25</v>
      </c>
      <c r="G68" s="43">
        <v>34</v>
      </c>
      <c r="H68" s="43">
        <v>24</v>
      </c>
      <c r="I68" s="43">
        <f t="shared" si="0"/>
        <v>30</v>
      </c>
      <c r="J68" s="20">
        <f>I68*2*10000</f>
        <v>600000</v>
      </c>
      <c r="K68" s="20">
        <v>6000000</v>
      </c>
      <c r="L68" s="20">
        <f>J68*10</f>
        <v>6000000</v>
      </c>
      <c r="M68" s="22">
        <f>I68/(I68+I69)*100</f>
        <v>86.956521739130437</v>
      </c>
      <c r="N68" s="22">
        <f>I70/I68*100</f>
        <v>12.5</v>
      </c>
      <c r="O68" s="23">
        <f>3.32*(LOG(L68)-LOG(K68))</f>
        <v>0</v>
      </c>
      <c r="P68" s="23">
        <f>P65+O68</f>
        <v>11.648659720235683</v>
      </c>
      <c r="Q68" s="2" t="s">
        <v>49</v>
      </c>
      <c r="R68" s="24"/>
      <c r="S68" s="24"/>
    </row>
    <row r="69" spans="1:19" ht="14.25" customHeight="1" x14ac:dyDescent="0.35">
      <c r="A69" s="20"/>
      <c r="B69" s="92"/>
      <c r="C69" s="101"/>
      <c r="D69" s="92" t="s">
        <v>66</v>
      </c>
      <c r="E69" s="43">
        <v>2</v>
      </c>
      <c r="F69" s="43">
        <v>2</v>
      </c>
      <c r="G69" s="43">
        <v>6</v>
      </c>
      <c r="H69" s="43">
        <v>8</v>
      </c>
      <c r="I69" s="43">
        <f t="shared" si="0"/>
        <v>4.5</v>
      </c>
      <c r="J69" s="20"/>
      <c r="K69" s="20"/>
      <c r="L69" s="20"/>
      <c r="M69" s="20"/>
      <c r="N69" s="20"/>
      <c r="O69" s="20"/>
      <c r="P69" s="20"/>
      <c r="Q69" s="24"/>
      <c r="R69" s="24"/>
      <c r="S69" s="24"/>
    </row>
    <row r="70" spans="1:19" ht="14.25" customHeight="1" x14ac:dyDescent="0.35">
      <c r="A70" s="20"/>
      <c r="B70" s="92"/>
      <c r="C70" s="101"/>
      <c r="D70" s="92" t="s">
        <v>67</v>
      </c>
      <c r="E70" s="43">
        <v>6</v>
      </c>
      <c r="F70" s="43">
        <v>1</v>
      </c>
      <c r="G70" s="43">
        <v>6</v>
      </c>
      <c r="H70" s="43">
        <v>2</v>
      </c>
      <c r="I70" s="43">
        <f t="shared" si="0"/>
        <v>3.75</v>
      </c>
      <c r="J70" s="20"/>
      <c r="K70" s="20"/>
      <c r="L70" s="20"/>
      <c r="M70" s="20"/>
      <c r="N70" s="20"/>
      <c r="O70" s="20"/>
      <c r="P70" s="20"/>
      <c r="Q70" s="24"/>
      <c r="R70" s="24"/>
      <c r="S70" s="24"/>
    </row>
    <row r="71" spans="1:19" ht="14.25" customHeight="1" x14ac:dyDescent="0.35">
      <c r="A71" s="19" t="s">
        <v>26</v>
      </c>
      <c r="B71" s="92">
        <v>154</v>
      </c>
      <c r="C71" s="101" t="s">
        <v>41</v>
      </c>
      <c r="D71" s="91" t="s">
        <v>65</v>
      </c>
      <c r="E71" s="43">
        <v>59</v>
      </c>
      <c r="F71" s="43">
        <v>62</v>
      </c>
      <c r="G71" s="43">
        <v>46</v>
      </c>
      <c r="H71" s="43">
        <v>48</v>
      </c>
      <c r="I71" s="43">
        <f t="shared" si="0"/>
        <v>53.75</v>
      </c>
      <c r="J71" s="20">
        <f>I71*2*10000</f>
        <v>1075000</v>
      </c>
      <c r="K71" s="20">
        <v>6000000</v>
      </c>
      <c r="L71" s="20">
        <f>J71*10</f>
        <v>10750000</v>
      </c>
      <c r="M71" s="22">
        <f>I71/(I71+I72)*100</f>
        <v>95.13274336283186</v>
      </c>
      <c r="N71" s="22">
        <f>I73/I71*100</f>
        <v>8.3720930232558146</v>
      </c>
      <c r="O71" s="23">
        <f>3.32*(LOG(L71)-LOG(K71))</f>
        <v>0.84081395004169601</v>
      </c>
      <c r="P71" s="23">
        <f>P68+O71</f>
        <v>12.489473670277379</v>
      </c>
      <c r="Q71" s="2" t="s">
        <v>49</v>
      </c>
      <c r="R71" s="24"/>
      <c r="S71" s="24"/>
    </row>
    <row r="72" spans="1:19" ht="14.25" customHeight="1" x14ac:dyDescent="0.35">
      <c r="A72" s="20"/>
      <c r="B72" s="92"/>
      <c r="C72" s="101"/>
      <c r="D72" s="92" t="s">
        <v>66</v>
      </c>
      <c r="E72" s="43">
        <v>1</v>
      </c>
      <c r="F72" s="43">
        <v>4</v>
      </c>
      <c r="G72" s="43">
        <v>3</v>
      </c>
      <c r="H72" s="43">
        <v>3</v>
      </c>
      <c r="I72" s="43">
        <f t="shared" si="0"/>
        <v>2.75</v>
      </c>
      <c r="J72" s="20"/>
      <c r="K72" s="20"/>
      <c r="L72" s="20"/>
      <c r="M72" s="20"/>
      <c r="N72" s="20"/>
      <c r="O72" s="20"/>
      <c r="P72" s="20"/>
      <c r="Q72" s="24"/>
      <c r="R72" s="24"/>
      <c r="S72" s="24"/>
    </row>
    <row r="73" spans="1:19" ht="14.25" customHeight="1" x14ac:dyDescent="0.35">
      <c r="A73" s="20"/>
      <c r="B73" s="92"/>
      <c r="C73" s="101"/>
      <c r="D73" s="92" t="s">
        <v>67</v>
      </c>
      <c r="E73" s="43">
        <v>2</v>
      </c>
      <c r="F73" s="43">
        <v>7</v>
      </c>
      <c r="G73" s="43">
        <v>5</v>
      </c>
      <c r="H73" s="43">
        <v>4</v>
      </c>
      <c r="I73" s="43">
        <f t="shared" si="0"/>
        <v>4.5</v>
      </c>
      <c r="J73" s="20"/>
      <c r="K73" s="20"/>
      <c r="L73" s="20"/>
      <c r="M73" s="20"/>
      <c r="N73" s="20"/>
      <c r="O73" s="20"/>
      <c r="P73" s="20"/>
      <c r="Q73" s="24"/>
      <c r="R73" s="24"/>
      <c r="S73" s="24"/>
    </row>
    <row r="74" spans="1:19" ht="14.25" customHeight="1" x14ac:dyDescent="0.35">
      <c r="A74" s="19" t="s">
        <v>27</v>
      </c>
      <c r="B74" s="92">
        <v>161</v>
      </c>
      <c r="C74" s="101" t="s">
        <v>41</v>
      </c>
      <c r="D74" s="91" t="s">
        <v>65</v>
      </c>
      <c r="E74" s="43">
        <v>63</v>
      </c>
      <c r="F74" s="43">
        <v>67</v>
      </c>
      <c r="G74" s="43">
        <v>79</v>
      </c>
      <c r="H74" s="43">
        <v>84</v>
      </c>
      <c r="I74" s="43">
        <f t="shared" si="0"/>
        <v>73.25</v>
      </c>
      <c r="J74" s="20">
        <f>I74*2*10000</f>
        <v>1465000</v>
      </c>
      <c r="K74" s="20">
        <v>6000000</v>
      </c>
      <c r="L74" s="20">
        <f>J74*10</f>
        <v>14650000</v>
      </c>
      <c r="M74" s="22">
        <f>I74/(I74+I75)*100</f>
        <v>94.822006472491907</v>
      </c>
      <c r="N74" s="22">
        <f>I76/I74*100</f>
        <v>6.1433447098976108</v>
      </c>
      <c r="O74" s="23">
        <f>3.32*(LOG(L74)-LOG(K74))</f>
        <v>1.2871187626975269</v>
      </c>
      <c r="P74" s="23">
        <f>P71+O74</f>
        <v>13.776592432974905</v>
      </c>
      <c r="Q74" s="2" t="s">
        <v>49</v>
      </c>
      <c r="R74" s="24"/>
      <c r="S74" s="24"/>
    </row>
    <row r="75" spans="1:19" ht="14.25" customHeight="1" x14ac:dyDescent="0.35">
      <c r="A75" s="20"/>
      <c r="B75" s="92"/>
      <c r="C75" s="101"/>
      <c r="D75" s="92" t="s">
        <v>66</v>
      </c>
      <c r="E75" s="43">
        <v>4</v>
      </c>
      <c r="F75" s="43">
        <v>4</v>
      </c>
      <c r="G75" s="43">
        <v>4</v>
      </c>
      <c r="H75" s="43">
        <v>4</v>
      </c>
      <c r="I75" s="43">
        <f t="shared" si="0"/>
        <v>4</v>
      </c>
      <c r="J75" s="20"/>
      <c r="K75" s="20"/>
      <c r="L75" s="20"/>
      <c r="M75" s="20"/>
      <c r="N75" s="20"/>
      <c r="O75" s="20"/>
      <c r="P75" s="20"/>
      <c r="Q75" s="24"/>
      <c r="R75" s="24"/>
      <c r="S75" s="24"/>
    </row>
    <row r="76" spans="1:19" ht="14.25" customHeight="1" x14ac:dyDescent="0.35">
      <c r="A76" s="20"/>
      <c r="B76" s="92"/>
      <c r="C76" s="101"/>
      <c r="D76" s="92" t="s">
        <v>67</v>
      </c>
      <c r="E76" s="43">
        <v>4</v>
      </c>
      <c r="F76" s="43">
        <v>4</v>
      </c>
      <c r="G76" s="43">
        <v>5</v>
      </c>
      <c r="H76" s="43">
        <v>5</v>
      </c>
      <c r="I76" s="43">
        <f t="shared" si="0"/>
        <v>4.5</v>
      </c>
      <c r="J76" s="20"/>
      <c r="K76" s="20"/>
      <c r="L76" s="20"/>
      <c r="M76" s="20"/>
      <c r="N76" s="20"/>
      <c r="O76" s="20"/>
      <c r="P76" s="20"/>
      <c r="Q76" s="24"/>
      <c r="R76" s="24"/>
      <c r="S76" s="24"/>
    </row>
    <row r="77" spans="1:19" ht="14.25" customHeight="1" x14ac:dyDescent="0.35">
      <c r="A77" s="19" t="s">
        <v>28</v>
      </c>
      <c r="B77" s="92">
        <v>169</v>
      </c>
      <c r="C77" s="101" t="s">
        <v>41</v>
      </c>
      <c r="D77" s="91" t="s">
        <v>65</v>
      </c>
      <c r="E77" s="43">
        <v>43</v>
      </c>
      <c r="F77" s="43">
        <v>43</v>
      </c>
      <c r="G77" s="43">
        <v>54</v>
      </c>
      <c r="H77" s="43">
        <v>41</v>
      </c>
      <c r="I77" s="43">
        <f t="shared" si="0"/>
        <v>45.25</v>
      </c>
      <c r="J77" s="20">
        <f>I77*2*10000</f>
        <v>905000</v>
      </c>
      <c r="K77" s="20">
        <v>3000000</v>
      </c>
      <c r="L77" s="20">
        <f>J77*5</f>
        <v>4525000</v>
      </c>
      <c r="M77" s="22">
        <f>I77/(I77+I78)*100</f>
        <v>97.311827956989248</v>
      </c>
      <c r="N77" s="22">
        <f>I79/I77*100</f>
        <v>7.7348066298342539</v>
      </c>
      <c r="O77" s="23">
        <f>3.32*(LOG(L77)-LOG(K77))</f>
        <v>0.59261113168757729</v>
      </c>
      <c r="P77" s="23">
        <f>P74+O77</f>
        <v>14.369203564662483</v>
      </c>
      <c r="Q77" s="24"/>
      <c r="R77" s="24"/>
      <c r="S77" s="24"/>
    </row>
    <row r="78" spans="1:19" ht="14.25" customHeight="1" x14ac:dyDescent="0.35">
      <c r="A78" s="20"/>
      <c r="B78" s="92"/>
      <c r="C78" s="101"/>
      <c r="D78" s="92" t="s">
        <v>66</v>
      </c>
      <c r="E78" s="43">
        <v>2</v>
      </c>
      <c r="F78" s="43">
        <v>3</v>
      </c>
      <c r="G78" s="43">
        <v>0</v>
      </c>
      <c r="H78" s="43">
        <v>0</v>
      </c>
      <c r="I78" s="43">
        <f t="shared" si="0"/>
        <v>1.25</v>
      </c>
      <c r="J78" s="20"/>
      <c r="K78" s="20"/>
      <c r="L78" s="20"/>
      <c r="M78" s="20"/>
      <c r="N78" s="20"/>
      <c r="O78" s="20"/>
      <c r="P78" s="20"/>
      <c r="Q78" s="24"/>
      <c r="R78" s="24"/>
      <c r="S78" s="24"/>
    </row>
    <row r="79" spans="1:19" ht="14.25" customHeight="1" x14ac:dyDescent="0.35">
      <c r="A79" s="20"/>
      <c r="B79" s="92"/>
      <c r="C79" s="101"/>
      <c r="D79" s="92" t="s">
        <v>67</v>
      </c>
      <c r="E79" s="43">
        <v>3</v>
      </c>
      <c r="F79" s="43">
        <v>3</v>
      </c>
      <c r="G79" s="43">
        <v>5</v>
      </c>
      <c r="H79" s="43">
        <v>3</v>
      </c>
      <c r="I79" s="43">
        <f t="shared" si="0"/>
        <v>3.5</v>
      </c>
      <c r="J79" s="20"/>
      <c r="K79" s="20"/>
      <c r="L79" s="20"/>
      <c r="M79" s="20"/>
      <c r="N79" s="20"/>
      <c r="O79" s="20"/>
      <c r="P79" s="20"/>
      <c r="Q79" s="24"/>
      <c r="R79" s="24"/>
      <c r="S79" s="24"/>
    </row>
    <row r="80" spans="1:19" ht="14.25" customHeight="1" x14ac:dyDescent="0.35">
      <c r="A80" s="19" t="s">
        <v>29</v>
      </c>
      <c r="B80" s="92">
        <v>175</v>
      </c>
      <c r="C80" s="101" t="s">
        <v>41</v>
      </c>
      <c r="D80" s="91" t="s">
        <v>65</v>
      </c>
      <c r="E80" s="43">
        <v>41</v>
      </c>
      <c r="F80" s="43">
        <v>45</v>
      </c>
      <c r="G80" s="43">
        <v>38</v>
      </c>
      <c r="H80" s="43">
        <v>48</v>
      </c>
      <c r="I80" s="43">
        <f t="shared" si="0"/>
        <v>43</v>
      </c>
      <c r="J80" s="20">
        <f>I80*2*10000</f>
        <v>860000</v>
      </c>
      <c r="K80" s="20">
        <v>3000000</v>
      </c>
      <c r="L80" s="20">
        <f>J80*5</f>
        <v>4300000</v>
      </c>
      <c r="M80" s="22">
        <f>I80/(I80+I81)*100</f>
        <v>96.089385474860336</v>
      </c>
      <c r="N80" s="22">
        <f>I82/I80*100</f>
        <v>5.8139534883720927</v>
      </c>
      <c r="O80" s="23">
        <f>3.32*(LOG(L80)-LOG(K80))</f>
        <v>0.51907270685494633</v>
      </c>
      <c r="P80" s="23">
        <f>P77+O80</f>
        <v>14.888276271517428</v>
      </c>
      <c r="Q80" s="24"/>
      <c r="R80" s="24"/>
      <c r="S80" s="24"/>
    </row>
    <row r="81" spans="1:19" ht="14.25" customHeight="1" x14ac:dyDescent="0.35">
      <c r="A81" s="20"/>
      <c r="B81" s="92"/>
      <c r="C81" s="101"/>
      <c r="D81" s="92" t="s">
        <v>66</v>
      </c>
      <c r="E81" s="43">
        <v>2</v>
      </c>
      <c r="F81" s="43">
        <v>1</v>
      </c>
      <c r="G81" s="43">
        <v>2</v>
      </c>
      <c r="H81" s="43">
        <v>2</v>
      </c>
      <c r="I81" s="43">
        <f t="shared" si="0"/>
        <v>1.75</v>
      </c>
      <c r="J81" s="20"/>
      <c r="K81" s="20"/>
      <c r="L81" s="20"/>
      <c r="M81" s="20"/>
      <c r="N81" s="20"/>
      <c r="O81" s="20"/>
      <c r="P81" s="20"/>
      <c r="Q81" s="24"/>
      <c r="R81" s="24"/>
      <c r="S81" s="24"/>
    </row>
    <row r="82" spans="1:19" ht="14.25" customHeight="1" x14ac:dyDescent="0.35">
      <c r="A82" s="20"/>
      <c r="B82" s="92"/>
      <c r="C82" s="101"/>
      <c r="D82" s="92" t="s">
        <v>67</v>
      </c>
      <c r="E82" s="43">
        <v>3</v>
      </c>
      <c r="F82" s="43">
        <v>4</v>
      </c>
      <c r="G82" s="43">
        <v>1</v>
      </c>
      <c r="H82" s="43">
        <v>2</v>
      </c>
      <c r="I82" s="43">
        <f t="shared" si="0"/>
        <v>2.5</v>
      </c>
      <c r="J82" s="20"/>
      <c r="K82" s="20"/>
      <c r="L82" s="20"/>
      <c r="M82" s="20"/>
      <c r="N82" s="20"/>
      <c r="O82" s="20"/>
      <c r="P82" s="20"/>
      <c r="Q82" s="24"/>
      <c r="R82" s="24"/>
      <c r="S82" s="24"/>
    </row>
    <row r="83" spans="1:19" ht="14.25" customHeight="1" x14ac:dyDescent="0.35">
      <c r="A83" s="19" t="s">
        <v>30</v>
      </c>
      <c r="B83" s="92">
        <v>182</v>
      </c>
      <c r="C83" s="101" t="s">
        <v>41</v>
      </c>
      <c r="D83" s="91" t="s">
        <v>65</v>
      </c>
      <c r="E83" s="43">
        <v>48</v>
      </c>
      <c r="F83" s="43">
        <v>39</v>
      </c>
      <c r="G83" s="43">
        <v>51</v>
      </c>
      <c r="H83" s="43">
        <v>45</v>
      </c>
      <c r="I83" s="43">
        <f t="shared" si="0"/>
        <v>45.75</v>
      </c>
      <c r="J83" s="20">
        <f>I83*2*10000</f>
        <v>915000</v>
      </c>
      <c r="K83" s="20">
        <v>3000000</v>
      </c>
      <c r="L83" s="20">
        <f>J83*5</f>
        <v>4575000</v>
      </c>
      <c r="M83" s="22">
        <f>I83/(I83+I84)*100</f>
        <v>94.818652849740943</v>
      </c>
      <c r="N83" s="22">
        <f>I85/I83*100</f>
        <v>8.1967213114754092</v>
      </c>
      <c r="O83" s="23">
        <f>3.32*(LOG(L83)-LOG(K83))</f>
        <v>0.60845588102691139</v>
      </c>
      <c r="P83" s="23">
        <f>P80+O83</f>
        <v>15.49673215254434</v>
      </c>
      <c r="Q83" s="24"/>
      <c r="R83" s="24"/>
      <c r="S83" s="24"/>
    </row>
    <row r="84" spans="1:19" ht="14.25" customHeight="1" x14ac:dyDescent="0.35">
      <c r="A84" s="20"/>
      <c r="B84" s="92"/>
      <c r="C84" s="101"/>
      <c r="D84" s="92" t="s">
        <v>66</v>
      </c>
      <c r="E84" s="43">
        <v>2</v>
      </c>
      <c r="F84" s="43">
        <v>2</v>
      </c>
      <c r="G84" s="43">
        <v>2</v>
      </c>
      <c r="H84" s="43">
        <v>4</v>
      </c>
      <c r="I84" s="43">
        <f t="shared" si="0"/>
        <v>2.5</v>
      </c>
      <c r="J84" s="20"/>
      <c r="K84" s="20"/>
      <c r="L84" s="20"/>
      <c r="M84" s="20"/>
      <c r="N84" s="20"/>
      <c r="O84" s="20"/>
      <c r="P84" s="20"/>
      <c r="Q84" s="24"/>
      <c r="R84" s="24"/>
      <c r="S84" s="24"/>
    </row>
    <row r="85" spans="1:19" ht="14.25" customHeight="1" x14ac:dyDescent="0.35">
      <c r="A85" s="20"/>
      <c r="B85" s="92"/>
      <c r="C85" s="101"/>
      <c r="D85" s="92" t="s">
        <v>67</v>
      </c>
      <c r="E85" s="43">
        <v>5</v>
      </c>
      <c r="F85" s="43">
        <v>8</v>
      </c>
      <c r="G85" s="43">
        <v>1</v>
      </c>
      <c r="H85" s="43">
        <v>1</v>
      </c>
      <c r="I85" s="43">
        <f t="shared" si="0"/>
        <v>3.75</v>
      </c>
      <c r="J85" s="20"/>
      <c r="K85" s="20"/>
      <c r="L85" s="20"/>
      <c r="M85" s="20"/>
      <c r="N85" s="20"/>
      <c r="O85" s="20"/>
      <c r="P85" s="20"/>
      <c r="Q85" s="24"/>
      <c r="R85" s="24"/>
      <c r="S85" s="24"/>
    </row>
    <row r="86" spans="1:19" ht="14.25" customHeight="1" x14ac:dyDescent="0.35">
      <c r="A86" s="19" t="s">
        <v>31</v>
      </c>
      <c r="B86" s="92">
        <v>189</v>
      </c>
      <c r="C86" s="101" t="s">
        <v>41</v>
      </c>
      <c r="D86" s="91" t="s">
        <v>65</v>
      </c>
      <c r="E86" s="43">
        <v>71</v>
      </c>
      <c r="F86" s="43">
        <v>53</v>
      </c>
      <c r="G86" s="43">
        <v>51</v>
      </c>
      <c r="H86" s="43">
        <v>71</v>
      </c>
      <c r="I86" s="43">
        <f t="shared" si="0"/>
        <v>61.5</v>
      </c>
      <c r="J86" s="20">
        <f>I86*2*10000</f>
        <v>1230000</v>
      </c>
      <c r="K86" s="20">
        <v>3000000</v>
      </c>
      <c r="L86" s="20">
        <f>J86*5</f>
        <v>6150000</v>
      </c>
      <c r="M86" s="22">
        <f>I86/(I86+I87)*100</f>
        <v>96.09375</v>
      </c>
      <c r="N86" s="22">
        <f>I88/I86*100</f>
        <v>3.2520325203252036</v>
      </c>
      <c r="O86" s="23">
        <f>3.32*(LOG(L86)-LOG(K86))</f>
        <v>1.0350228187051038</v>
      </c>
      <c r="P86" s="23">
        <f>P83+O86</f>
        <v>16.531754971249445</v>
      </c>
      <c r="Q86" s="24"/>
      <c r="R86" s="24"/>
      <c r="S86" s="24"/>
    </row>
    <row r="87" spans="1:19" ht="14.25" customHeight="1" x14ac:dyDescent="0.35">
      <c r="A87" s="20"/>
      <c r="B87" s="92"/>
      <c r="C87" s="101"/>
      <c r="D87" s="92" t="s">
        <v>66</v>
      </c>
      <c r="E87" s="43">
        <v>2</v>
      </c>
      <c r="F87" s="43">
        <v>1</v>
      </c>
      <c r="G87" s="43">
        <v>3</v>
      </c>
      <c r="H87" s="43">
        <v>4</v>
      </c>
      <c r="I87" s="43">
        <f t="shared" si="0"/>
        <v>2.5</v>
      </c>
      <c r="J87" s="20"/>
      <c r="K87" s="20"/>
      <c r="L87" s="20"/>
      <c r="M87" s="20"/>
      <c r="N87" s="20"/>
      <c r="O87" s="20"/>
      <c r="P87" s="20"/>
      <c r="Q87" s="24"/>
      <c r="R87" s="24"/>
      <c r="S87" s="24"/>
    </row>
    <row r="88" spans="1:19" ht="14.25" customHeight="1" x14ac:dyDescent="0.35">
      <c r="A88" s="20"/>
      <c r="B88" s="92"/>
      <c r="C88" s="101"/>
      <c r="D88" s="92" t="s">
        <v>67</v>
      </c>
      <c r="E88" s="43">
        <v>1</v>
      </c>
      <c r="F88" s="43">
        <v>2</v>
      </c>
      <c r="G88" s="43">
        <v>1</v>
      </c>
      <c r="H88" s="43">
        <v>4</v>
      </c>
      <c r="I88" s="43">
        <f t="shared" si="0"/>
        <v>2</v>
      </c>
      <c r="J88" s="20"/>
      <c r="K88" s="20"/>
      <c r="L88" s="20"/>
      <c r="M88" s="20"/>
      <c r="N88" s="20"/>
      <c r="O88" s="20"/>
      <c r="P88" s="20"/>
      <c r="Q88" s="24"/>
      <c r="R88" s="24"/>
      <c r="S88" s="24"/>
    </row>
    <row r="89" spans="1:19" ht="14.25" customHeight="1" x14ac:dyDescent="0.35">
      <c r="A89" s="19" t="s">
        <v>32</v>
      </c>
      <c r="B89" s="92">
        <v>196</v>
      </c>
      <c r="C89" s="101" t="s">
        <v>41</v>
      </c>
      <c r="D89" s="91" t="s">
        <v>65</v>
      </c>
      <c r="E89" s="43">
        <v>57</v>
      </c>
      <c r="F89" s="43">
        <v>57</v>
      </c>
      <c r="G89" s="43">
        <v>58</v>
      </c>
      <c r="H89" s="43">
        <v>57</v>
      </c>
      <c r="I89" s="43">
        <f t="shared" si="0"/>
        <v>57.25</v>
      </c>
      <c r="J89" s="20">
        <f>I89*2*10000</f>
        <v>1145000</v>
      </c>
      <c r="K89" s="20">
        <v>3000000</v>
      </c>
      <c r="L89" s="20">
        <f>J89*5</f>
        <v>5725000</v>
      </c>
      <c r="M89" s="22">
        <f>I89/(I89+I90)*100</f>
        <v>97.033898305084747</v>
      </c>
      <c r="N89" s="22">
        <f>I91/I89*100</f>
        <v>2.1834061135371177</v>
      </c>
      <c r="O89" s="23">
        <f>3.32*(LOG(L89)-LOG(K89))</f>
        <v>0.93177206449031402</v>
      </c>
      <c r="P89" s="23">
        <f>P86+O89</f>
        <v>17.463527035739759</v>
      </c>
      <c r="Q89" s="24"/>
      <c r="R89" s="24"/>
      <c r="S89" s="24"/>
    </row>
    <row r="90" spans="1:19" ht="14.25" customHeight="1" x14ac:dyDescent="0.35">
      <c r="A90" s="20"/>
      <c r="B90" s="92"/>
      <c r="C90" s="101"/>
      <c r="D90" s="92" t="s">
        <v>66</v>
      </c>
      <c r="E90" s="43">
        <v>1</v>
      </c>
      <c r="F90" s="43">
        <v>3</v>
      </c>
      <c r="G90" s="43">
        <v>2</v>
      </c>
      <c r="H90" s="43">
        <v>1</v>
      </c>
      <c r="I90" s="43">
        <f t="shared" si="0"/>
        <v>1.75</v>
      </c>
      <c r="J90" s="20"/>
      <c r="K90" s="20"/>
      <c r="L90" s="20"/>
      <c r="M90" s="20"/>
      <c r="N90" s="20"/>
      <c r="O90" s="20"/>
      <c r="P90" s="20"/>
      <c r="Q90" s="24"/>
      <c r="R90" s="24"/>
      <c r="S90" s="24"/>
    </row>
    <row r="91" spans="1:19" ht="14.25" customHeight="1" x14ac:dyDescent="0.35">
      <c r="A91" s="20"/>
      <c r="B91" s="92"/>
      <c r="C91" s="101"/>
      <c r="D91" s="92" t="s">
        <v>67</v>
      </c>
      <c r="E91" s="43">
        <v>0</v>
      </c>
      <c r="F91" s="43">
        <v>0</v>
      </c>
      <c r="G91" s="43">
        <v>2</v>
      </c>
      <c r="H91" s="43">
        <v>3</v>
      </c>
      <c r="I91" s="43">
        <f t="shared" si="0"/>
        <v>1.25</v>
      </c>
      <c r="J91" s="20"/>
      <c r="K91" s="20"/>
      <c r="L91" s="20"/>
      <c r="M91" s="20"/>
      <c r="N91" s="20"/>
      <c r="O91" s="20"/>
      <c r="P91" s="20"/>
      <c r="Q91" s="24"/>
      <c r="R91" s="24"/>
      <c r="S91" s="24"/>
    </row>
    <row r="92" spans="1:19" ht="14.25" customHeight="1" x14ac:dyDescent="0.35">
      <c r="A92" s="19" t="s">
        <v>33</v>
      </c>
      <c r="B92" s="92">
        <v>203</v>
      </c>
      <c r="C92" s="101" t="s">
        <v>41</v>
      </c>
      <c r="D92" s="91" t="s">
        <v>65</v>
      </c>
      <c r="E92" s="43">
        <v>67</v>
      </c>
      <c r="F92" s="43">
        <v>70</v>
      </c>
      <c r="G92" s="43">
        <v>79</v>
      </c>
      <c r="H92" s="43">
        <v>74</v>
      </c>
      <c r="I92" s="43">
        <f t="shared" si="0"/>
        <v>72.5</v>
      </c>
      <c r="J92" s="20">
        <f>I92*2*10000</f>
        <v>1450000</v>
      </c>
      <c r="K92" s="20">
        <v>3000000</v>
      </c>
      <c r="L92" s="20">
        <f>J92*5</f>
        <v>7250000</v>
      </c>
      <c r="M92" s="22">
        <f>I92/(I92+I93)*100</f>
        <v>96.666666666666671</v>
      </c>
      <c r="N92" s="22">
        <f>I94/I92*100</f>
        <v>0.68965517241379315</v>
      </c>
      <c r="O92" s="23">
        <f>3.32*(LOG(L92)-LOG(K92))</f>
        <v>1.2722796161464203</v>
      </c>
      <c r="P92" s="23">
        <f>P89+O92</f>
        <v>18.735806651886179</v>
      </c>
      <c r="Q92" s="24"/>
      <c r="R92" s="24"/>
      <c r="S92" s="24"/>
    </row>
    <row r="93" spans="1:19" ht="14.25" customHeight="1" x14ac:dyDescent="0.35">
      <c r="A93" s="20"/>
      <c r="B93" s="92"/>
      <c r="C93" s="101"/>
      <c r="D93" s="92" t="s">
        <v>66</v>
      </c>
      <c r="E93" s="43">
        <v>3</v>
      </c>
      <c r="F93" s="43">
        <v>3</v>
      </c>
      <c r="G93" s="43">
        <v>2</v>
      </c>
      <c r="H93" s="43">
        <v>2</v>
      </c>
      <c r="I93" s="43">
        <f t="shared" si="0"/>
        <v>2.5</v>
      </c>
      <c r="J93" s="20"/>
      <c r="K93" s="20"/>
      <c r="L93" s="20"/>
      <c r="M93" s="20"/>
      <c r="N93" s="20"/>
      <c r="O93" s="20"/>
      <c r="P93" s="20"/>
      <c r="Q93" s="24"/>
      <c r="R93" s="24"/>
      <c r="S93" s="24"/>
    </row>
    <row r="94" spans="1:19" ht="14.25" customHeight="1" x14ac:dyDescent="0.35">
      <c r="A94" s="20"/>
      <c r="B94" s="92"/>
      <c r="C94" s="101"/>
      <c r="D94" s="92" t="s">
        <v>67</v>
      </c>
      <c r="E94" s="43">
        <v>1</v>
      </c>
      <c r="F94" s="43">
        <v>1</v>
      </c>
      <c r="G94" s="43">
        <v>0</v>
      </c>
      <c r="H94" s="43">
        <v>0</v>
      </c>
      <c r="I94" s="43">
        <f t="shared" si="0"/>
        <v>0.5</v>
      </c>
      <c r="J94" s="20"/>
      <c r="K94" s="20"/>
      <c r="L94" s="20"/>
      <c r="M94" s="20"/>
      <c r="N94" s="20"/>
      <c r="O94" s="20"/>
      <c r="P94" s="20"/>
      <c r="Q94" s="24"/>
      <c r="R94" s="24"/>
      <c r="S94" s="24"/>
    </row>
    <row r="95" spans="1:19" ht="14.25" customHeight="1" x14ac:dyDescent="0.35">
      <c r="A95" s="19" t="s">
        <v>34</v>
      </c>
      <c r="B95" s="92">
        <v>210</v>
      </c>
      <c r="C95" s="101" t="s">
        <v>41</v>
      </c>
      <c r="D95" s="91" t="s">
        <v>65</v>
      </c>
      <c r="E95" s="43">
        <v>67</v>
      </c>
      <c r="F95" s="43">
        <v>66</v>
      </c>
      <c r="G95" s="43">
        <v>66</v>
      </c>
      <c r="H95" s="43">
        <v>68</v>
      </c>
      <c r="I95" s="43">
        <f t="shared" si="0"/>
        <v>66.75</v>
      </c>
      <c r="J95" s="20">
        <f>I95*2*10000</f>
        <v>1335000</v>
      </c>
      <c r="K95" s="20">
        <v>3000000</v>
      </c>
      <c r="L95" s="20">
        <f>J95*5</f>
        <v>6675000</v>
      </c>
      <c r="M95" s="22">
        <f>I95/(I95+I96)*100</f>
        <v>95.017793594306056</v>
      </c>
      <c r="N95" s="22">
        <f>I97/I95*100</f>
        <v>2.9962546816479403</v>
      </c>
      <c r="O95" s="23">
        <f>3.32*(LOG(L95)-LOG(K95))</f>
        <v>1.1531356508522734</v>
      </c>
      <c r="P95" s="23">
        <f>P92+O95</f>
        <v>19.888942302738453</v>
      </c>
      <c r="Q95" s="24"/>
      <c r="R95" s="24"/>
      <c r="S95" s="24"/>
    </row>
    <row r="96" spans="1:19" ht="14.25" customHeight="1" x14ac:dyDescent="0.35">
      <c r="A96" s="20"/>
      <c r="B96" s="92"/>
      <c r="C96" s="101"/>
      <c r="D96" s="92" t="s">
        <v>66</v>
      </c>
      <c r="E96" s="43">
        <v>1</v>
      </c>
      <c r="F96" s="43">
        <v>7</v>
      </c>
      <c r="G96" s="43">
        <v>3</v>
      </c>
      <c r="H96" s="43">
        <v>3</v>
      </c>
      <c r="I96" s="43">
        <f t="shared" si="0"/>
        <v>3.5</v>
      </c>
      <c r="J96" s="20"/>
      <c r="K96" s="20"/>
      <c r="L96" s="20"/>
      <c r="M96" s="20"/>
      <c r="N96" s="20"/>
      <c r="O96" s="20"/>
      <c r="P96" s="20"/>
      <c r="Q96" s="24"/>
      <c r="R96" s="24"/>
      <c r="S96" s="24"/>
    </row>
    <row r="97" spans="1:19" ht="14.25" customHeight="1" x14ac:dyDescent="0.35">
      <c r="A97" s="20"/>
      <c r="B97" s="92"/>
      <c r="C97" s="101"/>
      <c r="D97" s="92" t="s">
        <v>67</v>
      </c>
      <c r="E97" s="43">
        <v>1</v>
      </c>
      <c r="F97" s="43">
        <v>2</v>
      </c>
      <c r="G97" s="43">
        <v>2</v>
      </c>
      <c r="H97" s="43">
        <v>3</v>
      </c>
      <c r="I97" s="43">
        <f t="shared" si="0"/>
        <v>2</v>
      </c>
      <c r="J97" s="20"/>
      <c r="K97" s="20"/>
      <c r="L97" s="20"/>
      <c r="M97" s="20"/>
      <c r="N97" s="20"/>
      <c r="O97" s="20"/>
      <c r="P97" s="20"/>
      <c r="Q97" s="24"/>
      <c r="R97" s="24"/>
      <c r="S97" s="24"/>
    </row>
    <row r="98" spans="1:19" ht="14.25" customHeight="1" x14ac:dyDescent="0.35">
      <c r="A98" s="19" t="s">
        <v>35</v>
      </c>
      <c r="B98" s="92">
        <v>216</v>
      </c>
      <c r="C98" s="101" t="s">
        <v>41</v>
      </c>
      <c r="D98" s="91" t="s">
        <v>65</v>
      </c>
      <c r="E98" s="21">
        <v>69</v>
      </c>
      <c r="F98" s="21">
        <v>47</v>
      </c>
      <c r="G98" s="21">
        <v>58</v>
      </c>
      <c r="H98" s="21">
        <v>74</v>
      </c>
      <c r="I98" s="43">
        <f t="shared" si="0"/>
        <v>62</v>
      </c>
      <c r="J98" s="20">
        <f>I98*2*10000</f>
        <v>1240000</v>
      </c>
      <c r="K98" s="20">
        <v>3000000</v>
      </c>
      <c r="L98" s="20">
        <f>J98*5</f>
        <v>6200000</v>
      </c>
      <c r="M98" s="22">
        <f>I98/(I98+I99)*100</f>
        <v>99.2</v>
      </c>
      <c r="N98" s="22">
        <f>I100/I98*100</f>
        <v>3.6290322580645165</v>
      </c>
      <c r="O98" s="23">
        <f>3.32*(LOG(L98)-LOG(K98))</f>
        <v>1.0466978434649215</v>
      </c>
      <c r="P98" s="23">
        <f>P95+O98</f>
        <v>20.935640146203376</v>
      </c>
      <c r="Q98" s="24"/>
      <c r="R98" s="24"/>
      <c r="S98" s="24"/>
    </row>
    <row r="99" spans="1:19" ht="14.25" customHeight="1" x14ac:dyDescent="0.35">
      <c r="A99" s="20"/>
      <c r="B99" s="92"/>
      <c r="C99" s="101"/>
      <c r="D99" s="92" t="s">
        <v>66</v>
      </c>
      <c r="E99" s="21">
        <v>1</v>
      </c>
      <c r="F99" s="21">
        <v>1</v>
      </c>
      <c r="G99" s="21">
        <v>0</v>
      </c>
      <c r="H99" s="21">
        <v>0</v>
      </c>
      <c r="I99" s="43">
        <f t="shared" si="0"/>
        <v>0.5</v>
      </c>
      <c r="J99" s="20"/>
      <c r="K99" s="20"/>
      <c r="L99" s="20"/>
      <c r="M99" s="20"/>
      <c r="N99" s="20"/>
      <c r="O99" s="20"/>
      <c r="P99" s="20"/>
      <c r="Q99" s="24"/>
      <c r="R99" s="24"/>
      <c r="S99" s="24"/>
    </row>
    <row r="100" spans="1:19" ht="14.25" customHeight="1" x14ac:dyDescent="0.35">
      <c r="A100" s="20"/>
      <c r="B100" s="92"/>
      <c r="C100" s="101"/>
      <c r="D100" s="92" t="s">
        <v>67</v>
      </c>
      <c r="E100" s="21">
        <v>1</v>
      </c>
      <c r="F100" s="21">
        <v>1</v>
      </c>
      <c r="G100" s="21">
        <v>2</v>
      </c>
      <c r="H100" s="21">
        <v>5</v>
      </c>
      <c r="I100" s="43">
        <f t="shared" si="0"/>
        <v>2.25</v>
      </c>
      <c r="J100" s="20"/>
      <c r="K100" s="20"/>
      <c r="L100" s="20"/>
      <c r="M100" s="20"/>
      <c r="N100" s="20"/>
      <c r="O100" s="20"/>
      <c r="P100" s="20"/>
      <c r="Q100" s="24"/>
      <c r="R100" s="24"/>
      <c r="S100" s="24"/>
    </row>
    <row r="101" spans="1:19" ht="14.25" customHeight="1" x14ac:dyDescent="0.35">
      <c r="A101" s="19" t="s">
        <v>36</v>
      </c>
      <c r="B101" s="92">
        <v>223</v>
      </c>
      <c r="C101" s="101" t="s">
        <v>41</v>
      </c>
      <c r="D101" s="91" t="s">
        <v>65</v>
      </c>
      <c r="E101" s="31">
        <v>82</v>
      </c>
      <c r="F101" s="31">
        <v>61</v>
      </c>
      <c r="G101" s="31">
        <v>83</v>
      </c>
      <c r="H101" s="31">
        <v>64</v>
      </c>
      <c r="I101" s="43">
        <f t="shared" si="0"/>
        <v>72.5</v>
      </c>
      <c r="J101" s="20">
        <f>I101*2*10000</f>
        <v>1450000</v>
      </c>
      <c r="K101" s="20">
        <v>3000000</v>
      </c>
      <c r="L101" s="20">
        <f>J101*5</f>
        <v>7250000</v>
      </c>
      <c r="M101" s="22">
        <f>I101/(I101+I102)*100</f>
        <v>98.976109215017061</v>
      </c>
      <c r="N101" s="22">
        <f>I103/I101*100</f>
        <v>2.0689655172413794</v>
      </c>
      <c r="O101" s="23">
        <f>3.32*(LOG(L101)-LOG(K101))</f>
        <v>1.2722796161464203</v>
      </c>
      <c r="P101" s="23">
        <f>P98+O101</f>
        <v>22.207919762349796</v>
      </c>
      <c r="Q101" s="41"/>
      <c r="R101" s="24"/>
      <c r="S101" s="24"/>
    </row>
    <row r="102" spans="1:19" ht="14.25" customHeight="1" x14ac:dyDescent="0.35">
      <c r="A102" s="20"/>
      <c r="B102" s="92"/>
      <c r="C102" s="101"/>
      <c r="D102" s="92" t="s">
        <v>66</v>
      </c>
      <c r="E102" s="31">
        <v>0</v>
      </c>
      <c r="F102" s="31">
        <v>1</v>
      </c>
      <c r="G102" s="31">
        <v>1</v>
      </c>
      <c r="H102" s="31">
        <v>1</v>
      </c>
      <c r="I102" s="43">
        <f t="shared" si="0"/>
        <v>0.75</v>
      </c>
      <c r="J102" s="20"/>
      <c r="K102" s="20"/>
      <c r="L102" s="20"/>
      <c r="M102" s="20"/>
      <c r="N102" s="20"/>
      <c r="O102" s="20"/>
      <c r="P102" s="20"/>
      <c r="Q102" s="24"/>
      <c r="R102" s="24"/>
      <c r="S102" s="24"/>
    </row>
    <row r="103" spans="1:19" ht="14.25" customHeight="1" x14ac:dyDescent="0.35">
      <c r="A103" s="20"/>
      <c r="B103" s="92"/>
      <c r="C103" s="101"/>
      <c r="D103" s="92" t="s">
        <v>67</v>
      </c>
      <c r="E103" s="31">
        <v>2</v>
      </c>
      <c r="F103" s="31">
        <v>2</v>
      </c>
      <c r="G103" s="31">
        <v>1</v>
      </c>
      <c r="H103" s="31">
        <v>1</v>
      </c>
      <c r="I103" s="43">
        <f t="shared" si="0"/>
        <v>1.5</v>
      </c>
      <c r="J103" s="20"/>
      <c r="K103" s="20"/>
      <c r="L103" s="20"/>
      <c r="M103" s="20"/>
      <c r="N103" s="20"/>
      <c r="O103" s="20"/>
      <c r="P103" s="20"/>
      <c r="Q103" s="24"/>
      <c r="R103" s="24"/>
      <c r="S103" s="24"/>
    </row>
    <row r="104" spans="1:19" ht="14.25" customHeight="1" x14ac:dyDescent="0.35">
      <c r="A104" s="19" t="s">
        <v>37</v>
      </c>
      <c r="B104" s="92">
        <v>230</v>
      </c>
      <c r="C104" s="101" t="s">
        <v>41</v>
      </c>
      <c r="D104" s="91" t="s">
        <v>65</v>
      </c>
      <c r="E104" s="31">
        <v>70</v>
      </c>
      <c r="F104" s="31">
        <v>65</v>
      </c>
      <c r="G104" s="31">
        <v>84</v>
      </c>
      <c r="H104" s="31">
        <v>74</v>
      </c>
      <c r="I104" s="43">
        <f t="shared" si="0"/>
        <v>73.25</v>
      </c>
      <c r="J104" s="20">
        <f>I104*2*10000</f>
        <v>1465000</v>
      </c>
      <c r="K104" s="20">
        <v>3000000</v>
      </c>
      <c r="L104" s="20">
        <f>J104*5</f>
        <v>7325000</v>
      </c>
      <c r="M104" s="22">
        <f>I104/(I104+I105)*100</f>
        <v>98.986486486486484</v>
      </c>
      <c r="N104" s="22">
        <f>I106/I104*100</f>
        <v>0.68259385665529015</v>
      </c>
      <c r="O104" s="23">
        <f>3.32*(LOG(L104)-LOG(K104))</f>
        <v>1.2871187626975298</v>
      </c>
      <c r="P104" s="23">
        <f>P101+O104</f>
        <v>23.495038525047327</v>
      </c>
      <c r="Q104" s="41"/>
      <c r="R104" s="24"/>
      <c r="S104" s="24"/>
    </row>
    <row r="105" spans="1:19" ht="14.25" customHeight="1" x14ac:dyDescent="0.35">
      <c r="A105" s="20"/>
      <c r="B105" s="92"/>
      <c r="C105" s="101"/>
      <c r="D105" s="92" t="s">
        <v>66</v>
      </c>
      <c r="E105" s="31">
        <v>1</v>
      </c>
      <c r="F105" s="31">
        <v>1</v>
      </c>
      <c r="G105" s="31">
        <v>0</v>
      </c>
      <c r="H105" s="31">
        <v>1</v>
      </c>
      <c r="I105" s="43">
        <f t="shared" si="0"/>
        <v>0.75</v>
      </c>
      <c r="J105" s="20"/>
      <c r="K105" s="20"/>
      <c r="L105" s="20"/>
      <c r="M105" s="20"/>
      <c r="N105" s="20"/>
      <c r="O105" s="20"/>
      <c r="P105" s="20"/>
      <c r="Q105" s="24"/>
      <c r="R105" s="24"/>
      <c r="S105" s="24"/>
    </row>
    <row r="106" spans="1:19" ht="14.25" customHeight="1" x14ac:dyDescent="0.35">
      <c r="A106" s="20"/>
      <c r="B106" s="92"/>
      <c r="C106" s="101"/>
      <c r="D106" s="92" t="s">
        <v>67</v>
      </c>
      <c r="E106" s="31">
        <v>0</v>
      </c>
      <c r="F106" s="31">
        <v>1</v>
      </c>
      <c r="G106" s="31">
        <v>0</v>
      </c>
      <c r="H106" s="31">
        <v>1</v>
      </c>
      <c r="I106" s="43">
        <f t="shared" si="0"/>
        <v>0.5</v>
      </c>
      <c r="J106" s="20"/>
      <c r="K106" s="20"/>
      <c r="L106" s="20"/>
      <c r="M106" s="20"/>
      <c r="N106" s="20"/>
      <c r="O106" s="20"/>
      <c r="P106" s="20"/>
      <c r="Q106" s="24"/>
      <c r="R106" s="24"/>
      <c r="S106" s="24"/>
    </row>
    <row r="107" spans="1:19" ht="14.25" customHeight="1" x14ac:dyDescent="0.35">
      <c r="A107" s="19" t="s">
        <v>38</v>
      </c>
      <c r="B107" s="92">
        <v>236</v>
      </c>
      <c r="C107" s="101" t="s">
        <v>41</v>
      </c>
      <c r="D107" s="91" t="s">
        <v>65</v>
      </c>
      <c r="E107" s="44">
        <v>45</v>
      </c>
      <c r="F107" s="44">
        <v>39</v>
      </c>
      <c r="G107" s="44">
        <v>42</v>
      </c>
      <c r="H107" s="44">
        <v>39</v>
      </c>
      <c r="I107" s="43">
        <f t="shared" si="0"/>
        <v>41.25</v>
      </c>
      <c r="J107" s="20">
        <f>I107*2*10000</f>
        <v>825000</v>
      </c>
      <c r="K107" s="20">
        <v>3000000</v>
      </c>
      <c r="L107" s="20">
        <f>J107*5</f>
        <v>4125000</v>
      </c>
      <c r="M107" s="22">
        <f>I107/(I107+I108)*100</f>
        <v>99.397590361445793</v>
      </c>
      <c r="N107" s="22">
        <f>I109/I107*100</f>
        <v>3.0303030303030303</v>
      </c>
      <c r="O107" s="23">
        <f>3.32*(LOG(L107)-LOG(K107))</f>
        <v>0.45916495791205492</v>
      </c>
      <c r="P107" s="23">
        <f>IF(O107&lt;0,P104,P104+O107)</f>
        <v>23.954203482959382</v>
      </c>
      <c r="Q107" s="24"/>
      <c r="R107" s="24"/>
      <c r="S107" s="24"/>
    </row>
    <row r="108" spans="1:19" ht="14.25" customHeight="1" x14ac:dyDescent="0.35">
      <c r="A108" s="20"/>
      <c r="B108" s="92"/>
      <c r="C108" s="101"/>
      <c r="D108" s="92" t="s">
        <v>66</v>
      </c>
      <c r="E108" s="44">
        <v>0</v>
      </c>
      <c r="F108" s="44">
        <v>1</v>
      </c>
      <c r="G108" s="44">
        <v>0</v>
      </c>
      <c r="H108" s="44">
        <v>0</v>
      </c>
      <c r="I108" s="43">
        <f t="shared" si="0"/>
        <v>0.25</v>
      </c>
      <c r="J108" s="20"/>
      <c r="K108" s="20"/>
      <c r="L108" s="20"/>
      <c r="M108" s="20"/>
      <c r="N108" s="20"/>
      <c r="O108" s="20"/>
      <c r="P108" s="20"/>
      <c r="Q108" s="24"/>
      <c r="R108" s="24"/>
      <c r="S108" s="24"/>
    </row>
    <row r="109" spans="1:19" ht="14.25" customHeight="1" x14ac:dyDescent="0.35">
      <c r="A109" s="20"/>
      <c r="B109" s="92"/>
      <c r="C109" s="101"/>
      <c r="D109" s="92" t="s">
        <v>67</v>
      </c>
      <c r="E109" s="44">
        <v>0</v>
      </c>
      <c r="F109" s="44">
        <v>2</v>
      </c>
      <c r="G109" s="44">
        <v>0</v>
      </c>
      <c r="H109" s="44">
        <v>3</v>
      </c>
      <c r="I109" s="43">
        <f t="shared" si="0"/>
        <v>1.25</v>
      </c>
      <c r="J109" s="20"/>
      <c r="K109" s="20"/>
      <c r="L109" s="20"/>
      <c r="M109" s="20"/>
      <c r="N109" s="20"/>
      <c r="O109" s="20"/>
      <c r="P109" s="20"/>
      <c r="Q109" s="24"/>
      <c r="R109" s="24"/>
      <c r="S109" s="24"/>
    </row>
    <row r="110" spans="1:19" ht="14.25" customHeight="1" x14ac:dyDescent="0.35">
      <c r="A110" s="19" t="s">
        <v>39</v>
      </c>
      <c r="B110" s="92">
        <v>243</v>
      </c>
      <c r="C110" s="101" t="s">
        <v>41</v>
      </c>
      <c r="D110" s="91" t="s">
        <v>65</v>
      </c>
      <c r="E110" s="44">
        <v>56</v>
      </c>
      <c r="F110" s="44">
        <v>46</v>
      </c>
      <c r="G110" s="44">
        <v>58</v>
      </c>
      <c r="H110" s="44">
        <v>46</v>
      </c>
      <c r="I110" s="43">
        <f t="shared" si="0"/>
        <v>51.5</v>
      </c>
      <c r="J110" s="20">
        <f>I110*2*10000</f>
        <v>1030000</v>
      </c>
      <c r="K110" s="20">
        <v>3000000</v>
      </c>
      <c r="L110" s="20">
        <f>J110*5</f>
        <v>5150000</v>
      </c>
      <c r="M110" s="22">
        <f>I110/(I110+I111)*100</f>
        <v>98.095238095238088</v>
      </c>
      <c r="N110" s="22">
        <f>I112/I110*100</f>
        <v>3.3980582524271843</v>
      </c>
      <c r="O110" s="23">
        <f>3.32*(LOG(L110)-LOG(K110))</f>
        <v>0.77915743474747345</v>
      </c>
      <c r="P110" s="23">
        <f>IF(O110&lt;0,P107,P107+O110)</f>
        <v>24.733360917706857</v>
      </c>
      <c r="Q110" s="24"/>
      <c r="R110" s="24"/>
      <c r="S110" s="24"/>
    </row>
    <row r="111" spans="1:19" ht="14.25" customHeight="1" x14ac:dyDescent="0.35">
      <c r="A111" s="20"/>
      <c r="B111" s="92"/>
      <c r="C111" s="101"/>
      <c r="D111" s="92" t="s">
        <v>66</v>
      </c>
      <c r="E111" s="44">
        <v>2</v>
      </c>
      <c r="F111" s="44">
        <v>1</v>
      </c>
      <c r="G111" s="44">
        <v>1</v>
      </c>
      <c r="H111" s="44">
        <v>0</v>
      </c>
      <c r="I111" s="43">
        <f t="shared" si="0"/>
        <v>1</v>
      </c>
      <c r="J111" s="20"/>
      <c r="K111" s="20"/>
      <c r="L111" s="20"/>
      <c r="M111" s="20"/>
      <c r="N111" s="20"/>
      <c r="O111" s="20"/>
      <c r="P111" s="20"/>
      <c r="Q111" s="24"/>
      <c r="R111" s="24"/>
      <c r="S111" s="24"/>
    </row>
    <row r="112" spans="1:19" ht="14.25" customHeight="1" x14ac:dyDescent="0.35">
      <c r="A112" s="20"/>
      <c r="B112" s="92"/>
      <c r="C112" s="101"/>
      <c r="D112" s="92" t="s">
        <v>67</v>
      </c>
      <c r="E112" s="44">
        <v>4</v>
      </c>
      <c r="F112" s="44">
        <v>0</v>
      </c>
      <c r="G112" s="44">
        <v>1</v>
      </c>
      <c r="H112" s="44">
        <v>2</v>
      </c>
      <c r="I112" s="43">
        <f t="shared" si="0"/>
        <v>1.75</v>
      </c>
      <c r="J112" s="20"/>
      <c r="K112" s="20"/>
      <c r="L112" s="20"/>
      <c r="M112" s="20"/>
      <c r="N112" s="20"/>
      <c r="O112" s="20"/>
      <c r="P112" s="20"/>
      <c r="Q112" s="24"/>
      <c r="R112" s="24"/>
      <c r="S112" s="24"/>
    </row>
    <row r="113" spans="1:19" ht="14.25" customHeight="1" x14ac:dyDescent="0.35">
      <c r="A113" s="19" t="s">
        <v>40</v>
      </c>
      <c r="B113" s="92">
        <f>B110+7</f>
        <v>250</v>
      </c>
      <c r="C113" s="101" t="s">
        <v>41</v>
      </c>
      <c r="D113" s="91" t="s">
        <v>65</v>
      </c>
      <c r="E113" s="21">
        <v>67</v>
      </c>
      <c r="F113" s="21">
        <v>50</v>
      </c>
      <c r="G113" s="21">
        <v>36</v>
      </c>
      <c r="H113" s="21">
        <v>42</v>
      </c>
      <c r="I113" s="43">
        <f t="shared" si="0"/>
        <v>48.75</v>
      </c>
      <c r="J113" s="20">
        <f>I113*2*10000</f>
        <v>975000</v>
      </c>
      <c r="K113" s="20">
        <v>3000000</v>
      </c>
      <c r="L113" s="20">
        <f>J113*5</f>
        <v>4875000</v>
      </c>
      <c r="M113" s="22">
        <f>I113/(I113+I114)*100</f>
        <v>100</v>
      </c>
      <c r="N113" s="22">
        <f>I115/I113*100</f>
        <v>2.0512820512820511</v>
      </c>
      <c r="O113" s="23">
        <f>3.32*(LOG(L113)-LOG(K113))</f>
        <v>0.70003317284544531</v>
      </c>
      <c r="P113" s="23">
        <f>IF(O113&lt;0,P110,P110+O113)</f>
        <v>25.433394090552301</v>
      </c>
      <c r="Q113" s="24"/>
      <c r="R113" s="24"/>
      <c r="S113" s="24"/>
    </row>
    <row r="114" spans="1:19" ht="14.25" customHeight="1" x14ac:dyDescent="0.35">
      <c r="A114" s="20"/>
      <c r="B114" s="92"/>
      <c r="C114" s="101"/>
      <c r="D114" s="92" t="s">
        <v>66</v>
      </c>
      <c r="E114" s="21">
        <v>0</v>
      </c>
      <c r="F114" s="21">
        <v>0</v>
      </c>
      <c r="G114" s="21">
        <v>0</v>
      </c>
      <c r="H114" s="21">
        <v>0</v>
      </c>
      <c r="I114" s="43">
        <f t="shared" si="0"/>
        <v>0</v>
      </c>
      <c r="J114" s="20"/>
      <c r="K114" s="20"/>
      <c r="L114" s="20"/>
      <c r="M114" s="20"/>
      <c r="N114" s="20"/>
      <c r="O114" s="20"/>
      <c r="P114" s="20"/>
      <c r="Q114" s="24"/>
      <c r="R114" s="24"/>
      <c r="S114" s="24"/>
    </row>
    <row r="115" spans="1:19" ht="14.25" customHeight="1" x14ac:dyDescent="0.35">
      <c r="A115" s="20"/>
      <c r="B115" s="92"/>
      <c r="C115" s="101"/>
      <c r="D115" s="92" t="s">
        <v>67</v>
      </c>
      <c r="E115" s="21">
        <v>2</v>
      </c>
      <c r="F115" s="21">
        <v>1</v>
      </c>
      <c r="G115" s="21">
        <v>1</v>
      </c>
      <c r="H115" s="21">
        <v>0</v>
      </c>
      <c r="I115" s="43">
        <f t="shared" si="0"/>
        <v>1</v>
      </c>
      <c r="J115" s="28"/>
      <c r="K115" s="28"/>
      <c r="L115" s="28"/>
      <c r="M115" s="27"/>
      <c r="N115" s="20"/>
      <c r="O115" s="28"/>
      <c r="P115" s="29"/>
      <c r="Q115" s="37"/>
      <c r="R115" s="37"/>
      <c r="S115" s="37"/>
    </row>
    <row r="116" spans="1:19" ht="14.25" customHeight="1" x14ac:dyDescent="0.35">
      <c r="A116" s="30">
        <v>44606</v>
      </c>
      <c r="B116" s="92">
        <f>B113+7</f>
        <v>257</v>
      </c>
      <c r="C116" s="101" t="s">
        <v>41</v>
      </c>
      <c r="D116" s="91" t="s">
        <v>65</v>
      </c>
      <c r="E116" s="21">
        <v>37</v>
      </c>
      <c r="F116" s="21">
        <v>56</v>
      </c>
      <c r="G116" s="21">
        <v>67</v>
      </c>
      <c r="H116" s="21">
        <v>48</v>
      </c>
      <c r="I116" s="43">
        <f t="shared" si="0"/>
        <v>52</v>
      </c>
      <c r="J116" s="20">
        <f>I116*2*10000</f>
        <v>1040000</v>
      </c>
      <c r="K116" s="20">
        <v>3000000</v>
      </c>
      <c r="L116" s="20">
        <f>J116*5</f>
        <v>5200000</v>
      </c>
      <c r="M116" s="22">
        <f>I116/(I116+I117)*100</f>
        <v>99.047619047619051</v>
      </c>
      <c r="N116" s="22">
        <f>I118/I116*100</f>
        <v>2.4038461538461542</v>
      </c>
      <c r="O116" s="23">
        <f>3.32*(LOG(L116)-LOG(K116))</f>
        <v>0.79308853519825429</v>
      </c>
      <c r="P116" s="23">
        <f>IF(O116&lt;0,P113,P113+O116)</f>
        <v>26.226482625750556</v>
      </c>
      <c r="Q116" s="38"/>
      <c r="R116" s="38"/>
      <c r="S116" s="39"/>
    </row>
    <row r="117" spans="1:19" ht="14.25" customHeight="1" x14ac:dyDescent="0.35">
      <c r="A117" s="20"/>
      <c r="B117" s="92"/>
      <c r="C117" s="101"/>
      <c r="D117" s="92" t="s">
        <v>66</v>
      </c>
      <c r="E117" s="21">
        <v>0</v>
      </c>
      <c r="F117" s="21">
        <v>0</v>
      </c>
      <c r="G117" s="21">
        <v>0</v>
      </c>
      <c r="H117" s="21">
        <v>2</v>
      </c>
      <c r="I117" s="43">
        <f t="shared" si="0"/>
        <v>0.5</v>
      </c>
      <c r="J117" s="20"/>
      <c r="K117" s="20"/>
      <c r="L117" s="20"/>
      <c r="M117" s="20"/>
      <c r="N117" s="20"/>
      <c r="O117" s="20"/>
      <c r="P117" s="20"/>
      <c r="Q117" s="24"/>
      <c r="R117" s="24"/>
      <c r="S117" s="24"/>
    </row>
    <row r="118" spans="1:19" ht="14.25" customHeight="1" x14ac:dyDescent="0.35">
      <c r="A118" s="20"/>
      <c r="B118" s="92"/>
      <c r="C118" s="101"/>
      <c r="D118" s="92" t="s">
        <v>67</v>
      </c>
      <c r="E118" s="21">
        <v>0</v>
      </c>
      <c r="F118" s="21">
        <v>3</v>
      </c>
      <c r="G118" s="21">
        <v>0</v>
      </c>
      <c r="H118" s="21">
        <v>2</v>
      </c>
      <c r="I118" s="43">
        <f t="shared" si="0"/>
        <v>1.25</v>
      </c>
      <c r="J118" s="20"/>
      <c r="K118" s="20"/>
      <c r="L118" s="20"/>
      <c r="M118" s="20"/>
      <c r="N118" s="20"/>
      <c r="O118" s="20"/>
      <c r="P118" s="20"/>
      <c r="Q118" s="24"/>
      <c r="R118" s="24"/>
      <c r="S118" s="24"/>
    </row>
    <row r="119" spans="1:19" ht="14.25" customHeight="1" x14ac:dyDescent="0.35">
      <c r="A119" s="30">
        <v>44614</v>
      </c>
      <c r="B119" s="92">
        <f>B116+7</f>
        <v>264</v>
      </c>
      <c r="C119" s="101" t="s">
        <v>41</v>
      </c>
      <c r="D119" s="91" t="s">
        <v>65</v>
      </c>
      <c r="E119" s="45">
        <v>123</v>
      </c>
      <c r="F119" s="45">
        <v>125</v>
      </c>
      <c r="G119" s="45">
        <v>143</v>
      </c>
      <c r="H119" s="45">
        <v>117</v>
      </c>
      <c r="I119" s="43">
        <f t="shared" si="0"/>
        <v>127</v>
      </c>
      <c r="J119" s="20">
        <f>I119*2*10000</f>
        <v>2540000</v>
      </c>
      <c r="K119" s="20">
        <v>3000000</v>
      </c>
      <c r="L119" s="20">
        <f>J119*5</f>
        <v>12700000</v>
      </c>
      <c r="M119" s="22">
        <f>I119/(I119+I120)*100</f>
        <v>99.21875</v>
      </c>
      <c r="N119" s="22">
        <f>I121/I119*100</f>
        <v>0.39370078740157477</v>
      </c>
      <c r="O119" s="23">
        <f>3.32*(LOG(L119)-LOG(K119))</f>
        <v>2.0805857879044982</v>
      </c>
      <c r="P119" s="23">
        <f>IF(O119&lt;0,P116,P116+O119)</f>
        <v>28.307068413655053</v>
      </c>
      <c r="Q119" s="38"/>
      <c r="R119" s="38"/>
      <c r="S119" s="39"/>
    </row>
    <row r="120" spans="1:19" ht="14.25" customHeight="1" x14ac:dyDescent="0.35">
      <c r="A120" s="20"/>
      <c r="B120" s="92"/>
      <c r="C120" s="101"/>
      <c r="D120" s="92" t="s">
        <v>66</v>
      </c>
      <c r="E120" s="45">
        <v>1</v>
      </c>
      <c r="F120" s="45">
        <v>1</v>
      </c>
      <c r="G120" s="45">
        <v>2</v>
      </c>
      <c r="H120" s="45">
        <v>0</v>
      </c>
      <c r="I120" s="43">
        <f t="shared" si="0"/>
        <v>1</v>
      </c>
      <c r="J120" s="20"/>
      <c r="K120" s="20"/>
      <c r="L120" s="20"/>
      <c r="M120" s="20"/>
      <c r="N120" s="20"/>
      <c r="O120" s="20"/>
      <c r="P120" s="20"/>
      <c r="Q120" s="24"/>
      <c r="R120" s="24"/>
      <c r="S120" s="24"/>
    </row>
    <row r="121" spans="1:19" ht="14.25" customHeight="1" x14ac:dyDescent="0.35">
      <c r="A121" s="20"/>
      <c r="B121" s="92"/>
      <c r="C121" s="101"/>
      <c r="D121" s="92" t="s">
        <v>67</v>
      </c>
      <c r="E121" s="45">
        <v>0</v>
      </c>
      <c r="F121" s="45">
        <v>0</v>
      </c>
      <c r="G121" s="45">
        <v>1</v>
      </c>
      <c r="H121" s="45">
        <v>1</v>
      </c>
      <c r="I121" s="43">
        <f t="shared" si="0"/>
        <v>0.5</v>
      </c>
      <c r="J121" s="20"/>
      <c r="K121" s="20"/>
      <c r="L121" s="20"/>
      <c r="M121" s="20"/>
      <c r="N121" s="20"/>
      <c r="O121" s="20"/>
      <c r="P121" s="20"/>
      <c r="Q121" s="24"/>
      <c r="R121" s="24"/>
      <c r="S121" s="24"/>
    </row>
    <row r="122" spans="1:19" ht="14.25" customHeight="1" x14ac:dyDescent="0.35">
      <c r="A122" s="30">
        <v>44620</v>
      </c>
      <c r="B122" s="92">
        <f>B119+6</f>
        <v>270</v>
      </c>
      <c r="C122" s="101" t="s">
        <v>41</v>
      </c>
      <c r="D122" s="91" t="s">
        <v>65</v>
      </c>
      <c r="E122" s="45">
        <v>74</v>
      </c>
      <c r="F122" s="45">
        <v>53</v>
      </c>
      <c r="G122" s="45">
        <v>67</v>
      </c>
      <c r="H122" s="45">
        <v>79</v>
      </c>
      <c r="I122" s="43">
        <f t="shared" si="0"/>
        <v>68.25</v>
      </c>
      <c r="J122" s="20">
        <f>I122*2*10000</f>
        <v>1365000</v>
      </c>
      <c r="K122" s="20">
        <v>3000000</v>
      </c>
      <c r="L122" s="20">
        <f>J122*5</f>
        <v>6825000</v>
      </c>
      <c r="M122" s="22">
        <f>I122/(I122+I123)*100</f>
        <v>98.201438848920859</v>
      </c>
      <c r="N122" s="22">
        <f>I124/I122*100</f>
        <v>0</v>
      </c>
      <c r="O122" s="23">
        <f>3.32*(LOG(L122)-LOG(K122))</f>
        <v>1.185178251297196</v>
      </c>
      <c r="P122" s="23">
        <f>IF(O122&lt;0,P119,P119+O122)</f>
        <v>29.492246664952248</v>
      </c>
      <c r="Q122" s="38"/>
      <c r="R122" s="38"/>
      <c r="S122" s="39"/>
    </row>
    <row r="123" spans="1:19" ht="14.25" customHeight="1" x14ac:dyDescent="0.35">
      <c r="A123" s="20"/>
      <c r="B123" s="92"/>
      <c r="C123" s="101"/>
      <c r="D123" s="92" t="s">
        <v>66</v>
      </c>
      <c r="E123" s="45">
        <v>4</v>
      </c>
      <c r="F123" s="45">
        <v>0</v>
      </c>
      <c r="G123" s="45">
        <v>1</v>
      </c>
      <c r="H123" s="45">
        <v>0</v>
      </c>
      <c r="I123" s="43">
        <f t="shared" si="0"/>
        <v>1.25</v>
      </c>
      <c r="J123" s="20"/>
      <c r="K123" s="20"/>
      <c r="L123" s="20"/>
      <c r="M123" s="20"/>
      <c r="N123" s="20"/>
      <c r="O123" s="20"/>
      <c r="P123" s="20"/>
      <c r="Q123" s="24"/>
      <c r="R123" s="24"/>
      <c r="S123" s="24"/>
    </row>
    <row r="124" spans="1:19" ht="14.25" customHeight="1" x14ac:dyDescent="0.35">
      <c r="A124" s="20"/>
      <c r="B124" s="92"/>
      <c r="C124" s="101"/>
      <c r="D124" s="92" t="s">
        <v>67</v>
      </c>
      <c r="E124" s="45">
        <v>0</v>
      </c>
      <c r="F124" s="45">
        <v>0</v>
      </c>
      <c r="G124" s="45">
        <v>0</v>
      </c>
      <c r="H124" s="45">
        <v>0</v>
      </c>
      <c r="I124" s="43">
        <f t="shared" si="0"/>
        <v>0</v>
      </c>
      <c r="J124" s="20"/>
      <c r="K124" s="20"/>
      <c r="L124" s="20"/>
      <c r="M124" s="20"/>
      <c r="N124" s="20"/>
      <c r="O124" s="20"/>
      <c r="P124" s="20"/>
      <c r="Q124" s="24"/>
      <c r="R124" s="24"/>
      <c r="S124" s="24"/>
    </row>
    <row r="125" spans="1:19" ht="14.25" customHeight="1" x14ac:dyDescent="0.35">
      <c r="A125" s="30">
        <v>44627</v>
      </c>
      <c r="B125" s="92">
        <f>B122+7</f>
        <v>277</v>
      </c>
      <c r="C125" s="101" t="s">
        <v>41</v>
      </c>
      <c r="D125" s="91" t="s">
        <v>65</v>
      </c>
      <c r="E125" s="45">
        <v>37</v>
      </c>
      <c r="F125" s="45">
        <v>55</v>
      </c>
      <c r="G125" s="45">
        <v>41</v>
      </c>
      <c r="H125" s="45">
        <v>43</v>
      </c>
      <c r="I125" s="43">
        <f t="shared" si="0"/>
        <v>44</v>
      </c>
      <c r="J125" s="20">
        <f>I125*2*10000</f>
        <v>880000</v>
      </c>
      <c r="K125" s="20">
        <v>3000000</v>
      </c>
      <c r="L125" s="20">
        <f>J125*5</f>
        <v>4400000</v>
      </c>
      <c r="M125" s="22">
        <f>I125/(I125+I126)*100</f>
        <v>98.876404494382015</v>
      </c>
      <c r="N125" s="22">
        <f>I127/I125*100</f>
        <v>0</v>
      </c>
      <c r="O125" s="23">
        <f>3.32*(LOG(L125)-LOG(K125))</f>
        <v>0.5522203202648639</v>
      </c>
      <c r="P125" s="23">
        <f>IF(O125&lt;0,P122,P122+O125)</f>
        <v>30.044466985217113</v>
      </c>
      <c r="Q125" s="38"/>
      <c r="R125" s="38"/>
      <c r="S125" s="39"/>
    </row>
    <row r="126" spans="1:19" ht="14.25" customHeight="1" x14ac:dyDescent="0.35">
      <c r="A126" s="20"/>
      <c r="B126" s="92"/>
      <c r="C126" s="101"/>
      <c r="D126" s="92" t="s">
        <v>66</v>
      </c>
      <c r="E126" s="45">
        <v>0</v>
      </c>
      <c r="F126" s="45">
        <v>0</v>
      </c>
      <c r="G126" s="45">
        <v>2</v>
      </c>
      <c r="H126" s="45">
        <v>0</v>
      </c>
      <c r="I126" s="43">
        <f t="shared" si="0"/>
        <v>0.5</v>
      </c>
      <c r="J126" s="20"/>
      <c r="K126" s="20"/>
      <c r="L126" s="20"/>
      <c r="M126" s="20"/>
      <c r="N126" s="20"/>
      <c r="O126" s="20"/>
      <c r="P126" s="20"/>
      <c r="Q126" s="24"/>
      <c r="R126" s="24"/>
      <c r="S126" s="24"/>
    </row>
    <row r="127" spans="1:19" ht="14.25" customHeight="1" x14ac:dyDescent="0.35">
      <c r="A127" s="20"/>
      <c r="B127" s="92"/>
      <c r="C127" s="101"/>
      <c r="D127" s="92" t="s">
        <v>67</v>
      </c>
      <c r="E127" s="45">
        <v>0</v>
      </c>
      <c r="F127" s="45">
        <v>0</v>
      </c>
      <c r="G127" s="45">
        <v>0</v>
      </c>
      <c r="H127" s="45">
        <v>0</v>
      </c>
      <c r="I127" s="43">
        <f t="shared" si="0"/>
        <v>0</v>
      </c>
      <c r="J127" s="20"/>
      <c r="K127" s="20"/>
      <c r="L127" s="20"/>
      <c r="M127" s="20"/>
      <c r="N127" s="20"/>
      <c r="O127" s="20"/>
      <c r="P127" s="20"/>
      <c r="Q127" s="24"/>
      <c r="R127" s="24"/>
      <c r="S127" s="24"/>
    </row>
    <row r="128" spans="1:19" ht="14.25" customHeight="1" x14ac:dyDescent="0.35">
      <c r="A128" s="30">
        <v>44634</v>
      </c>
      <c r="B128" s="92">
        <f>B125+7</f>
        <v>284</v>
      </c>
      <c r="C128" s="101" t="s">
        <v>41</v>
      </c>
      <c r="D128" s="91" t="s">
        <v>65</v>
      </c>
      <c r="E128" s="45">
        <v>38</v>
      </c>
      <c r="F128" s="45">
        <v>37</v>
      </c>
      <c r="G128" s="45">
        <v>52</v>
      </c>
      <c r="H128" s="45">
        <v>33</v>
      </c>
      <c r="I128" s="43">
        <f t="shared" si="0"/>
        <v>40</v>
      </c>
      <c r="J128" s="20">
        <f>I128*2*10000</f>
        <v>800000</v>
      </c>
      <c r="K128" s="20">
        <f>$K$125</f>
        <v>3000000</v>
      </c>
      <c r="L128" s="20">
        <f>J128*5</f>
        <v>4000000</v>
      </c>
      <c r="M128" s="22">
        <f>I128/(I128+I129)*100</f>
        <v>99.378881987577643</v>
      </c>
      <c r="N128" s="22">
        <f>I130/I128*100</f>
        <v>0</v>
      </c>
      <c r="O128" s="23">
        <f>3.32*(LOG(L128)-LOG(K128))</f>
        <v>0.41479660553955566</v>
      </c>
      <c r="P128" s="23">
        <f>IF(O128&lt;0,P125,P125+O128)</f>
        <v>30.45926359075667</v>
      </c>
      <c r="Q128" s="38"/>
      <c r="R128" s="38"/>
      <c r="S128" s="39"/>
    </row>
    <row r="129" spans="1:19" ht="14.25" customHeight="1" x14ac:dyDescent="0.35">
      <c r="A129" s="20"/>
      <c r="B129" s="92"/>
      <c r="C129" s="101"/>
      <c r="D129" s="92" t="s">
        <v>66</v>
      </c>
      <c r="E129" s="45">
        <v>0</v>
      </c>
      <c r="F129" s="45">
        <v>1</v>
      </c>
      <c r="G129" s="45">
        <v>0</v>
      </c>
      <c r="H129" s="45">
        <v>0</v>
      </c>
      <c r="I129" s="43">
        <f t="shared" si="0"/>
        <v>0.25</v>
      </c>
      <c r="J129" s="20"/>
      <c r="K129" s="20"/>
      <c r="L129" s="20"/>
      <c r="M129" s="20"/>
      <c r="N129" s="20"/>
      <c r="O129" s="20"/>
      <c r="P129" s="20"/>
      <c r="Q129" s="24"/>
      <c r="R129" s="24"/>
      <c r="S129" s="24"/>
    </row>
    <row r="130" spans="1:19" ht="14.25" customHeight="1" x14ac:dyDescent="0.35">
      <c r="A130" s="20"/>
      <c r="B130" s="92"/>
      <c r="C130" s="101"/>
      <c r="D130" s="92" t="s">
        <v>67</v>
      </c>
      <c r="E130" s="45">
        <v>0</v>
      </c>
      <c r="F130" s="45">
        <v>0</v>
      </c>
      <c r="G130" s="45">
        <v>0</v>
      </c>
      <c r="H130" s="45">
        <v>0</v>
      </c>
      <c r="I130" s="43">
        <f t="shared" si="0"/>
        <v>0</v>
      </c>
      <c r="J130" s="20"/>
      <c r="K130" s="20"/>
      <c r="L130" s="20"/>
      <c r="M130" s="20"/>
      <c r="N130" s="20"/>
      <c r="O130" s="20"/>
      <c r="P130" s="20"/>
      <c r="Q130" s="24"/>
      <c r="R130" s="24"/>
      <c r="S130" s="24"/>
    </row>
    <row r="131" spans="1:19" ht="14.25" customHeight="1" x14ac:dyDescent="0.35">
      <c r="A131" s="30">
        <v>44641</v>
      </c>
      <c r="B131" s="92">
        <f>B128+7</f>
        <v>291</v>
      </c>
      <c r="C131" s="101" t="s">
        <v>41</v>
      </c>
      <c r="D131" s="91" t="s">
        <v>65</v>
      </c>
      <c r="E131" s="45">
        <v>71</v>
      </c>
      <c r="F131" s="45">
        <v>73</v>
      </c>
      <c r="G131" s="45">
        <v>69</v>
      </c>
      <c r="H131" s="45">
        <v>82</v>
      </c>
      <c r="I131" s="43">
        <f t="shared" si="0"/>
        <v>73.75</v>
      </c>
      <c r="J131" s="20">
        <f>I131*2*10000</f>
        <v>1475000</v>
      </c>
      <c r="K131" s="20">
        <f>$K$125</f>
        <v>3000000</v>
      </c>
      <c r="L131" s="20">
        <f>J131*5</f>
        <v>7375000</v>
      </c>
      <c r="M131" s="22">
        <f>I131/(I131+I132)*100</f>
        <v>100</v>
      </c>
      <c r="N131" s="22">
        <f>I133/I131*100</f>
        <v>0</v>
      </c>
      <c r="O131" s="23">
        <f>3.32*(LOG(L131)-LOG(K131))</f>
        <v>1.296927356169387</v>
      </c>
      <c r="P131" s="23">
        <f>IF(O131&lt;0,P128,P128+O131)</f>
        <v>31.756190946926058</v>
      </c>
      <c r="Q131" s="38"/>
      <c r="R131" s="38"/>
      <c r="S131" s="39"/>
    </row>
    <row r="132" spans="1:19" ht="14.25" customHeight="1" x14ac:dyDescent="0.35">
      <c r="A132" s="20"/>
      <c r="B132" s="92"/>
      <c r="C132" s="101"/>
      <c r="D132" s="92" t="s">
        <v>66</v>
      </c>
      <c r="E132" s="45">
        <v>0</v>
      </c>
      <c r="F132" s="45">
        <v>0</v>
      </c>
      <c r="G132" s="45">
        <v>0</v>
      </c>
      <c r="H132" s="45">
        <v>0</v>
      </c>
      <c r="I132" s="43">
        <f t="shared" si="0"/>
        <v>0</v>
      </c>
      <c r="J132" s="20"/>
      <c r="K132" s="20"/>
      <c r="L132" s="20"/>
      <c r="M132" s="20"/>
      <c r="N132" s="20"/>
      <c r="O132" s="20"/>
      <c r="P132" s="20"/>
      <c r="Q132" s="24"/>
      <c r="R132" s="24"/>
      <c r="S132" s="24"/>
    </row>
    <row r="133" spans="1:19" ht="14.25" customHeight="1" x14ac:dyDescent="0.35">
      <c r="A133" s="20"/>
      <c r="B133" s="92"/>
      <c r="C133" s="101"/>
      <c r="D133" s="92" t="s">
        <v>67</v>
      </c>
      <c r="E133" s="45">
        <v>0</v>
      </c>
      <c r="F133" s="45">
        <v>0</v>
      </c>
      <c r="G133" s="45">
        <v>0</v>
      </c>
      <c r="H133" s="45">
        <v>0</v>
      </c>
      <c r="I133" s="43">
        <f t="shared" si="0"/>
        <v>0</v>
      </c>
      <c r="J133" s="20"/>
      <c r="K133" s="20"/>
      <c r="L133" s="20"/>
      <c r="M133" s="20"/>
      <c r="N133" s="20"/>
      <c r="O133" s="20"/>
      <c r="P133" s="20"/>
      <c r="Q133" s="24"/>
      <c r="R133" s="24"/>
      <c r="S133" s="24"/>
    </row>
    <row r="134" spans="1:19" ht="14.25" customHeight="1" x14ac:dyDescent="0.35">
      <c r="A134" s="30">
        <v>44649</v>
      </c>
      <c r="B134" s="92">
        <f>B131+8</f>
        <v>299</v>
      </c>
      <c r="C134" s="101" t="str">
        <f>$C$125</f>
        <v>5% FBS R2</v>
      </c>
      <c r="D134" s="91" t="s">
        <v>65</v>
      </c>
      <c r="E134" s="45">
        <v>139</v>
      </c>
      <c r="F134" s="45">
        <v>131</v>
      </c>
      <c r="G134" s="45">
        <f>37*4</f>
        <v>148</v>
      </c>
      <c r="H134" s="45">
        <f>40*4</f>
        <v>160</v>
      </c>
      <c r="I134" s="43">
        <f t="shared" si="0"/>
        <v>144.5</v>
      </c>
      <c r="J134" s="20">
        <f>I134*2*10000</f>
        <v>2890000</v>
      </c>
      <c r="K134" s="20">
        <f>$K$125</f>
        <v>3000000</v>
      </c>
      <c r="L134" s="20">
        <f>J134*5</f>
        <v>14450000</v>
      </c>
      <c r="M134" s="22">
        <f>I134/(I134+I135)*100</f>
        <v>96.817420435510897</v>
      </c>
      <c r="N134" s="22">
        <f>I136/I134*100</f>
        <v>0</v>
      </c>
      <c r="O134" s="23">
        <f>3.32*(LOG(L134)-LOG(K134))</f>
        <v>2.2667186866780424</v>
      </c>
      <c r="P134" s="23">
        <f>IF(O134&lt;0,P131,P131+O134)</f>
        <v>34.022909633604101</v>
      </c>
      <c r="Q134" s="38"/>
      <c r="R134" s="38"/>
      <c r="S134" s="39"/>
    </row>
    <row r="135" spans="1:19" ht="14.25" customHeight="1" x14ac:dyDescent="0.35">
      <c r="A135" s="20"/>
      <c r="B135" s="92"/>
      <c r="C135" s="101"/>
      <c r="D135" s="92" t="s">
        <v>66</v>
      </c>
      <c r="E135" s="45">
        <v>2</v>
      </c>
      <c r="F135" s="45">
        <v>9</v>
      </c>
      <c r="G135" s="45">
        <v>2</v>
      </c>
      <c r="H135" s="45">
        <v>6</v>
      </c>
      <c r="I135" s="43">
        <f t="shared" si="0"/>
        <v>4.75</v>
      </c>
      <c r="J135" s="20"/>
      <c r="K135" s="20"/>
      <c r="L135" s="20"/>
      <c r="M135" s="20"/>
      <c r="N135" s="20"/>
      <c r="O135" s="20"/>
      <c r="P135" s="20"/>
      <c r="Q135" s="24"/>
      <c r="R135" s="24"/>
      <c r="S135" s="24"/>
    </row>
    <row r="136" spans="1:19" ht="14.25" customHeight="1" x14ac:dyDescent="0.35">
      <c r="A136" s="20"/>
      <c r="B136" s="92"/>
      <c r="C136" s="101"/>
      <c r="D136" s="92" t="s">
        <v>67</v>
      </c>
      <c r="E136" s="45">
        <v>0</v>
      </c>
      <c r="F136" s="45">
        <v>0</v>
      </c>
      <c r="G136" s="45">
        <v>0</v>
      </c>
      <c r="H136" s="45">
        <v>0</v>
      </c>
      <c r="I136" s="43">
        <f t="shared" si="0"/>
        <v>0</v>
      </c>
      <c r="J136" s="20"/>
      <c r="K136" s="20"/>
      <c r="L136" s="20"/>
      <c r="M136" s="20"/>
      <c r="N136" s="20"/>
      <c r="O136" s="20"/>
      <c r="P136" s="20"/>
      <c r="Q136" s="24"/>
      <c r="R136" s="24"/>
      <c r="S136" s="24"/>
    </row>
    <row r="137" spans="1:19" ht="14.25" customHeight="1" x14ac:dyDescent="0.35">
      <c r="A137" s="30">
        <v>44653</v>
      </c>
      <c r="B137" s="92">
        <f>B134+7</f>
        <v>306</v>
      </c>
      <c r="C137" s="101" t="str">
        <f>$C$125</f>
        <v>5% FBS R2</v>
      </c>
      <c r="D137" s="91" t="s">
        <v>65</v>
      </c>
      <c r="E137" s="45">
        <v>114</v>
      </c>
      <c r="F137" s="45">
        <v>103</v>
      </c>
      <c r="G137" s="45">
        <v>94</v>
      </c>
      <c r="H137" s="45">
        <v>108</v>
      </c>
      <c r="I137" s="43">
        <f t="shared" si="0"/>
        <v>104.75</v>
      </c>
      <c r="J137" s="20">
        <f>I137*2*10000</f>
        <v>2095000</v>
      </c>
      <c r="K137" s="20">
        <f>$K$125</f>
        <v>3000000</v>
      </c>
      <c r="L137" s="20">
        <f>J137*5</f>
        <v>10475000</v>
      </c>
      <c r="M137" s="22">
        <f>I137/(I137+I138)*100</f>
        <v>97.89719626168224</v>
      </c>
      <c r="N137" s="22">
        <f>I139/I137*100</f>
        <v>0.71599045346062051</v>
      </c>
      <c r="O137" s="23">
        <f>3.32*(LOG(L137)-LOG(K137))</f>
        <v>1.8028688193699844</v>
      </c>
      <c r="P137" s="23">
        <f>IF(O137&lt;0,P134,P134+O137)</f>
        <v>35.825778452974085</v>
      </c>
      <c r="Q137" s="38"/>
      <c r="R137" s="38"/>
      <c r="S137" s="39"/>
    </row>
    <row r="138" spans="1:19" ht="14.25" customHeight="1" x14ac:dyDescent="0.35">
      <c r="A138" s="20"/>
      <c r="B138" s="92"/>
      <c r="C138" s="101"/>
      <c r="D138" s="92" t="s">
        <v>66</v>
      </c>
      <c r="E138" s="45">
        <v>0</v>
      </c>
      <c r="F138" s="45">
        <v>4</v>
      </c>
      <c r="G138" s="45">
        <v>3</v>
      </c>
      <c r="H138" s="45">
        <v>2</v>
      </c>
      <c r="I138" s="43">
        <f t="shared" si="0"/>
        <v>2.25</v>
      </c>
      <c r="J138" s="20"/>
      <c r="K138" s="20"/>
      <c r="L138" s="20"/>
      <c r="M138" s="20"/>
      <c r="N138" s="20"/>
      <c r="O138" s="20"/>
      <c r="P138" s="20"/>
      <c r="Q138" s="24"/>
      <c r="R138" s="24"/>
      <c r="S138" s="24"/>
    </row>
    <row r="139" spans="1:19" ht="14.25" customHeight="1" x14ac:dyDescent="0.35">
      <c r="A139" s="20"/>
      <c r="B139" s="92"/>
      <c r="C139" s="101"/>
      <c r="D139" s="92" t="s">
        <v>67</v>
      </c>
      <c r="E139" s="45">
        <v>0</v>
      </c>
      <c r="F139" s="45">
        <v>0</v>
      </c>
      <c r="G139" s="45">
        <v>1</v>
      </c>
      <c r="H139" s="45">
        <v>2</v>
      </c>
      <c r="I139" s="43">
        <f t="shared" si="0"/>
        <v>0.75</v>
      </c>
      <c r="J139" s="20"/>
      <c r="K139" s="20"/>
      <c r="L139" s="20"/>
      <c r="M139" s="20"/>
      <c r="N139" s="20"/>
      <c r="O139" s="20"/>
      <c r="P139" s="20"/>
      <c r="Q139" s="24"/>
      <c r="R139" s="24"/>
      <c r="S139" s="24"/>
    </row>
    <row r="140" spans="1:19" ht="14.25" customHeight="1" x14ac:dyDescent="0.35">
      <c r="A140" s="30">
        <v>44662</v>
      </c>
      <c r="B140" s="92">
        <f>B137+7</f>
        <v>313</v>
      </c>
      <c r="C140" s="101" t="str">
        <f>$C$125</f>
        <v>5% FBS R2</v>
      </c>
      <c r="D140" s="91" t="s">
        <v>65</v>
      </c>
      <c r="E140" s="45">
        <v>66</v>
      </c>
      <c r="F140" s="45">
        <v>48</v>
      </c>
      <c r="G140" s="45">
        <v>112</v>
      </c>
      <c r="H140" s="45">
        <v>73</v>
      </c>
      <c r="I140" s="43">
        <f t="shared" si="0"/>
        <v>74.75</v>
      </c>
      <c r="J140" s="20">
        <f>I140*2*10000</f>
        <v>1495000</v>
      </c>
      <c r="K140" s="20">
        <f>$K$125</f>
        <v>3000000</v>
      </c>
      <c r="L140" s="20">
        <f>J140*5</f>
        <v>7475000</v>
      </c>
      <c r="M140" s="22">
        <f>I140/(I140+I141)*100</f>
        <v>99.006622516556291</v>
      </c>
      <c r="N140" s="22">
        <f>I142/I140*100</f>
        <v>0</v>
      </c>
      <c r="O140" s="23">
        <f>3.32*(LOG(L140)-LOG(K140))</f>
        <v>1.3163466083589921</v>
      </c>
      <c r="P140" s="23">
        <f>IF(O140&lt;0,P137,P137+O140)</f>
        <v>37.142125061333076</v>
      </c>
      <c r="Q140" s="38"/>
      <c r="R140" s="38"/>
      <c r="S140" s="39"/>
    </row>
    <row r="141" spans="1:19" ht="14.25" customHeight="1" x14ac:dyDescent="0.35">
      <c r="A141" s="20"/>
      <c r="B141" s="92"/>
      <c r="C141" s="101"/>
      <c r="D141" s="92" t="s">
        <v>66</v>
      </c>
      <c r="E141" s="45">
        <v>1</v>
      </c>
      <c r="F141" s="45">
        <v>0</v>
      </c>
      <c r="G141" s="45">
        <v>0</v>
      </c>
      <c r="H141" s="45">
        <v>2</v>
      </c>
      <c r="I141" s="43">
        <f t="shared" si="0"/>
        <v>0.75</v>
      </c>
      <c r="J141" s="20"/>
      <c r="K141" s="20"/>
      <c r="L141" s="20"/>
      <c r="M141" s="20"/>
      <c r="N141" s="20"/>
      <c r="O141" s="20"/>
      <c r="P141" s="20"/>
      <c r="Q141" s="24"/>
      <c r="R141" s="24"/>
      <c r="S141" s="24"/>
    </row>
    <row r="142" spans="1:19" ht="14.25" customHeight="1" x14ac:dyDescent="0.35">
      <c r="A142" s="20"/>
      <c r="B142" s="92"/>
      <c r="C142" s="101"/>
      <c r="D142" s="92" t="s">
        <v>67</v>
      </c>
      <c r="E142" s="45">
        <v>0</v>
      </c>
      <c r="F142" s="45">
        <v>0</v>
      </c>
      <c r="G142" s="45">
        <v>0</v>
      </c>
      <c r="H142" s="45">
        <v>0</v>
      </c>
      <c r="I142" s="43">
        <f t="shared" si="0"/>
        <v>0</v>
      </c>
      <c r="J142" s="20"/>
      <c r="K142" s="20"/>
      <c r="L142" s="20"/>
      <c r="M142" s="20"/>
      <c r="N142" s="20"/>
      <c r="O142" s="20"/>
      <c r="P142" s="20"/>
      <c r="Q142" s="24"/>
      <c r="R142" s="24"/>
      <c r="S142" s="24"/>
    </row>
    <row r="143" spans="1:19" ht="14.25" customHeight="1" x14ac:dyDescent="0.35">
      <c r="A143" s="30">
        <v>44669</v>
      </c>
      <c r="B143" s="92">
        <f>B140+7</f>
        <v>320</v>
      </c>
      <c r="C143" s="101" t="str">
        <f>$C$125</f>
        <v>5% FBS R2</v>
      </c>
      <c r="D143" s="91" t="s">
        <v>65</v>
      </c>
      <c r="E143" s="45">
        <v>53</v>
      </c>
      <c r="F143" s="45">
        <v>49</v>
      </c>
      <c r="G143" s="45">
        <v>60</v>
      </c>
      <c r="H143" s="45">
        <v>53</v>
      </c>
      <c r="I143" s="43">
        <f t="shared" si="0"/>
        <v>53.75</v>
      </c>
      <c r="J143" s="20">
        <f>I143*2*10000</f>
        <v>1075000</v>
      </c>
      <c r="K143" s="20">
        <f>$K$125</f>
        <v>3000000</v>
      </c>
      <c r="L143" s="20">
        <f>J143*5</f>
        <v>5375000</v>
      </c>
      <c r="M143" s="22">
        <f>I143/(I143+I144)*100</f>
        <v>98.623853211009177</v>
      </c>
      <c r="N143" s="22">
        <f>I145/I143*100</f>
        <v>0</v>
      </c>
      <c r="O143" s="23">
        <f>3.32*(LOG(L143)-LOG(K143))</f>
        <v>0.84081395004169601</v>
      </c>
      <c r="P143" s="23">
        <f>IF(O143&lt;0,P140,P140+O143)</f>
        <v>37.982939011374775</v>
      </c>
      <c r="Q143" s="38"/>
      <c r="R143" s="38"/>
      <c r="S143" s="39"/>
    </row>
    <row r="144" spans="1:19" ht="14.25" customHeight="1" x14ac:dyDescent="0.35">
      <c r="A144" s="20"/>
      <c r="B144" s="92"/>
      <c r="C144" s="101"/>
      <c r="D144" s="92" t="s">
        <v>66</v>
      </c>
      <c r="E144" s="45">
        <v>0</v>
      </c>
      <c r="F144" s="45">
        <v>1</v>
      </c>
      <c r="G144" s="45">
        <v>0</v>
      </c>
      <c r="H144" s="45">
        <v>2</v>
      </c>
      <c r="I144" s="43">
        <f t="shared" si="0"/>
        <v>0.75</v>
      </c>
      <c r="J144" s="20"/>
      <c r="K144" s="20"/>
      <c r="L144" s="20"/>
      <c r="M144" s="20"/>
      <c r="N144" s="20"/>
      <c r="O144" s="20"/>
      <c r="P144" s="20"/>
      <c r="Q144" s="24"/>
      <c r="R144" s="24"/>
      <c r="S144" s="24"/>
    </row>
    <row r="145" spans="1:19" ht="14.25" customHeight="1" x14ac:dyDescent="0.35">
      <c r="A145" s="20"/>
      <c r="B145" s="92"/>
      <c r="C145" s="101"/>
      <c r="D145" s="92" t="s">
        <v>67</v>
      </c>
      <c r="E145" s="45">
        <v>0</v>
      </c>
      <c r="F145" s="45">
        <v>0</v>
      </c>
      <c r="G145" s="45">
        <v>0</v>
      </c>
      <c r="H145" s="45">
        <v>0</v>
      </c>
      <c r="I145" s="43">
        <f t="shared" si="0"/>
        <v>0</v>
      </c>
      <c r="J145" s="20"/>
      <c r="K145" s="20"/>
      <c r="L145" s="20"/>
      <c r="M145" s="20"/>
      <c r="N145" s="20"/>
      <c r="O145" s="20"/>
      <c r="P145" s="20"/>
      <c r="Q145" s="24"/>
      <c r="R145" s="24"/>
      <c r="S145" s="24"/>
    </row>
    <row r="146" spans="1:19" ht="14.25" customHeight="1" x14ac:dyDescent="0.35">
      <c r="A146" s="30">
        <v>44676</v>
      </c>
      <c r="B146" s="92">
        <f>B143+7</f>
        <v>327</v>
      </c>
      <c r="C146" s="101" t="str">
        <f>$C$125</f>
        <v>5% FBS R2</v>
      </c>
      <c r="D146" s="91" t="s">
        <v>65</v>
      </c>
      <c r="E146" s="45">
        <v>31</v>
      </c>
      <c r="F146" s="45">
        <v>24</v>
      </c>
      <c r="G146" s="45">
        <v>29</v>
      </c>
      <c r="H146" s="45">
        <v>59</v>
      </c>
      <c r="I146" s="43">
        <f t="shared" si="0"/>
        <v>35.75</v>
      </c>
      <c r="J146" s="20">
        <f>I146*2*10000</f>
        <v>715000</v>
      </c>
      <c r="K146" s="20">
        <f>$K$125</f>
        <v>3000000</v>
      </c>
      <c r="L146" s="20">
        <f>J146*5</f>
        <v>3575000</v>
      </c>
      <c r="M146" s="22">
        <f>I146/(I146+I147)*100</f>
        <v>92.857142857142861</v>
      </c>
      <c r="N146" s="22">
        <f>I148/I146*100</f>
        <v>0.69930069930069927</v>
      </c>
      <c r="O146" s="23">
        <f>3.32*(LOG(L146)-LOG(K146))</f>
        <v>0.25283390750589146</v>
      </c>
      <c r="P146" s="23">
        <f>IF(O146&lt;0,P143,P143+O146)</f>
        <v>38.235772918880663</v>
      </c>
      <c r="Q146" s="38"/>
      <c r="R146" s="38"/>
      <c r="S146" s="39"/>
    </row>
    <row r="147" spans="1:19" ht="14.25" customHeight="1" x14ac:dyDescent="0.35">
      <c r="A147" s="20"/>
      <c r="B147" s="92"/>
      <c r="C147" s="101"/>
      <c r="D147" s="92" t="s">
        <v>66</v>
      </c>
      <c r="E147" s="45">
        <v>1</v>
      </c>
      <c r="F147" s="45">
        <v>1</v>
      </c>
      <c r="G147" s="45">
        <v>2</v>
      </c>
      <c r="H147" s="45">
        <v>7</v>
      </c>
      <c r="I147" s="43">
        <f t="shared" si="0"/>
        <v>2.75</v>
      </c>
      <c r="J147" s="20"/>
      <c r="K147" s="20"/>
      <c r="L147" s="20"/>
      <c r="M147" s="20"/>
      <c r="N147" s="20"/>
      <c r="O147" s="20"/>
      <c r="P147" s="20"/>
      <c r="Q147" s="24"/>
      <c r="R147" s="24"/>
      <c r="S147" s="24"/>
    </row>
    <row r="148" spans="1:19" ht="14.25" customHeight="1" x14ac:dyDescent="0.35">
      <c r="A148" s="20"/>
      <c r="B148" s="92"/>
      <c r="C148" s="101"/>
      <c r="D148" s="92" t="s">
        <v>67</v>
      </c>
      <c r="E148" s="45">
        <v>0</v>
      </c>
      <c r="F148" s="45">
        <v>1</v>
      </c>
      <c r="G148" s="45">
        <v>0</v>
      </c>
      <c r="H148" s="45">
        <v>0</v>
      </c>
      <c r="I148" s="43">
        <f t="shared" si="0"/>
        <v>0.25</v>
      </c>
      <c r="J148" s="20"/>
      <c r="K148" s="20"/>
      <c r="L148" s="20"/>
      <c r="M148" s="20"/>
      <c r="N148" s="20"/>
      <c r="O148" s="20"/>
      <c r="P148" s="20"/>
      <c r="Q148" s="24"/>
      <c r="R148" s="24"/>
      <c r="S148" s="24"/>
    </row>
    <row r="149" spans="1:19" ht="14.25" customHeight="1" x14ac:dyDescent="0.35">
      <c r="A149" s="30">
        <v>44683</v>
      </c>
      <c r="B149" s="92">
        <f>B146+7</f>
        <v>334</v>
      </c>
      <c r="C149" s="101" t="str">
        <f>$C$125</f>
        <v>5% FBS R2</v>
      </c>
      <c r="D149" s="91" t="s">
        <v>65</v>
      </c>
      <c r="E149" s="45">
        <v>52</v>
      </c>
      <c r="F149" s="45">
        <v>55</v>
      </c>
      <c r="G149" s="45">
        <v>68</v>
      </c>
      <c r="H149" s="45">
        <v>60</v>
      </c>
      <c r="I149" s="43">
        <f t="shared" si="0"/>
        <v>58.75</v>
      </c>
      <c r="J149" s="20">
        <f>I149*2*10000</f>
        <v>1175000</v>
      </c>
      <c r="K149" s="20">
        <f>$K$125</f>
        <v>3000000</v>
      </c>
      <c r="L149" s="20">
        <f>J149*5</f>
        <v>5875000</v>
      </c>
      <c r="M149" s="22">
        <f>I149/(I149+I150)*100</f>
        <v>99.576271186440678</v>
      </c>
      <c r="N149" s="22">
        <f>I151/I149*100</f>
        <v>0.42553191489361702</v>
      </c>
      <c r="O149" s="23">
        <f>3.32*(LOG(L149)-LOG(K149))</f>
        <v>0.96906356586405051</v>
      </c>
      <c r="P149" s="23">
        <f>IF(O149&lt;0,P146,P146+O149)</f>
        <v>39.20483648474471</v>
      </c>
      <c r="Q149" s="38"/>
      <c r="R149" s="38"/>
      <c r="S149" s="39"/>
    </row>
    <row r="150" spans="1:19" ht="14.25" customHeight="1" x14ac:dyDescent="0.35">
      <c r="A150" s="20"/>
      <c r="B150" s="92"/>
      <c r="C150" s="101"/>
      <c r="D150" s="92" t="s">
        <v>66</v>
      </c>
      <c r="E150" s="45">
        <v>0</v>
      </c>
      <c r="F150" s="45">
        <v>0</v>
      </c>
      <c r="G150" s="45">
        <v>1</v>
      </c>
      <c r="H150" s="45">
        <v>0</v>
      </c>
      <c r="I150" s="43">
        <f t="shared" si="0"/>
        <v>0.25</v>
      </c>
      <c r="J150" s="20"/>
      <c r="K150" s="20"/>
      <c r="L150" s="20"/>
      <c r="M150" s="20"/>
      <c r="N150" s="20"/>
      <c r="O150" s="20"/>
      <c r="P150" s="20"/>
      <c r="Q150" s="24"/>
      <c r="R150" s="24"/>
      <c r="S150" s="24"/>
    </row>
    <row r="151" spans="1:19" ht="14.25" customHeight="1" x14ac:dyDescent="0.35">
      <c r="A151" s="20"/>
      <c r="B151" s="92"/>
      <c r="C151" s="101"/>
      <c r="D151" s="92" t="s">
        <v>67</v>
      </c>
      <c r="E151" s="45">
        <v>0</v>
      </c>
      <c r="F151" s="45">
        <v>1</v>
      </c>
      <c r="G151" s="45">
        <v>0</v>
      </c>
      <c r="H151" s="45">
        <v>0</v>
      </c>
      <c r="I151" s="43">
        <f t="shared" si="0"/>
        <v>0.25</v>
      </c>
      <c r="J151" s="20"/>
      <c r="K151" s="20"/>
      <c r="L151" s="20"/>
      <c r="M151" s="20"/>
      <c r="N151" s="20"/>
      <c r="O151" s="20"/>
      <c r="P151" s="20"/>
      <c r="Q151" s="24"/>
      <c r="R151" s="24"/>
      <c r="S151" s="24"/>
    </row>
    <row r="152" spans="1:19" ht="14.25" customHeight="1" x14ac:dyDescent="0.35">
      <c r="A152" s="30">
        <v>44692</v>
      </c>
      <c r="B152" s="92">
        <f>B149+9</f>
        <v>343</v>
      </c>
      <c r="C152" s="101" t="str">
        <f>$C$125</f>
        <v>5% FBS R2</v>
      </c>
      <c r="D152" s="91" t="s">
        <v>65</v>
      </c>
      <c r="E152" s="45">
        <f>62*4</f>
        <v>248</v>
      </c>
      <c r="F152" s="45">
        <f t="shared" ref="F152:G152" si="1">80*4</f>
        <v>320</v>
      </c>
      <c r="G152" s="45">
        <f t="shared" si="1"/>
        <v>320</v>
      </c>
      <c r="H152" s="45">
        <f>71*4</f>
        <v>284</v>
      </c>
      <c r="I152" s="43">
        <f t="shared" si="0"/>
        <v>293</v>
      </c>
      <c r="J152" s="20">
        <f>I152*2*10000</f>
        <v>5860000</v>
      </c>
      <c r="K152" s="20">
        <f>$K$125</f>
        <v>3000000</v>
      </c>
      <c r="L152" s="20">
        <f>J152*5</f>
        <v>29300000</v>
      </c>
      <c r="M152" s="22">
        <f>I152/(I152+I153)*100</f>
        <v>99.15397631133672</v>
      </c>
      <c r="N152" s="22">
        <f>I154/I152*100</f>
        <v>0</v>
      </c>
      <c r="O152" s="23">
        <f>3.32*(LOG(L152)-LOG(K152))</f>
        <v>3.2859579339063623</v>
      </c>
      <c r="P152" s="23">
        <f>IF(O152&lt;0,P149,P149+O152)</f>
        <v>42.49079441865107</v>
      </c>
      <c r="Q152" s="38"/>
      <c r="R152" s="38"/>
      <c r="S152" s="39"/>
    </row>
    <row r="153" spans="1:19" ht="14.25" customHeight="1" x14ac:dyDescent="0.35">
      <c r="A153" s="20"/>
      <c r="B153" s="92"/>
      <c r="C153" s="101"/>
      <c r="D153" s="92" t="s">
        <v>66</v>
      </c>
      <c r="E153" s="45">
        <v>2</v>
      </c>
      <c r="F153" s="45">
        <v>3</v>
      </c>
      <c r="G153" s="45">
        <v>1</v>
      </c>
      <c r="H153" s="45">
        <v>4</v>
      </c>
      <c r="I153" s="43">
        <f t="shared" si="0"/>
        <v>2.5</v>
      </c>
      <c r="J153" s="20"/>
      <c r="K153" s="20"/>
      <c r="L153" s="20"/>
      <c r="M153" s="20"/>
      <c r="N153" s="20"/>
      <c r="O153" s="20"/>
      <c r="P153" s="20"/>
      <c r="Q153" s="24"/>
      <c r="R153" s="24"/>
      <c r="S153" s="24"/>
    </row>
    <row r="154" spans="1:19" ht="14.25" customHeight="1" x14ac:dyDescent="0.35">
      <c r="A154" s="20"/>
      <c r="B154" s="92"/>
      <c r="C154" s="101"/>
      <c r="D154" s="92" t="s">
        <v>67</v>
      </c>
      <c r="E154" s="45">
        <v>0</v>
      </c>
      <c r="F154" s="45">
        <v>0</v>
      </c>
      <c r="G154" s="45">
        <v>0</v>
      </c>
      <c r="H154" s="45">
        <v>0</v>
      </c>
      <c r="I154" s="43">
        <f t="shared" si="0"/>
        <v>0</v>
      </c>
      <c r="J154" s="20"/>
      <c r="K154" s="20"/>
      <c r="L154" s="20"/>
      <c r="M154" s="20"/>
      <c r="N154" s="20"/>
      <c r="O154" s="20"/>
      <c r="P154" s="20"/>
      <c r="Q154" s="24"/>
      <c r="R154" s="24"/>
      <c r="S154" s="24"/>
    </row>
    <row r="155" spans="1:19" ht="14.25" customHeight="1" x14ac:dyDescent="0.35">
      <c r="A155" s="30">
        <v>44697</v>
      </c>
      <c r="B155" s="92">
        <f>B152+5</f>
        <v>348</v>
      </c>
      <c r="C155" s="101" t="str">
        <f>$C$125</f>
        <v>5% FBS R2</v>
      </c>
      <c r="D155" s="91" t="s">
        <v>65</v>
      </c>
      <c r="E155" s="45">
        <v>101</v>
      </c>
      <c r="F155" s="45">
        <v>88</v>
      </c>
      <c r="G155" s="45">
        <v>114</v>
      </c>
      <c r="H155" s="45">
        <v>117</v>
      </c>
      <c r="I155" s="43">
        <f t="shared" si="0"/>
        <v>105</v>
      </c>
      <c r="J155" s="20">
        <f>I155*2*10000</f>
        <v>2100000</v>
      </c>
      <c r="K155" s="20">
        <f>$K$125</f>
        <v>3000000</v>
      </c>
      <c r="L155" s="20">
        <f>J155*5</f>
        <v>10500000</v>
      </c>
      <c r="M155" s="22">
        <f>I155/(I155+I156)*100</f>
        <v>99.290780141843967</v>
      </c>
      <c r="N155" s="22">
        <f>I157/I155*100</f>
        <v>0.47619047619047622</v>
      </c>
      <c r="O155" s="23">
        <f>3.32*(LOG(L155)-LOG(K155))</f>
        <v>1.8063059072429151</v>
      </c>
      <c r="P155" s="23">
        <f>IF(O155&lt;0,P152,P152+O155)</f>
        <v>44.297100325893986</v>
      </c>
      <c r="Q155" s="38"/>
      <c r="R155" s="38"/>
      <c r="S155" s="39"/>
    </row>
    <row r="156" spans="1:19" ht="14.25" customHeight="1" x14ac:dyDescent="0.35">
      <c r="A156" s="20"/>
      <c r="B156" s="92"/>
      <c r="C156" s="101"/>
      <c r="D156" s="92" t="s">
        <v>66</v>
      </c>
      <c r="E156" s="45">
        <v>2</v>
      </c>
      <c r="F156" s="45">
        <v>0</v>
      </c>
      <c r="G156" s="45">
        <v>1</v>
      </c>
      <c r="H156" s="45">
        <v>0</v>
      </c>
      <c r="I156" s="43">
        <f t="shared" si="0"/>
        <v>0.75</v>
      </c>
      <c r="J156" s="20"/>
      <c r="K156" s="20"/>
      <c r="L156" s="20"/>
      <c r="M156" s="20"/>
      <c r="N156" s="20"/>
      <c r="O156" s="20"/>
      <c r="P156" s="20"/>
      <c r="Q156" s="24"/>
      <c r="R156" s="24"/>
      <c r="S156" s="24"/>
    </row>
    <row r="157" spans="1:19" ht="14.25" customHeight="1" x14ac:dyDescent="0.35">
      <c r="A157" s="20"/>
      <c r="B157" s="92"/>
      <c r="C157" s="101"/>
      <c r="D157" s="92" t="s">
        <v>67</v>
      </c>
      <c r="E157" s="45">
        <v>1</v>
      </c>
      <c r="F157" s="45">
        <v>0</v>
      </c>
      <c r="G157" s="45">
        <v>1</v>
      </c>
      <c r="H157" s="45">
        <v>0</v>
      </c>
      <c r="I157" s="43">
        <f t="shared" si="0"/>
        <v>0.5</v>
      </c>
      <c r="J157" s="20"/>
      <c r="K157" s="20"/>
      <c r="L157" s="20"/>
      <c r="M157" s="20"/>
      <c r="N157" s="20"/>
      <c r="O157" s="20"/>
      <c r="P157" s="20"/>
      <c r="Q157" s="24"/>
      <c r="R157" s="24"/>
      <c r="S157" s="24"/>
    </row>
    <row r="158" spans="1:19" ht="14.25" customHeight="1" x14ac:dyDescent="0.35">
      <c r="A158" s="30">
        <v>44704</v>
      </c>
      <c r="B158" s="92">
        <f>B155+7</f>
        <v>355</v>
      </c>
      <c r="C158" s="101" t="str">
        <f>$C$125</f>
        <v>5% FBS R2</v>
      </c>
      <c r="D158" s="91" t="s">
        <v>65</v>
      </c>
      <c r="E158" s="45">
        <v>156</v>
      </c>
      <c r="F158" s="45">
        <v>174</v>
      </c>
      <c r="G158" s="45">
        <v>153</v>
      </c>
      <c r="H158" s="45">
        <v>156</v>
      </c>
      <c r="I158" s="43">
        <f t="shared" si="0"/>
        <v>159.75</v>
      </c>
      <c r="J158" s="20">
        <f>I158*2*10000</f>
        <v>3195000</v>
      </c>
      <c r="K158" s="20">
        <f>$K$125</f>
        <v>3000000</v>
      </c>
      <c r="L158" s="20">
        <f>J158*5</f>
        <v>15975000</v>
      </c>
      <c r="M158" s="22">
        <f>I158/(I158+I159)*100</f>
        <v>98.611111111111114</v>
      </c>
      <c r="N158" s="22">
        <f>I160/I158*100</f>
        <v>0.1564945226917058</v>
      </c>
      <c r="O158" s="23">
        <f>3.32*(LOG(L158)-LOG(K158))</f>
        <v>2.4113811122077746</v>
      </c>
      <c r="P158" s="23">
        <f>IF(O158&lt;0,P155,P155+O158)</f>
        <v>46.708481438101764</v>
      </c>
      <c r="Q158" s="38"/>
      <c r="R158" s="38"/>
      <c r="S158" s="39"/>
    </row>
    <row r="159" spans="1:19" ht="14.25" customHeight="1" x14ac:dyDescent="0.35">
      <c r="A159" s="20"/>
      <c r="B159" s="92"/>
      <c r="C159" s="101"/>
      <c r="D159" s="92" t="s">
        <v>66</v>
      </c>
      <c r="E159" s="45">
        <v>5</v>
      </c>
      <c r="F159" s="45">
        <v>1</v>
      </c>
      <c r="G159" s="45">
        <v>0</v>
      </c>
      <c r="H159" s="45">
        <v>3</v>
      </c>
      <c r="I159" s="43">
        <f t="shared" si="0"/>
        <v>2.25</v>
      </c>
      <c r="J159" s="20"/>
      <c r="K159" s="20"/>
      <c r="L159" s="20"/>
      <c r="M159" s="20"/>
      <c r="N159" s="20"/>
      <c r="O159" s="20"/>
      <c r="P159" s="20"/>
      <c r="Q159" s="24"/>
      <c r="R159" s="24"/>
      <c r="S159" s="24"/>
    </row>
    <row r="160" spans="1:19" ht="14.25" customHeight="1" x14ac:dyDescent="0.35">
      <c r="A160" s="20"/>
      <c r="B160" s="92"/>
      <c r="C160" s="101"/>
      <c r="D160" s="92" t="s">
        <v>67</v>
      </c>
      <c r="E160" s="45">
        <v>0</v>
      </c>
      <c r="F160" s="45">
        <v>0</v>
      </c>
      <c r="G160" s="45">
        <v>0</v>
      </c>
      <c r="H160" s="45">
        <v>1</v>
      </c>
      <c r="I160" s="43">
        <f t="shared" si="0"/>
        <v>0.25</v>
      </c>
      <c r="J160" s="20"/>
      <c r="K160" s="20"/>
      <c r="L160" s="20"/>
      <c r="M160" s="20"/>
      <c r="N160" s="20"/>
      <c r="O160" s="20"/>
      <c r="P160" s="20"/>
      <c r="Q160" s="24"/>
      <c r="R160" s="24"/>
      <c r="S160" s="24"/>
    </row>
    <row r="161" spans="1:21" ht="14.25" customHeight="1" x14ac:dyDescent="0.35">
      <c r="A161" s="30">
        <v>44712</v>
      </c>
      <c r="B161" s="92">
        <f>B158+8</f>
        <v>363</v>
      </c>
      <c r="C161" s="101" t="str">
        <f>$C$125</f>
        <v>5% FBS R2</v>
      </c>
      <c r="D161" s="91" t="s">
        <v>65</v>
      </c>
      <c r="E161" s="45">
        <v>31</v>
      </c>
      <c r="F161" s="45">
        <v>34</v>
      </c>
      <c r="G161" s="45">
        <v>43</v>
      </c>
      <c r="H161" s="45">
        <v>19</v>
      </c>
      <c r="I161" s="43">
        <f t="shared" si="0"/>
        <v>31.75</v>
      </c>
      <c r="J161" s="20">
        <f>I161*2*10000</f>
        <v>635000</v>
      </c>
      <c r="K161" s="20">
        <f>$K$125</f>
        <v>3000000</v>
      </c>
      <c r="L161" s="20">
        <f>J161*5</f>
        <v>3175000</v>
      </c>
      <c r="M161" s="22">
        <f>I161/(I161+I162)*100</f>
        <v>96.946564885496173</v>
      </c>
      <c r="N161" s="22">
        <f>I163/I161*100</f>
        <v>0</v>
      </c>
      <c r="O161" s="23">
        <f>3.32*(LOG(L161)-LOG(K161))</f>
        <v>8.1746616695662688E-2</v>
      </c>
      <c r="P161" s="23">
        <f>IF(O161&lt;0,P158,P158+O161)</f>
        <v>46.790228054797424</v>
      </c>
      <c r="Q161" s="38"/>
      <c r="R161" s="38"/>
      <c r="S161" s="39"/>
    </row>
    <row r="162" spans="1:21" ht="14.25" customHeight="1" x14ac:dyDescent="0.35">
      <c r="A162" s="20"/>
      <c r="B162" s="92"/>
      <c r="C162" s="101"/>
      <c r="D162" s="92" t="s">
        <v>66</v>
      </c>
      <c r="E162" s="45">
        <v>2</v>
      </c>
      <c r="F162" s="45">
        <v>1</v>
      </c>
      <c r="G162" s="45">
        <v>1</v>
      </c>
      <c r="H162" s="45">
        <v>0</v>
      </c>
      <c r="I162" s="43">
        <f t="shared" si="0"/>
        <v>1</v>
      </c>
      <c r="J162" s="20"/>
      <c r="K162" s="20"/>
      <c r="L162" s="20"/>
      <c r="M162" s="20"/>
      <c r="N162" s="20"/>
      <c r="O162" s="20"/>
      <c r="P162" s="20"/>
      <c r="Q162" s="24"/>
      <c r="R162" s="24"/>
      <c r="S162" s="24"/>
    </row>
    <row r="163" spans="1:21" ht="14.25" customHeight="1" x14ac:dyDescent="0.35">
      <c r="A163" s="20"/>
      <c r="B163" s="92"/>
      <c r="C163" s="101"/>
      <c r="D163" s="92" t="s">
        <v>67</v>
      </c>
      <c r="E163" s="45">
        <v>0</v>
      </c>
      <c r="F163" s="45">
        <v>0</v>
      </c>
      <c r="G163" s="45">
        <v>0</v>
      </c>
      <c r="H163" s="45">
        <v>0</v>
      </c>
      <c r="I163" s="43">
        <f t="shared" si="0"/>
        <v>0</v>
      </c>
      <c r="J163" s="20"/>
      <c r="K163" s="20"/>
      <c r="L163" s="20"/>
      <c r="M163" s="20"/>
      <c r="N163" s="20"/>
      <c r="O163" s="20"/>
      <c r="P163" s="20"/>
      <c r="Q163" s="24"/>
      <c r="R163" s="24"/>
      <c r="S163" s="24"/>
    </row>
    <row r="164" spans="1:21" ht="14.25" customHeight="1" x14ac:dyDescent="0.35">
      <c r="A164" s="30">
        <v>44718</v>
      </c>
      <c r="B164" s="92">
        <f>B161+6</f>
        <v>369</v>
      </c>
      <c r="C164" s="101" t="str">
        <f>$C$125</f>
        <v>5% FBS R2</v>
      </c>
      <c r="D164" s="91" t="s">
        <v>65</v>
      </c>
      <c r="E164" s="45">
        <v>38</v>
      </c>
      <c r="F164" s="45">
        <v>35</v>
      </c>
      <c r="G164" s="45">
        <v>29</v>
      </c>
      <c r="H164" s="45">
        <v>42</v>
      </c>
      <c r="I164" s="43">
        <f t="shared" si="0"/>
        <v>36</v>
      </c>
      <c r="J164" s="20">
        <f>I164*2*10000</f>
        <v>720000</v>
      </c>
      <c r="K164" s="20">
        <f>$K$125</f>
        <v>3000000</v>
      </c>
      <c r="L164" s="20">
        <f>J164*5</f>
        <v>3600000</v>
      </c>
      <c r="M164" s="22">
        <f>I164/(I164+I165)*100</f>
        <v>97.959183673469383</v>
      </c>
      <c r="N164" s="22">
        <f>I166/I164*100</f>
        <v>0</v>
      </c>
      <c r="O164" s="23">
        <f>3.32*(LOG(L164)-LOG(K164))</f>
        <v>0.26288173687811239</v>
      </c>
      <c r="P164" s="23">
        <f>IF(O164&lt;0,P161,P161+O164)</f>
        <v>47.053109791675539</v>
      </c>
      <c r="Q164" s="38"/>
      <c r="R164" s="38"/>
      <c r="S164" s="39"/>
    </row>
    <row r="165" spans="1:21" ht="14.25" customHeight="1" x14ac:dyDescent="0.35">
      <c r="A165" s="20"/>
      <c r="B165" s="92"/>
      <c r="C165" s="101"/>
      <c r="D165" s="92" t="s">
        <v>66</v>
      </c>
      <c r="E165" s="45">
        <v>2</v>
      </c>
      <c r="F165" s="45">
        <v>1</v>
      </c>
      <c r="G165" s="45">
        <v>0</v>
      </c>
      <c r="H165" s="45">
        <v>0</v>
      </c>
      <c r="I165" s="43">
        <f t="shared" si="0"/>
        <v>0.75</v>
      </c>
      <c r="J165" s="20"/>
      <c r="K165" s="20"/>
      <c r="L165" s="20"/>
      <c r="M165" s="20"/>
      <c r="N165" s="20"/>
      <c r="O165" s="20"/>
      <c r="P165" s="20"/>
      <c r="Q165" s="24"/>
      <c r="R165" s="24"/>
      <c r="S165" s="24"/>
    </row>
    <row r="166" spans="1:21" ht="14.25" customHeight="1" x14ac:dyDescent="0.35">
      <c r="A166" s="20"/>
      <c r="B166" s="92"/>
      <c r="C166" s="101"/>
      <c r="D166" s="92" t="s">
        <v>67</v>
      </c>
      <c r="E166" s="45">
        <v>0</v>
      </c>
      <c r="F166" s="45">
        <v>0</v>
      </c>
      <c r="G166" s="45">
        <v>0</v>
      </c>
      <c r="H166" s="45">
        <v>0</v>
      </c>
      <c r="I166" s="43">
        <f t="shared" si="0"/>
        <v>0</v>
      </c>
      <c r="J166" s="20"/>
      <c r="K166" s="20"/>
      <c r="L166" s="20"/>
      <c r="M166" s="20"/>
      <c r="N166" s="20"/>
      <c r="O166" s="20"/>
      <c r="P166" s="20"/>
      <c r="Q166" s="24"/>
      <c r="R166" s="24"/>
      <c r="S166" s="24"/>
    </row>
    <row r="167" spans="1:21" ht="14.25" customHeight="1" x14ac:dyDescent="0.35">
      <c r="A167" s="30">
        <v>44725</v>
      </c>
      <c r="B167" s="92">
        <f>B164+7</f>
        <v>376</v>
      </c>
      <c r="C167" s="101" t="str">
        <f>$C$125</f>
        <v>5% FBS R2</v>
      </c>
      <c r="D167" s="91" t="s">
        <v>65</v>
      </c>
      <c r="E167" s="45">
        <v>154</v>
      </c>
      <c r="F167" s="45">
        <v>128</v>
      </c>
      <c r="G167" s="45">
        <v>133</v>
      </c>
      <c r="H167" s="45">
        <v>172</v>
      </c>
      <c r="I167" s="43">
        <f t="shared" si="0"/>
        <v>146.75</v>
      </c>
      <c r="J167" s="20">
        <f>I167*2*10000</f>
        <v>2935000</v>
      </c>
      <c r="K167" s="20">
        <f>$K$125</f>
        <v>3000000</v>
      </c>
      <c r="L167" s="20">
        <f>J167*5</f>
        <v>14675000</v>
      </c>
      <c r="M167" s="22">
        <f>I167/(I167+I168)*100</f>
        <v>98.988195615514329</v>
      </c>
      <c r="N167" s="22">
        <f>I169/I167*100</f>
        <v>0</v>
      </c>
      <c r="O167" s="23">
        <f>3.32*(LOG(L167)-LOG(K167))</f>
        <v>2.288996759263966</v>
      </c>
      <c r="P167" s="23">
        <f>IF(O167&lt;0,P164,P164+O167)</f>
        <v>49.342106550939505</v>
      </c>
      <c r="Q167" s="38"/>
      <c r="R167" s="38"/>
      <c r="S167" s="39"/>
    </row>
    <row r="168" spans="1:21" ht="14.25" customHeight="1" x14ac:dyDescent="0.35">
      <c r="A168" s="20"/>
      <c r="B168" s="92"/>
      <c r="C168" s="101"/>
      <c r="D168" s="92" t="s">
        <v>66</v>
      </c>
      <c r="E168" s="45">
        <v>1</v>
      </c>
      <c r="F168" s="45">
        <v>2</v>
      </c>
      <c r="G168" s="45">
        <v>1</v>
      </c>
      <c r="H168" s="45">
        <v>2</v>
      </c>
      <c r="I168" s="43">
        <f t="shared" si="0"/>
        <v>1.5</v>
      </c>
      <c r="J168" s="20"/>
      <c r="K168" s="20"/>
      <c r="L168" s="20"/>
      <c r="M168" s="20"/>
      <c r="N168" s="20"/>
      <c r="O168" s="20"/>
      <c r="P168" s="20"/>
      <c r="Q168" s="24"/>
      <c r="R168" s="24"/>
      <c r="S168" s="24"/>
    </row>
    <row r="169" spans="1:21" ht="14.25" customHeight="1" x14ac:dyDescent="0.35">
      <c r="A169" s="20"/>
      <c r="B169" s="92"/>
      <c r="C169" s="101"/>
      <c r="D169" s="92" t="s">
        <v>67</v>
      </c>
      <c r="E169" s="45">
        <v>0</v>
      </c>
      <c r="F169" s="45">
        <v>0</v>
      </c>
      <c r="G169" s="45">
        <v>0</v>
      </c>
      <c r="H169" s="45">
        <v>0</v>
      </c>
      <c r="I169" s="43">
        <f t="shared" si="0"/>
        <v>0</v>
      </c>
      <c r="J169" s="20"/>
      <c r="K169" s="20"/>
      <c r="L169" s="20"/>
      <c r="M169" s="20"/>
      <c r="N169" s="20"/>
      <c r="O169" s="20"/>
      <c r="P169" s="20"/>
      <c r="Q169" s="24"/>
      <c r="R169" s="24"/>
      <c r="S169" s="24"/>
    </row>
    <row r="170" spans="1:21" ht="14.25" customHeight="1" x14ac:dyDescent="0.35">
      <c r="A170" s="30">
        <v>44732</v>
      </c>
      <c r="B170" s="92">
        <f>B167+7</f>
        <v>383</v>
      </c>
      <c r="C170" s="101" t="str">
        <f>$C$125</f>
        <v>5% FBS R2</v>
      </c>
      <c r="D170" s="91" t="s">
        <v>65</v>
      </c>
      <c r="E170" s="45">
        <v>70</v>
      </c>
      <c r="F170" s="45">
        <v>74</v>
      </c>
      <c r="G170" s="45">
        <v>95</v>
      </c>
      <c r="H170" s="45">
        <v>93</v>
      </c>
      <c r="I170" s="43">
        <f t="shared" si="0"/>
        <v>83</v>
      </c>
      <c r="J170" s="20">
        <f>I170*2*10000</f>
        <v>1660000</v>
      </c>
      <c r="K170" s="20">
        <f>$K$125</f>
        <v>3000000</v>
      </c>
      <c r="L170" s="20">
        <f>J170*5</f>
        <v>8300000</v>
      </c>
      <c r="M170" s="22">
        <f>I170/(I170+I171)*100</f>
        <v>95.128939828080235</v>
      </c>
      <c r="N170" s="22">
        <f>I172/I170*100</f>
        <v>0</v>
      </c>
      <c r="O170" s="23">
        <f>3.32*(LOG(L170)-LOG(K170))</f>
        <v>1.467296701019285</v>
      </c>
      <c r="P170" s="23">
        <f>IF(O170&lt;0,P167,P167+O170)</f>
        <v>50.809403251958791</v>
      </c>
      <c r="Q170" s="38"/>
      <c r="R170" s="38"/>
      <c r="S170" s="39"/>
      <c r="T170" s="8"/>
      <c r="U170" s="10"/>
    </row>
    <row r="171" spans="1:21" ht="14.25" customHeight="1" x14ac:dyDescent="0.35">
      <c r="A171" s="20"/>
      <c r="B171" s="92"/>
      <c r="C171" s="101"/>
      <c r="D171" s="92" t="s">
        <v>66</v>
      </c>
      <c r="E171" s="45">
        <v>2</v>
      </c>
      <c r="F171" s="45">
        <v>4</v>
      </c>
      <c r="G171" s="45">
        <v>4</v>
      </c>
      <c r="H171" s="45">
        <v>7</v>
      </c>
      <c r="I171" s="43">
        <f t="shared" si="0"/>
        <v>4.25</v>
      </c>
      <c r="J171" s="20"/>
      <c r="K171" s="20"/>
      <c r="L171" s="20"/>
      <c r="M171" s="20"/>
      <c r="N171" s="20"/>
      <c r="O171" s="20"/>
      <c r="P171" s="20"/>
      <c r="Q171" s="24"/>
      <c r="R171" s="24"/>
      <c r="S171" s="24"/>
    </row>
    <row r="172" spans="1:21" ht="14.25" customHeight="1" x14ac:dyDescent="0.35">
      <c r="A172" s="20"/>
      <c r="B172" s="92"/>
      <c r="C172" s="101"/>
      <c r="D172" s="92" t="s">
        <v>67</v>
      </c>
      <c r="E172" s="45">
        <v>0</v>
      </c>
      <c r="F172" s="45">
        <v>0</v>
      </c>
      <c r="G172" s="45">
        <v>0</v>
      </c>
      <c r="H172" s="45">
        <v>0</v>
      </c>
      <c r="I172" s="43">
        <f t="shared" si="0"/>
        <v>0</v>
      </c>
      <c r="J172" s="20"/>
      <c r="K172" s="20"/>
      <c r="L172" s="20"/>
      <c r="M172" s="20"/>
      <c r="N172" s="20"/>
      <c r="O172" s="20"/>
      <c r="P172" s="20"/>
      <c r="Q172" s="24"/>
      <c r="R172" s="24"/>
      <c r="S172" s="24"/>
    </row>
    <row r="173" spans="1:21" ht="14.25" customHeight="1" x14ac:dyDescent="0.35">
      <c r="A173" s="30">
        <v>44740</v>
      </c>
      <c r="B173" s="92">
        <f>B170+7</f>
        <v>390</v>
      </c>
      <c r="C173" s="101" t="str">
        <f>$C$125</f>
        <v>5% FBS R2</v>
      </c>
      <c r="D173" s="91" t="s">
        <v>65</v>
      </c>
      <c r="E173" s="45">
        <v>83</v>
      </c>
      <c r="F173" s="45">
        <v>86</v>
      </c>
      <c r="G173" s="45">
        <v>79</v>
      </c>
      <c r="H173" s="45">
        <v>80</v>
      </c>
      <c r="I173" s="43">
        <f t="shared" si="0"/>
        <v>82</v>
      </c>
      <c r="J173" s="20">
        <f>I173*2*10000</f>
        <v>1640000</v>
      </c>
      <c r="K173" s="20">
        <f>$K$125</f>
        <v>3000000</v>
      </c>
      <c r="L173" s="20">
        <f>J173*5</f>
        <v>8200000</v>
      </c>
      <c r="M173" s="22">
        <f>I173/(I173+I174)*100</f>
        <v>98.795180722891558</v>
      </c>
      <c r="N173" s="22">
        <f>I175/I173*100</f>
        <v>0</v>
      </c>
      <c r="O173" s="23">
        <f>3.32*(LOG(L173)-LOG(K173))</f>
        <v>1.4498194242446596</v>
      </c>
      <c r="P173" s="23">
        <f>IF(O173&lt;0,P170,P170+O173)</f>
        <v>52.25922267620345</v>
      </c>
      <c r="Q173" s="38"/>
      <c r="R173" s="38"/>
      <c r="S173" s="39"/>
    </row>
    <row r="174" spans="1:21" ht="14.25" customHeight="1" x14ac:dyDescent="0.35">
      <c r="A174" s="20"/>
      <c r="B174" s="92"/>
      <c r="C174" s="101"/>
      <c r="D174" s="92" t="s">
        <v>66</v>
      </c>
      <c r="E174" s="45">
        <v>1</v>
      </c>
      <c r="F174" s="45">
        <v>2</v>
      </c>
      <c r="G174" s="45">
        <v>0</v>
      </c>
      <c r="H174" s="45">
        <v>1</v>
      </c>
      <c r="I174" s="43">
        <f t="shared" si="0"/>
        <v>1</v>
      </c>
      <c r="J174" s="20"/>
      <c r="K174" s="20"/>
      <c r="L174" s="20"/>
      <c r="M174" s="20"/>
      <c r="N174" s="20"/>
      <c r="O174" s="20"/>
      <c r="P174" s="20"/>
      <c r="Q174" s="24"/>
      <c r="R174" s="24"/>
      <c r="S174" s="24"/>
    </row>
    <row r="175" spans="1:21" ht="14.25" customHeight="1" x14ac:dyDescent="0.35">
      <c r="A175" s="20"/>
      <c r="B175" s="92"/>
      <c r="C175" s="101"/>
      <c r="D175" s="92" t="s">
        <v>67</v>
      </c>
      <c r="E175" s="45">
        <v>0</v>
      </c>
      <c r="F175" s="45">
        <v>0</v>
      </c>
      <c r="G175" s="45">
        <v>0</v>
      </c>
      <c r="H175" s="45">
        <v>0</v>
      </c>
      <c r="I175" s="43">
        <f t="shared" si="0"/>
        <v>0</v>
      </c>
      <c r="J175" s="20"/>
      <c r="K175" s="20"/>
      <c r="L175" s="20"/>
      <c r="M175" s="20"/>
      <c r="N175" s="20"/>
      <c r="O175" s="20"/>
      <c r="P175" s="20"/>
      <c r="Q175" s="24"/>
      <c r="R175" s="24"/>
      <c r="S175" s="24"/>
    </row>
    <row r="176" spans="1:21" ht="14.25" customHeight="1" x14ac:dyDescent="0.35">
      <c r="A176" s="30">
        <v>44747</v>
      </c>
      <c r="B176" s="92">
        <f>B173+8</f>
        <v>398</v>
      </c>
      <c r="C176" s="101" t="str">
        <f>$C$125</f>
        <v>5% FBS R2</v>
      </c>
      <c r="D176" s="91" t="s">
        <v>65</v>
      </c>
      <c r="E176" s="45">
        <v>74</v>
      </c>
      <c r="F176" s="45">
        <v>93</v>
      </c>
      <c r="G176" s="45">
        <v>60</v>
      </c>
      <c r="H176" s="45">
        <v>60</v>
      </c>
      <c r="I176" s="43">
        <f t="shared" si="0"/>
        <v>71.75</v>
      </c>
      <c r="J176" s="20">
        <f>I176*2*10000</f>
        <v>1435000</v>
      </c>
      <c r="K176" s="20">
        <f>$K$125</f>
        <v>3000000</v>
      </c>
      <c r="L176" s="20">
        <f>J176*5</f>
        <v>7175000</v>
      </c>
      <c r="M176" s="22">
        <f>I176/(I176+I177)*100</f>
        <v>99.307958477508649</v>
      </c>
      <c r="N176" s="22">
        <f>I178/I176*100</f>
        <v>0</v>
      </c>
      <c r="O176" s="23">
        <f>3.32*(LOG(L176)-LOG(K176))</f>
        <v>1.2572861602787393</v>
      </c>
      <c r="P176" s="23">
        <f>IF(O176&lt;0,P173,P173+O176)</f>
        <v>53.516508836482188</v>
      </c>
      <c r="Q176" s="38"/>
      <c r="R176" s="38"/>
      <c r="S176" s="39"/>
    </row>
    <row r="177" spans="1:19" ht="14.25" customHeight="1" x14ac:dyDescent="0.35">
      <c r="A177" s="20"/>
      <c r="B177" s="92"/>
      <c r="C177" s="101"/>
      <c r="D177" s="92" t="s">
        <v>66</v>
      </c>
      <c r="E177" s="45">
        <v>0</v>
      </c>
      <c r="F177" s="45">
        <v>1</v>
      </c>
      <c r="G177" s="45">
        <v>0</v>
      </c>
      <c r="H177" s="45">
        <v>1</v>
      </c>
      <c r="I177" s="43">
        <f t="shared" si="0"/>
        <v>0.5</v>
      </c>
      <c r="J177" s="20"/>
      <c r="K177" s="20"/>
      <c r="L177" s="20"/>
      <c r="M177" s="20"/>
      <c r="N177" s="20"/>
      <c r="O177" s="20"/>
      <c r="P177" s="20"/>
      <c r="Q177" s="24"/>
      <c r="R177" s="24"/>
      <c r="S177" s="24"/>
    </row>
    <row r="178" spans="1:19" ht="14.25" customHeight="1" x14ac:dyDescent="0.35">
      <c r="A178" s="20"/>
      <c r="B178" s="92"/>
      <c r="C178" s="101"/>
      <c r="D178" s="92" t="s">
        <v>67</v>
      </c>
      <c r="E178" s="45">
        <v>0</v>
      </c>
      <c r="F178" s="45">
        <v>0</v>
      </c>
      <c r="G178" s="45">
        <v>0</v>
      </c>
      <c r="H178" s="45">
        <v>0</v>
      </c>
      <c r="I178" s="43">
        <f t="shared" si="0"/>
        <v>0</v>
      </c>
      <c r="J178" s="20"/>
      <c r="K178" s="20"/>
      <c r="L178" s="20"/>
      <c r="M178" s="20"/>
      <c r="N178" s="20"/>
      <c r="O178" s="20"/>
      <c r="P178" s="20"/>
      <c r="Q178" s="24"/>
      <c r="R178" s="24"/>
      <c r="S178" s="24"/>
    </row>
    <row r="179" spans="1:19" ht="14.25" customHeight="1" x14ac:dyDescent="0.35">
      <c r="A179" s="30">
        <v>44753</v>
      </c>
      <c r="B179" s="92">
        <f>B176+6</f>
        <v>404</v>
      </c>
      <c r="C179" s="101" t="str">
        <f>$C$125</f>
        <v>5% FBS R2</v>
      </c>
      <c r="D179" s="91" t="s">
        <v>65</v>
      </c>
      <c r="E179" s="45">
        <v>102</v>
      </c>
      <c r="F179" s="45">
        <v>102</v>
      </c>
      <c r="G179" s="45">
        <v>113</v>
      </c>
      <c r="H179" s="45">
        <v>167</v>
      </c>
      <c r="I179" s="43">
        <f t="shared" si="0"/>
        <v>121</v>
      </c>
      <c r="J179" s="20">
        <f>I179*2*10000</f>
        <v>2420000</v>
      </c>
      <c r="K179" s="20">
        <f>$K$125</f>
        <v>3000000</v>
      </c>
      <c r="L179" s="20">
        <f>J179*5</f>
        <v>12100000</v>
      </c>
      <c r="M179" s="22">
        <f>I179/(I179+I180)*100</f>
        <v>96.8</v>
      </c>
      <c r="N179" s="22">
        <f>I181/I179*100</f>
        <v>0</v>
      </c>
      <c r="O179" s="23">
        <f>3.32*(LOG(L179)-LOG(K179))</f>
        <v>2.0108048637813334</v>
      </c>
      <c r="P179" s="23">
        <f>IF(O179&lt;0,P176,P176+O179)</f>
        <v>55.52731370026352</v>
      </c>
      <c r="Q179" s="38"/>
      <c r="R179" s="38"/>
      <c r="S179" s="39"/>
    </row>
    <row r="180" spans="1:19" ht="14.25" customHeight="1" x14ac:dyDescent="0.35">
      <c r="A180" s="20"/>
      <c r="B180" s="92"/>
      <c r="C180" s="101"/>
      <c r="D180" s="92" t="s">
        <v>66</v>
      </c>
      <c r="E180" s="45">
        <v>1</v>
      </c>
      <c r="F180" s="45">
        <v>0</v>
      </c>
      <c r="G180" s="45">
        <v>2</v>
      </c>
      <c r="H180" s="45">
        <v>13</v>
      </c>
      <c r="I180" s="43">
        <f t="shared" si="0"/>
        <v>4</v>
      </c>
      <c r="J180" s="20"/>
      <c r="K180" s="20"/>
      <c r="L180" s="20"/>
      <c r="M180" s="20"/>
      <c r="N180" s="20"/>
      <c r="O180" s="20"/>
      <c r="P180" s="20"/>
      <c r="Q180" s="24"/>
      <c r="R180" s="24"/>
      <c r="S180" s="24"/>
    </row>
    <row r="181" spans="1:19" ht="14.25" customHeight="1" x14ac:dyDescent="0.35">
      <c r="A181" s="20"/>
      <c r="B181" s="92"/>
      <c r="C181" s="101"/>
      <c r="D181" s="92" t="s">
        <v>67</v>
      </c>
      <c r="E181" s="45">
        <v>0</v>
      </c>
      <c r="F181" s="45">
        <v>0</v>
      </c>
      <c r="G181" s="45">
        <v>0</v>
      </c>
      <c r="H181" s="45">
        <v>0</v>
      </c>
      <c r="I181" s="43">
        <f t="shared" si="0"/>
        <v>0</v>
      </c>
      <c r="J181" s="20"/>
      <c r="K181" s="20"/>
      <c r="L181" s="20"/>
      <c r="M181" s="20"/>
      <c r="N181" s="20"/>
      <c r="O181" s="20"/>
      <c r="P181" s="20"/>
      <c r="Q181" s="24"/>
      <c r="R181" s="24"/>
      <c r="S181" s="24"/>
    </row>
    <row r="182" spans="1:19" ht="14.25" customHeight="1" x14ac:dyDescent="0.35">
      <c r="A182" s="30">
        <v>44760</v>
      </c>
      <c r="B182" s="92">
        <f>B179+7</f>
        <v>411</v>
      </c>
      <c r="C182" s="101" t="str">
        <f>$C$125</f>
        <v>5% FBS R2</v>
      </c>
      <c r="D182" s="91" t="s">
        <v>65</v>
      </c>
      <c r="E182" s="45">
        <v>146</v>
      </c>
      <c r="F182" s="45">
        <v>109</v>
      </c>
      <c r="G182" s="45">
        <v>122</v>
      </c>
      <c r="H182" s="45">
        <v>125</v>
      </c>
      <c r="I182" s="43">
        <f t="shared" si="0"/>
        <v>125.5</v>
      </c>
      <c r="J182" s="20">
        <f>I182*2*10000</f>
        <v>2510000</v>
      </c>
      <c r="K182" s="20">
        <f>$K$125</f>
        <v>3000000</v>
      </c>
      <c r="L182" s="20">
        <f>J182*5</f>
        <v>12550000</v>
      </c>
      <c r="M182" s="22">
        <f>I182/(I182+I183)*100</f>
        <v>98.431372549019599</v>
      </c>
      <c r="N182" s="22">
        <f>I184/I182*100</f>
        <v>0</v>
      </c>
      <c r="O182" s="23">
        <f>3.32*(LOG(L182)-LOG(K182))</f>
        <v>2.0634546040433497</v>
      </c>
      <c r="P182" s="23">
        <f>IF(O182&lt;0,P179,P179+O182)</f>
        <v>57.59076830430687</v>
      </c>
      <c r="Q182" s="38"/>
      <c r="R182" s="38"/>
      <c r="S182" s="39"/>
    </row>
    <row r="183" spans="1:19" ht="14.25" customHeight="1" x14ac:dyDescent="0.35">
      <c r="A183" s="20"/>
      <c r="B183" s="92"/>
      <c r="C183" s="101"/>
      <c r="D183" s="92" t="s">
        <v>66</v>
      </c>
      <c r="E183" s="45">
        <v>4</v>
      </c>
      <c r="F183" s="45">
        <v>1</v>
      </c>
      <c r="G183" s="45">
        <v>1</v>
      </c>
      <c r="H183" s="45">
        <v>2</v>
      </c>
      <c r="I183" s="43">
        <f t="shared" si="0"/>
        <v>2</v>
      </c>
      <c r="J183" s="20"/>
      <c r="K183" s="20"/>
      <c r="L183" s="20"/>
      <c r="M183" s="20"/>
      <c r="N183" s="20"/>
      <c r="O183" s="20"/>
      <c r="P183" s="20"/>
      <c r="Q183" s="24"/>
      <c r="R183" s="24"/>
      <c r="S183" s="24"/>
    </row>
    <row r="184" spans="1:19" ht="14.25" customHeight="1" x14ac:dyDescent="0.35">
      <c r="A184" s="20"/>
      <c r="B184" s="92"/>
      <c r="C184" s="101"/>
      <c r="D184" s="92" t="s">
        <v>67</v>
      </c>
      <c r="E184" s="45">
        <v>0</v>
      </c>
      <c r="F184" s="45">
        <v>0</v>
      </c>
      <c r="G184" s="45">
        <v>0</v>
      </c>
      <c r="H184" s="45">
        <v>0</v>
      </c>
      <c r="I184" s="43">
        <f t="shared" si="0"/>
        <v>0</v>
      </c>
      <c r="J184" s="20"/>
      <c r="K184" s="20"/>
      <c r="L184" s="20"/>
      <c r="M184" s="20"/>
      <c r="N184" s="20"/>
      <c r="O184" s="20"/>
      <c r="P184" s="20"/>
      <c r="Q184" s="24"/>
      <c r="R184" s="24"/>
      <c r="S184" s="24"/>
    </row>
    <row r="185" spans="1:19" ht="14.25" customHeight="1" x14ac:dyDescent="0.35">
      <c r="A185" s="30">
        <v>44768</v>
      </c>
      <c r="B185" s="92">
        <f>B182+7</f>
        <v>418</v>
      </c>
      <c r="C185" s="101" t="str">
        <f>$C$125</f>
        <v>5% FBS R2</v>
      </c>
      <c r="D185" s="91" t="s">
        <v>65</v>
      </c>
      <c r="E185" s="45">
        <v>150</v>
      </c>
      <c r="F185" s="45">
        <v>119</v>
      </c>
      <c r="G185" s="45">
        <v>180</v>
      </c>
      <c r="H185" s="45">
        <v>172</v>
      </c>
      <c r="I185" s="43">
        <f t="shared" si="0"/>
        <v>155.25</v>
      </c>
      <c r="J185" s="20">
        <f>I185*2*10000</f>
        <v>3105000</v>
      </c>
      <c r="K185" s="20">
        <f>$K$125</f>
        <v>3000000</v>
      </c>
      <c r="L185" s="20">
        <f>J185*5</f>
        <v>15525000</v>
      </c>
      <c r="M185" s="22">
        <f>I185/(I185+I186)*100</f>
        <v>99.201277955271564</v>
      </c>
      <c r="N185" s="22">
        <f>I187/I185*100</f>
        <v>0</v>
      </c>
      <c r="O185" s="23">
        <f>3.32*(LOG(L185)-LOG(K185))</f>
        <v>2.3701823757081302</v>
      </c>
      <c r="P185" s="23">
        <f>IF(O185&lt;0,P182,P182+O185)</f>
        <v>59.960950680015003</v>
      </c>
      <c r="Q185" s="38"/>
      <c r="R185" s="38"/>
      <c r="S185" s="39"/>
    </row>
    <row r="186" spans="1:19" ht="14.25" customHeight="1" x14ac:dyDescent="0.35">
      <c r="A186" s="20"/>
      <c r="B186" s="92"/>
      <c r="C186" s="101"/>
      <c r="D186" s="92" t="s">
        <v>66</v>
      </c>
      <c r="E186" s="45">
        <v>0</v>
      </c>
      <c r="F186" s="45">
        <v>1</v>
      </c>
      <c r="G186" s="45">
        <v>1</v>
      </c>
      <c r="H186" s="45">
        <v>3</v>
      </c>
      <c r="I186" s="43">
        <f t="shared" si="0"/>
        <v>1.25</v>
      </c>
      <c r="J186" s="20"/>
      <c r="K186" s="20"/>
      <c r="L186" s="20"/>
      <c r="M186" s="20"/>
      <c r="N186" s="20"/>
      <c r="O186" s="20"/>
      <c r="P186" s="20"/>
      <c r="Q186" s="24"/>
      <c r="R186" s="24"/>
      <c r="S186" s="24"/>
    </row>
    <row r="187" spans="1:19" ht="14.25" customHeight="1" x14ac:dyDescent="0.35">
      <c r="A187" s="20"/>
      <c r="B187" s="92"/>
      <c r="C187" s="101"/>
      <c r="D187" s="92" t="s">
        <v>67</v>
      </c>
      <c r="E187" s="45">
        <v>0</v>
      </c>
      <c r="F187" s="45">
        <v>0</v>
      </c>
      <c r="G187" s="45">
        <v>0</v>
      </c>
      <c r="H187" s="45">
        <v>0</v>
      </c>
      <c r="I187" s="43">
        <f t="shared" si="0"/>
        <v>0</v>
      </c>
      <c r="J187" s="20"/>
      <c r="K187" s="20"/>
      <c r="L187" s="20"/>
      <c r="M187" s="20"/>
      <c r="N187" s="20"/>
      <c r="O187" s="20"/>
      <c r="P187" s="20"/>
      <c r="Q187" s="24"/>
      <c r="R187" s="24"/>
      <c r="S187" s="24"/>
    </row>
    <row r="188" spans="1:19" ht="14.25" customHeight="1" x14ac:dyDescent="0.35">
      <c r="A188" s="30">
        <v>44775</v>
      </c>
      <c r="B188" s="92">
        <f>B185+7</f>
        <v>425</v>
      </c>
      <c r="C188" s="101" t="str">
        <f>$C$125</f>
        <v>5% FBS R2</v>
      </c>
      <c r="D188" s="91" t="s">
        <v>65</v>
      </c>
      <c r="E188" s="45">
        <v>77</v>
      </c>
      <c r="F188" s="45">
        <v>81</v>
      </c>
      <c r="G188" s="45">
        <v>74</v>
      </c>
      <c r="H188" s="45">
        <v>76</v>
      </c>
      <c r="I188" s="43">
        <f t="shared" si="0"/>
        <v>77</v>
      </c>
      <c r="J188" s="20">
        <f>I188*2*10000</f>
        <v>1540000</v>
      </c>
      <c r="K188" s="20">
        <f>$K$125</f>
        <v>3000000</v>
      </c>
      <c r="L188" s="20">
        <f>J188*5</f>
        <v>7700000</v>
      </c>
      <c r="M188" s="22">
        <f>I188/(I188+I189)*100</f>
        <v>99.676375404530745</v>
      </c>
      <c r="N188" s="22">
        <f>I190/I188*100</f>
        <v>0</v>
      </c>
      <c r="O188" s="23">
        <f>3.32*(LOG(L188)-LOG(K188))</f>
        <v>1.3591066419033613</v>
      </c>
      <c r="P188" s="23">
        <f>IF(O188&lt;0,P185,P185+O188)</f>
        <v>61.320057321918362</v>
      </c>
      <c r="Q188" s="38"/>
      <c r="R188" s="38"/>
      <c r="S188" s="39"/>
    </row>
    <row r="189" spans="1:19" ht="14.25" customHeight="1" x14ac:dyDescent="0.35">
      <c r="A189" s="20"/>
      <c r="B189" s="92"/>
      <c r="C189" s="101"/>
      <c r="D189" s="92" t="s">
        <v>66</v>
      </c>
      <c r="E189" s="45">
        <v>1</v>
      </c>
      <c r="F189" s="45">
        <v>0</v>
      </c>
      <c r="G189" s="45">
        <v>0</v>
      </c>
      <c r="H189" s="45">
        <v>0</v>
      </c>
      <c r="I189" s="43">
        <f t="shared" si="0"/>
        <v>0.25</v>
      </c>
      <c r="J189" s="20"/>
      <c r="K189" s="20"/>
      <c r="L189" s="20"/>
      <c r="M189" s="20"/>
      <c r="N189" s="20"/>
      <c r="O189" s="20"/>
      <c r="P189" s="20"/>
      <c r="Q189" s="24"/>
      <c r="R189" s="24"/>
      <c r="S189" s="24"/>
    </row>
    <row r="190" spans="1:19" ht="14.25" customHeight="1" x14ac:dyDescent="0.35">
      <c r="A190" s="20"/>
      <c r="B190" s="92"/>
      <c r="C190" s="101"/>
      <c r="D190" s="92" t="s">
        <v>67</v>
      </c>
      <c r="E190" s="45">
        <v>0</v>
      </c>
      <c r="F190" s="45">
        <v>0</v>
      </c>
      <c r="G190" s="45">
        <v>0</v>
      </c>
      <c r="H190" s="45">
        <v>0</v>
      </c>
      <c r="I190" s="43">
        <f t="shared" si="0"/>
        <v>0</v>
      </c>
      <c r="J190" s="20"/>
      <c r="K190" s="20"/>
      <c r="L190" s="20"/>
      <c r="M190" s="20"/>
      <c r="N190" s="20"/>
      <c r="O190" s="20"/>
      <c r="P190" s="20"/>
      <c r="Q190" s="24"/>
      <c r="R190" s="24"/>
      <c r="S190" s="24"/>
    </row>
    <row r="191" spans="1:19" ht="14.25" customHeight="1" x14ac:dyDescent="0.35">
      <c r="A191" s="30">
        <v>44782</v>
      </c>
      <c r="B191" s="92">
        <f>B188+7</f>
        <v>432</v>
      </c>
      <c r="C191" s="101" t="str">
        <f>$C$125</f>
        <v>5% FBS R2</v>
      </c>
      <c r="D191" s="91" t="s">
        <v>65</v>
      </c>
      <c r="E191" s="45">
        <v>180</v>
      </c>
      <c r="F191" s="45">
        <v>171</v>
      </c>
      <c r="G191" s="45">
        <v>183</v>
      </c>
      <c r="H191" s="45">
        <v>283</v>
      </c>
      <c r="I191" s="43">
        <f t="shared" si="0"/>
        <v>204.25</v>
      </c>
      <c r="J191" s="20">
        <f>I191*2*10000</f>
        <v>4085000</v>
      </c>
      <c r="K191" s="20">
        <f>$K$125</f>
        <v>3000000</v>
      </c>
      <c r="L191" s="20">
        <f>J191*5</f>
        <v>20425000</v>
      </c>
      <c r="M191" s="22">
        <f>I191/(I191+I192)*100</f>
        <v>97.961630695443645</v>
      </c>
      <c r="N191" s="22">
        <f>I193/I191*100</f>
        <v>0</v>
      </c>
      <c r="O191" s="23">
        <f>3.32*(LOG(L191)-LOG(K191))</f>
        <v>2.7656954908095055</v>
      </c>
      <c r="P191" s="23">
        <f>IF(O191&lt;0,P188,P188+O191)</f>
        <v>64.085752812727861</v>
      </c>
      <c r="Q191" s="38"/>
      <c r="R191" s="38"/>
      <c r="S191" s="39"/>
    </row>
    <row r="192" spans="1:19" ht="14.25" customHeight="1" x14ac:dyDescent="0.35">
      <c r="A192" s="20"/>
      <c r="B192" s="92"/>
      <c r="C192" s="101"/>
      <c r="D192" s="92" t="s">
        <v>66</v>
      </c>
      <c r="E192" s="45">
        <v>7</v>
      </c>
      <c r="F192" s="45">
        <v>3</v>
      </c>
      <c r="G192" s="45">
        <v>4</v>
      </c>
      <c r="H192" s="45">
        <v>3</v>
      </c>
      <c r="I192" s="43">
        <f t="shared" si="0"/>
        <v>4.25</v>
      </c>
      <c r="J192" s="20"/>
      <c r="K192" s="20"/>
      <c r="L192" s="20"/>
      <c r="M192" s="20"/>
      <c r="N192" s="20"/>
      <c r="O192" s="20"/>
      <c r="P192" s="20"/>
      <c r="Q192" s="24"/>
      <c r="R192" s="24"/>
      <c r="S192" s="24"/>
    </row>
    <row r="193" spans="1:19" ht="14.25" customHeight="1" x14ac:dyDescent="0.35">
      <c r="A193" s="20"/>
      <c r="B193" s="92"/>
      <c r="C193" s="101"/>
      <c r="D193" s="92" t="s">
        <v>67</v>
      </c>
      <c r="E193" s="45">
        <v>0</v>
      </c>
      <c r="F193" s="45">
        <v>0</v>
      </c>
      <c r="G193" s="45">
        <v>0</v>
      </c>
      <c r="H193" s="45">
        <v>0</v>
      </c>
      <c r="I193" s="43">
        <f t="shared" si="0"/>
        <v>0</v>
      </c>
      <c r="J193" s="20"/>
      <c r="K193" s="20"/>
      <c r="L193" s="20"/>
      <c r="M193" s="20"/>
      <c r="N193" s="20"/>
      <c r="O193" s="20"/>
      <c r="P193" s="20"/>
      <c r="Q193" s="24"/>
      <c r="R193" s="24"/>
      <c r="S193" s="24"/>
    </row>
    <row r="194" spans="1:19" ht="14.25" customHeight="1" x14ac:dyDescent="0.35">
      <c r="A194" s="30">
        <v>44789</v>
      </c>
      <c r="B194" s="92">
        <f>B191+7</f>
        <v>439</v>
      </c>
      <c r="C194" s="101" t="str">
        <f>$C$125</f>
        <v>5% FBS R2</v>
      </c>
      <c r="D194" s="91" t="s">
        <v>65</v>
      </c>
      <c r="E194" s="45">
        <v>113</v>
      </c>
      <c r="F194" s="45">
        <v>85</v>
      </c>
      <c r="G194" s="45">
        <v>106</v>
      </c>
      <c r="H194" s="45">
        <v>92</v>
      </c>
      <c r="I194" s="43">
        <f t="shared" si="0"/>
        <v>99</v>
      </c>
      <c r="J194" s="20">
        <f>I194*2*10000</f>
        <v>1980000</v>
      </c>
      <c r="K194" s="20">
        <f>$K$125</f>
        <v>3000000</v>
      </c>
      <c r="L194" s="20">
        <f>J194*5</f>
        <v>9900000</v>
      </c>
      <c r="M194" s="22">
        <f>I194/(I194+I195)*100</f>
        <v>100</v>
      </c>
      <c r="N194" s="22">
        <f>I196/I194*100</f>
        <v>0</v>
      </c>
      <c r="O194" s="23">
        <f>3.32*(LOG(L194)-LOG(K194))</f>
        <v>1.721466280394585</v>
      </c>
      <c r="P194" s="23">
        <f>IF(O194&lt;0,P191,P191+O194)</f>
        <v>65.807219093122441</v>
      </c>
      <c r="Q194" s="38"/>
      <c r="R194" s="38"/>
      <c r="S194" s="39"/>
    </row>
    <row r="195" spans="1:19" ht="14.25" customHeight="1" x14ac:dyDescent="0.35">
      <c r="A195" s="20"/>
      <c r="B195" s="92"/>
      <c r="C195" s="101"/>
      <c r="D195" s="92" t="s">
        <v>66</v>
      </c>
      <c r="E195" s="45">
        <v>0</v>
      </c>
      <c r="F195" s="45">
        <v>0</v>
      </c>
      <c r="G195" s="45">
        <v>0</v>
      </c>
      <c r="H195" s="45">
        <v>0</v>
      </c>
      <c r="I195" s="43">
        <f t="shared" si="0"/>
        <v>0</v>
      </c>
      <c r="J195" s="20"/>
      <c r="K195" s="20"/>
      <c r="L195" s="20"/>
      <c r="M195" s="20"/>
      <c r="N195" s="20"/>
      <c r="O195" s="20"/>
      <c r="P195" s="20"/>
      <c r="Q195" s="24"/>
      <c r="R195" s="24"/>
      <c r="S195" s="24"/>
    </row>
    <row r="196" spans="1:19" ht="14.25" customHeight="1" x14ac:dyDescent="0.35">
      <c r="A196" s="20"/>
      <c r="B196" s="92"/>
      <c r="C196" s="101"/>
      <c r="D196" s="92" t="s">
        <v>67</v>
      </c>
      <c r="E196" s="45">
        <v>0</v>
      </c>
      <c r="F196" s="45">
        <v>0</v>
      </c>
      <c r="G196" s="45">
        <v>0</v>
      </c>
      <c r="H196" s="45">
        <v>0</v>
      </c>
      <c r="I196" s="43">
        <f t="shared" si="0"/>
        <v>0</v>
      </c>
      <c r="J196" s="20"/>
      <c r="K196" s="20"/>
      <c r="L196" s="20"/>
      <c r="M196" s="20"/>
      <c r="N196" s="20"/>
      <c r="O196" s="20"/>
      <c r="P196" s="20"/>
      <c r="Q196" s="24"/>
      <c r="R196" s="24"/>
      <c r="S196" s="24"/>
    </row>
    <row r="197" spans="1:19" ht="14.25" customHeight="1" x14ac:dyDescent="0.35">
      <c r="A197" s="30">
        <v>44795</v>
      </c>
      <c r="B197" s="92">
        <f>B194+6</f>
        <v>445</v>
      </c>
      <c r="C197" s="101" t="str">
        <f>$C$125</f>
        <v>5% FBS R2</v>
      </c>
      <c r="D197" s="91" t="s">
        <v>65</v>
      </c>
      <c r="E197" s="45">
        <v>55</v>
      </c>
      <c r="F197" s="45">
        <v>51</v>
      </c>
      <c r="G197" s="45">
        <v>67</v>
      </c>
      <c r="H197" s="45">
        <v>54</v>
      </c>
      <c r="I197" s="43">
        <f t="shared" si="0"/>
        <v>56.75</v>
      </c>
      <c r="J197" s="20">
        <f>I197*2*10000</f>
        <v>1135000</v>
      </c>
      <c r="K197" s="20">
        <f>$K$125</f>
        <v>3000000</v>
      </c>
      <c r="L197" s="20">
        <f>J197*5</f>
        <v>5675000</v>
      </c>
      <c r="M197" s="22">
        <f>I197/(I197+I198)*100</f>
        <v>99.561403508771932</v>
      </c>
      <c r="N197" s="22">
        <f>I199/I197*100</f>
        <v>0</v>
      </c>
      <c r="O197" s="23">
        <f>3.32*(LOG(L197)-LOG(K197))</f>
        <v>0.9191241090030513</v>
      </c>
      <c r="P197" s="23">
        <f>IF(O197&lt;0,P194,P194+O197)</f>
        <v>66.726343202125491</v>
      </c>
      <c r="Q197" s="38"/>
      <c r="R197" s="38"/>
      <c r="S197" s="39"/>
    </row>
    <row r="198" spans="1:19" ht="14.25" customHeight="1" x14ac:dyDescent="0.35">
      <c r="A198" s="20"/>
      <c r="B198" s="92"/>
      <c r="C198" s="101"/>
      <c r="D198" s="92" t="s">
        <v>66</v>
      </c>
      <c r="E198" s="45">
        <v>1</v>
      </c>
      <c r="F198" s="45">
        <v>0</v>
      </c>
      <c r="G198" s="45">
        <v>0</v>
      </c>
      <c r="H198" s="45">
        <v>0</v>
      </c>
      <c r="I198" s="43">
        <f t="shared" si="0"/>
        <v>0.25</v>
      </c>
      <c r="J198" s="20"/>
      <c r="K198" s="20"/>
      <c r="L198" s="20"/>
      <c r="M198" s="20"/>
      <c r="N198" s="20"/>
      <c r="O198" s="20"/>
      <c r="P198" s="20"/>
      <c r="Q198" s="24"/>
      <c r="R198" s="24"/>
      <c r="S198" s="24"/>
    </row>
    <row r="199" spans="1:19" ht="14.25" customHeight="1" x14ac:dyDescent="0.35">
      <c r="A199" s="20"/>
      <c r="B199" s="92"/>
      <c r="C199" s="101"/>
      <c r="D199" s="92" t="s">
        <v>67</v>
      </c>
      <c r="E199" s="45">
        <v>0</v>
      </c>
      <c r="F199" s="45">
        <v>0</v>
      </c>
      <c r="G199" s="45">
        <v>0</v>
      </c>
      <c r="H199" s="45">
        <v>0</v>
      </c>
      <c r="I199" s="43">
        <f t="shared" si="0"/>
        <v>0</v>
      </c>
      <c r="J199" s="20"/>
      <c r="K199" s="20"/>
      <c r="L199" s="20"/>
      <c r="M199" s="20"/>
      <c r="N199" s="20"/>
      <c r="O199" s="20"/>
      <c r="P199" s="20"/>
      <c r="Q199" s="24"/>
      <c r="R199" s="24"/>
      <c r="S199" s="24"/>
    </row>
    <row r="200" spans="1:19" ht="14.25" customHeight="1" x14ac:dyDescent="0.35">
      <c r="A200" s="30">
        <v>44802</v>
      </c>
      <c r="B200" s="92">
        <f>B197+7</f>
        <v>452</v>
      </c>
      <c r="C200" s="101" t="str">
        <f>$C$125</f>
        <v>5% FBS R2</v>
      </c>
      <c r="D200" s="91" t="s">
        <v>65</v>
      </c>
      <c r="E200" s="45">
        <v>57</v>
      </c>
      <c r="F200" s="45">
        <v>46</v>
      </c>
      <c r="G200" s="45">
        <v>62</v>
      </c>
      <c r="H200" s="45">
        <v>61</v>
      </c>
      <c r="I200" s="43">
        <f t="shared" si="0"/>
        <v>56.5</v>
      </c>
      <c r="J200" s="20">
        <f>I200*2*10000</f>
        <v>1130000</v>
      </c>
      <c r="K200" s="20">
        <f>$K$125</f>
        <v>3000000</v>
      </c>
      <c r="L200" s="20">
        <f>J200*5</f>
        <v>5650000</v>
      </c>
      <c r="M200" s="22">
        <f>I200/(I200+I201)*100</f>
        <v>97.835497835497833</v>
      </c>
      <c r="N200" s="22">
        <f>I202/I200*100</f>
        <v>0</v>
      </c>
      <c r="O200" s="23">
        <f>3.32*(LOG(L200)-LOG(K200))</f>
        <v>0.91275828109125656</v>
      </c>
      <c r="P200" s="23">
        <f>IF(O200&lt;0,P197,P197+O200)</f>
        <v>67.639101483216749</v>
      </c>
      <c r="Q200" s="38"/>
      <c r="R200" s="38"/>
      <c r="S200" s="39"/>
    </row>
    <row r="201" spans="1:19" ht="14.25" customHeight="1" x14ac:dyDescent="0.35">
      <c r="A201" s="20"/>
      <c r="B201" s="92"/>
      <c r="C201" s="101"/>
      <c r="D201" s="92" t="s">
        <v>66</v>
      </c>
      <c r="E201" s="45">
        <v>0</v>
      </c>
      <c r="F201" s="45">
        <v>2</v>
      </c>
      <c r="G201" s="45">
        <v>1</v>
      </c>
      <c r="H201" s="45">
        <v>2</v>
      </c>
      <c r="I201" s="43">
        <f t="shared" si="0"/>
        <v>1.25</v>
      </c>
      <c r="J201" s="20"/>
      <c r="K201" s="20"/>
      <c r="L201" s="20"/>
      <c r="M201" s="20"/>
      <c r="N201" s="20"/>
      <c r="O201" s="20"/>
      <c r="P201" s="20"/>
      <c r="Q201" s="24"/>
      <c r="R201" s="24"/>
      <c r="S201" s="24"/>
    </row>
    <row r="202" spans="1:19" ht="14.25" customHeight="1" x14ac:dyDescent="0.35">
      <c r="A202" s="20"/>
      <c r="B202" s="92"/>
      <c r="C202" s="101"/>
      <c r="D202" s="92" t="s">
        <v>67</v>
      </c>
      <c r="E202" s="45">
        <v>0</v>
      </c>
      <c r="F202" s="45">
        <v>0</v>
      </c>
      <c r="G202" s="45">
        <v>0</v>
      </c>
      <c r="H202" s="45">
        <v>0</v>
      </c>
      <c r="I202" s="43">
        <f t="shared" si="0"/>
        <v>0</v>
      </c>
      <c r="J202" s="20"/>
      <c r="K202" s="20"/>
      <c r="L202" s="20"/>
      <c r="M202" s="20"/>
      <c r="N202" s="20"/>
      <c r="O202" s="20"/>
      <c r="P202" s="20"/>
      <c r="Q202" s="24"/>
      <c r="R202" s="24"/>
      <c r="S202" s="24"/>
    </row>
    <row r="203" spans="1:19" ht="14.25" customHeight="1" x14ac:dyDescent="0.35">
      <c r="A203" s="30">
        <v>44810</v>
      </c>
      <c r="B203" s="92">
        <f>B200+8</f>
        <v>460</v>
      </c>
      <c r="C203" s="101" t="str">
        <f>$C$125</f>
        <v>5% FBS R2</v>
      </c>
      <c r="D203" s="91" t="s">
        <v>65</v>
      </c>
      <c r="E203" s="45">
        <v>106</v>
      </c>
      <c r="F203" s="45">
        <v>80</v>
      </c>
      <c r="G203" s="45">
        <v>100</v>
      </c>
      <c r="H203" s="45">
        <v>105</v>
      </c>
      <c r="I203" s="43">
        <f t="shared" si="0"/>
        <v>97.75</v>
      </c>
      <c r="J203" s="20">
        <f>I203*2*10000</f>
        <v>1955000</v>
      </c>
      <c r="K203" s="20">
        <f>$K$125</f>
        <v>3000000</v>
      </c>
      <c r="L203" s="20">
        <f>J203*5</f>
        <v>9775000</v>
      </c>
      <c r="M203" s="22">
        <f>I203/(I203+I204)*100</f>
        <v>98.73737373737373</v>
      </c>
      <c r="N203" s="22">
        <f>I205/I203*100</f>
        <v>0</v>
      </c>
      <c r="O203" s="23">
        <f>3.32*(LOG(L203)-LOG(K203))</f>
        <v>1.7031450976761635</v>
      </c>
      <c r="P203" s="23">
        <f>IF(O203&lt;0,P200,P200+O203)</f>
        <v>69.342246580892919</v>
      </c>
      <c r="Q203" s="38"/>
      <c r="R203" s="38"/>
      <c r="S203" s="39"/>
    </row>
    <row r="204" spans="1:19" ht="14.25" customHeight="1" x14ac:dyDescent="0.35">
      <c r="A204" s="20"/>
      <c r="B204" s="92"/>
      <c r="C204" s="101"/>
      <c r="D204" s="92" t="s">
        <v>66</v>
      </c>
      <c r="E204" s="45">
        <v>0</v>
      </c>
      <c r="F204" s="45">
        <v>1</v>
      </c>
      <c r="G204" s="45">
        <v>2</v>
      </c>
      <c r="H204" s="45">
        <v>2</v>
      </c>
      <c r="I204" s="43">
        <f t="shared" si="0"/>
        <v>1.25</v>
      </c>
      <c r="J204" s="20"/>
      <c r="K204" s="20"/>
      <c r="L204" s="20"/>
      <c r="M204" s="20"/>
      <c r="N204" s="20"/>
      <c r="O204" s="20"/>
      <c r="P204" s="20"/>
      <c r="Q204" s="24"/>
      <c r="R204" s="24"/>
      <c r="S204" s="24"/>
    </row>
    <row r="205" spans="1:19" ht="14.25" customHeight="1" x14ac:dyDescent="0.35">
      <c r="A205" s="20"/>
      <c r="B205" s="92"/>
      <c r="C205" s="101"/>
      <c r="D205" s="92" t="s">
        <v>67</v>
      </c>
      <c r="E205" s="45">
        <v>0</v>
      </c>
      <c r="F205" s="45">
        <v>0</v>
      </c>
      <c r="G205" s="45">
        <v>0</v>
      </c>
      <c r="H205" s="45">
        <v>0</v>
      </c>
      <c r="I205" s="43">
        <f t="shared" si="0"/>
        <v>0</v>
      </c>
      <c r="J205" s="20"/>
      <c r="K205" s="20"/>
      <c r="L205" s="20"/>
      <c r="M205" s="20"/>
      <c r="N205" s="20"/>
      <c r="O205" s="20"/>
      <c r="P205" s="20"/>
      <c r="Q205" s="24"/>
      <c r="R205" s="24"/>
      <c r="S205" s="24"/>
    </row>
    <row r="206" spans="1:19" ht="14.25" customHeight="1" x14ac:dyDescent="0.35">
      <c r="A206" s="30">
        <v>44816</v>
      </c>
      <c r="B206" s="92">
        <f>B203+6</f>
        <v>466</v>
      </c>
      <c r="C206" s="101" t="str">
        <f>$C$125</f>
        <v>5% FBS R2</v>
      </c>
      <c r="D206" s="91" t="s">
        <v>65</v>
      </c>
      <c r="E206" s="45">
        <v>65</v>
      </c>
      <c r="F206" s="45">
        <v>68</v>
      </c>
      <c r="G206" s="45">
        <v>72</v>
      </c>
      <c r="H206" s="45">
        <v>58</v>
      </c>
      <c r="I206" s="43">
        <f t="shared" si="0"/>
        <v>65.75</v>
      </c>
      <c r="J206" s="20">
        <f>I206*2*10000</f>
        <v>1315000</v>
      </c>
      <c r="K206" s="20">
        <f>$K$125</f>
        <v>3000000</v>
      </c>
      <c r="L206" s="20">
        <f>J206*5</f>
        <v>6575000</v>
      </c>
      <c r="M206" s="22">
        <f>I206/(I206+I207)*100</f>
        <v>97.407407407407405</v>
      </c>
      <c r="N206" s="22">
        <f>I208/I206*100</f>
        <v>0</v>
      </c>
      <c r="O206" s="23">
        <f>3.32*(LOG(L206)-LOG(K206))</f>
        <v>1.1313713481078813</v>
      </c>
      <c r="P206" s="23">
        <f>IF(O206&lt;0,P203,P203+O206)</f>
        <v>70.473617929000795</v>
      </c>
      <c r="Q206" s="38"/>
      <c r="R206" s="38"/>
      <c r="S206" s="39"/>
    </row>
    <row r="207" spans="1:19" ht="14.25" customHeight="1" x14ac:dyDescent="0.35">
      <c r="A207" s="20"/>
      <c r="B207" s="92"/>
      <c r="C207" s="101"/>
      <c r="D207" s="92" t="s">
        <v>66</v>
      </c>
      <c r="E207" s="45">
        <v>2</v>
      </c>
      <c r="F207" s="45">
        <v>2</v>
      </c>
      <c r="G207" s="45">
        <v>2</v>
      </c>
      <c r="H207" s="45">
        <v>1</v>
      </c>
      <c r="I207" s="43">
        <f t="shared" si="0"/>
        <v>1.75</v>
      </c>
      <c r="J207" s="20"/>
      <c r="K207" s="20"/>
      <c r="L207" s="20"/>
      <c r="M207" s="20"/>
      <c r="N207" s="20"/>
      <c r="O207" s="20"/>
      <c r="P207" s="20"/>
      <c r="Q207" s="24"/>
      <c r="R207" s="24"/>
      <c r="S207" s="24"/>
    </row>
    <row r="208" spans="1:19" ht="14.25" customHeight="1" x14ac:dyDescent="0.35">
      <c r="A208" s="20"/>
      <c r="B208" s="92"/>
      <c r="C208" s="101"/>
      <c r="D208" s="92" t="s">
        <v>67</v>
      </c>
      <c r="E208" s="45">
        <v>0</v>
      </c>
      <c r="F208" s="45">
        <v>0</v>
      </c>
      <c r="G208" s="45">
        <v>0</v>
      </c>
      <c r="H208" s="45">
        <v>0</v>
      </c>
      <c r="I208" s="43">
        <f t="shared" si="0"/>
        <v>0</v>
      </c>
      <c r="J208" s="20"/>
      <c r="K208" s="20"/>
      <c r="L208" s="20"/>
      <c r="M208" s="20"/>
      <c r="N208" s="20"/>
      <c r="O208" s="20"/>
      <c r="P208" s="20"/>
      <c r="Q208" s="24"/>
      <c r="R208" s="24"/>
      <c r="S208" s="24"/>
    </row>
    <row r="209" spans="1:19" ht="14.25" customHeight="1" x14ac:dyDescent="0.35">
      <c r="A209" s="30">
        <v>44823</v>
      </c>
      <c r="B209" s="92">
        <f>B206+7</f>
        <v>473</v>
      </c>
      <c r="C209" s="101" t="str">
        <f>$C$125</f>
        <v>5% FBS R2</v>
      </c>
      <c r="D209" s="91" t="s">
        <v>65</v>
      </c>
      <c r="E209" s="45">
        <v>95</v>
      </c>
      <c r="F209" s="45">
        <v>140</v>
      </c>
      <c r="G209" s="45">
        <v>126</v>
      </c>
      <c r="H209" s="45">
        <v>125</v>
      </c>
      <c r="I209" s="43">
        <f t="shared" si="0"/>
        <v>121.5</v>
      </c>
      <c r="J209" s="20">
        <f>I209*2*10000</f>
        <v>2430000</v>
      </c>
      <c r="K209" s="20">
        <f>$K$125</f>
        <v>3000000</v>
      </c>
      <c r="L209" s="20">
        <f>J209*5</f>
        <v>12150000</v>
      </c>
      <c r="M209" s="22">
        <f>I209/(I209+I210)*100</f>
        <v>97.786720321931583</v>
      </c>
      <c r="N209" s="22">
        <f>I211/I209*100</f>
        <v>0</v>
      </c>
      <c r="O209" s="23">
        <f>3.32*(LOG(L209)-LOG(K209))</f>
        <v>2.0167506770726984</v>
      </c>
      <c r="P209" s="23">
        <f>IF(O209&lt;0,P206,P206+O209)</f>
        <v>72.490368606073488</v>
      </c>
      <c r="Q209" s="38"/>
      <c r="R209" s="38"/>
      <c r="S209" s="39"/>
    </row>
    <row r="210" spans="1:19" ht="14.25" customHeight="1" x14ac:dyDescent="0.35">
      <c r="A210" s="20"/>
      <c r="B210" s="92"/>
      <c r="C210" s="101"/>
      <c r="D210" s="92" t="s">
        <v>66</v>
      </c>
      <c r="E210" s="45">
        <v>3</v>
      </c>
      <c r="F210" s="45">
        <v>1</v>
      </c>
      <c r="G210" s="45">
        <v>5</v>
      </c>
      <c r="H210" s="45">
        <v>2</v>
      </c>
      <c r="I210" s="43">
        <f t="shared" si="0"/>
        <v>2.75</v>
      </c>
      <c r="J210" s="20"/>
      <c r="K210" s="20"/>
      <c r="L210" s="20"/>
      <c r="M210" s="20"/>
      <c r="N210" s="20"/>
      <c r="O210" s="20"/>
      <c r="P210" s="20"/>
      <c r="Q210" s="24"/>
      <c r="R210" s="24"/>
      <c r="S210" s="24"/>
    </row>
    <row r="211" spans="1:19" ht="14.25" customHeight="1" x14ac:dyDescent="0.35">
      <c r="A211" s="20"/>
      <c r="B211" s="92"/>
      <c r="C211" s="101"/>
      <c r="D211" s="92" t="s">
        <v>67</v>
      </c>
      <c r="E211" s="45">
        <v>0</v>
      </c>
      <c r="F211" s="45">
        <v>0</v>
      </c>
      <c r="G211" s="45">
        <v>0</v>
      </c>
      <c r="H211" s="45">
        <v>0</v>
      </c>
      <c r="I211" s="43">
        <f t="shared" si="0"/>
        <v>0</v>
      </c>
      <c r="J211" s="20"/>
      <c r="K211" s="20"/>
      <c r="L211" s="20"/>
      <c r="M211" s="20"/>
      <c r="N211" s="20"/>
      <c r="O211" s="20"/>
      <c r="P211" s="20"/>
      <c r="Q211" s="24"/>
      <c r="R211" s="24"/>
      <c r="S211" s="24"/>
    </row>
    <row r="212" spans="1:19" ht="14.25" customHeight="1" x14ac:dyDescent="0.35">
      <c r="A212" s="30">
        <v>44830</v>
      </c>
      <c r="B212" s="92">
        <f>B209+7</f>
        <v>480</v>
      </c>
      <c r="C212" s="101" t="str">
        <f>$C$125</f>
        <v>5% FBS R2</v>
      </c>
      <c r="D212" s="91" t="s">
        <v>65</v>
      </c>
      <c r="E212" s="45">
        <v>75</v>
      </c>
      <c r="F212" s="45">
        <v>89</v>
      </c>
      <c r="G212" s="45">
        <v>80</v>
      </c>
      <c r="H212" s="45">
        <v>80</v>
      </c>
      <c r="I212" s="43">
        <f t="shared" si="0"/>
        <v>81</v>
      </c>
      <c r="J212" s="20">
        <f>I212*2*10000</f>
        <v>1620000</v>
      </c>
      <c r="K212" s="20">
        <f>$K$125</f>
        <v>3000000</v>
      </c>
      <c r="L212" s="20">
        <f>J212*5</f>
        <v>8100000</v>
      </c>
      <c r="M212" s="22">
        <f>I212/(I212+I213)*100</f>
        <v>98.780487804878049</v>
      </c>
      <c r="N212" s="22">
        <f>I214/I212*100</f>
        <v>0</v>
      </c>
      <c r="O212" s="23">
        <f>3.32*(LOG(L212)-LOG(K212))</f>
        <v>1.4321276970078365</v>
      </c>
      <c r="P212" s="23">
        <f>IF(O212&lt;0,P209,P209+O212)</f>
        <v>73.922496303081331</v>
      </c>
      <c r="Q212" s="38"/>
      <c r="R212" s="38"/>
      <c r="S212" s="39"/>
    </row>
    <row r="213" spans="1:19" ht="14.25" customHeight="1" x14ac:dyDescent="0.35">
      <c r="A213" s="20"/>
      <c r="B213" s="92"/>
      <c r="C213" s="101"/>
      <c r="D213" s="92" t="s">
        <v>66</v>
      </c>
      <c r="E213" s="45">
        <v>3</v>
      </c>
      <c r="F213" s="45">
        <v>0</v>
      </c>
      <c r="G213" s="45">
        <v>0</v>
      </c>
      <c r="H213" s="45">
        <v>1</v>
      </c>
      <c r="I213" s="43">
        <f t="shared" si="0"/>
        <v>1</v>
      </c>
      <c r="J213" s="20"/>
      <c r="K213" s="20"/>
      <c r="L213" s="20"/>
      <c r="M213" s="20"/>
      <c r="N213" s="20"/>
      <c r="O213" s="20"/>
      <c r="P213" s="20"/>
      <c r="Q213" s="24"/>
      <c r="R213" s="24"/>
      <c r="S213" s="24"/>
    </row>
    <row r="214" spans="1:19" ht="14.25" customHeight="1" x14ac:dyDescent="0.35">
      <c r="A214" s="20"/>
      <c r="B214" s="92"/>
      <c r="C214" s="101"/>
      <c r="D214" s="92" t="s">
        <v>67</v>
      </c>
      <c r="E214" s="45">
        <v>0</v>
      </c>
      <c r="F214" s="45">
        <v>0</v>
      </c>
      <c r="G214" s="45">
        <v>0</v>
      </c>
      <c r="H214" s="45">
        <v>0</v>
      </c>
      <c r="I214" s="43">
        <f t="shared" si="0"/>
        <v>0</v>
      </c>
      <c r="J214" s="20"/>
      <c r="K214" s="20"/>
      <c r="L214" s="20"/>
      <c r="M214" s="20"/>
      <c r="N214" s="20"/>
      <c r="O214" s="20"/>
      <c r="P214" s="20"/>
      <c r="Q214" s="24"/>
      <c r="R214" s="24"/>
      <c r="S214" s="24"/>
    </row>
    <row r="215" spans="1:19" ht="14.25" customHeight="1" x14ac:dyDescent="0.35">
      <c r="A215" s="30">
        <v>44837</v>
      </c>
      <c r="B215" s="92">
        <f>B212+7</f>
        <v>487</v>
      </c>
      <c r="C215" s="101" t="str">
        <f>$C$125</f>
        <v>5% FBS R2</v>
      </c>
      <c r="D215" s="91" t="s">
        <v>65</v>
      </c>
      <c r="E215" s="45">
        <v>84</v>
      </c>
      <c r="F215" s="45">
        <v>85</v>
      </c>
      <c r="G215" s="45">
        <v>99</v>
      </c>
      <c r="H215" s="45">
        <v>81</v>
      </c>
      <c r="I215" s="43">
        <f t="shared" si="0"/>
        <v>87.25</v>
      </c>
      <c r="J215" s="20">
        <f>I215*2*10000</f>
        <v>1745000</v>
      </c>
      <c r="K215" s="20">
        <f>$K$125</f>
        <v>3000000</v>
      </c>
      <c r="L215" s="20">
        <f>J215*5</f>
        <v>8725000</v>
      </c>
      <c r="M215" s="22">
        <f>I215/(I215+I216)*100</f>
        <v>96.67590027700831</v>
      </c>
      <c r="N215" s="22">
        <f>I217/I215*100</f>
        <v>0</v>
      </c>
      <c r="O215" s="23">
        <f>3.32*(LOG(L215)-LOG(K215))</f>
        <v>1.5392986806263611</v>
      </c>
      <c r="P215" s="23">
        <f>IF(O215&lt;0,P212,P212+O215)</f>
        <v>75.461794983707691</v>
      </c>
      <c r="Q215" s="38"/>
      <c r="R215" s="38"/>
      <c r="S215" s="39"/>
    </row>
    <row r="216" spans="1:19" ht="14.25" customHeight="1" x14ac:dyDescent="0.35">
      <c r="A216" s="20"/>
      <c r="B216" s="92"/>
      <c r="C216" s="101"/>
      <c r="D216" s="92" t="s">
        <v>66</v>
      </c>
      <c r="E216" s="45">
        <v>4</v>
      </c>
      <c r="F216" s="45">
        <v>2</v>
      </c>
      <c r="G216" s="45">
        <v>4</v>
      </c>
      <c r="H216" s="45">
        <v>2</v>
      </c>
      <c r="I216" s="43">
        <f t="shared" si="0"/>
        <v>3</v>
      </c>
      <c r="J216" s="20"/>
      <c r="K216" s="20"/>
      <c r="L216" s="20"/>
      <c r="M216" s="20"/>
      <c r="N216" s="20"/>
      <c r="O216" s="20"/>
      <c r="P216" s="20"/>
      <c r="Q216" s="24"/>
      <c r="R216" s="24"/>
      <c r="S216" s="24"/>
    </row>
    <row r="217" spans="1:19" ht="14.25" customHeight="1" x14ac:dyDescent="0.35">
      <c r="A217" s="20"/>
      <c r="B217" s="92"/>
      <c r="C217" s="101"/>
      <c r="D217" s="92" t="s">
        <v>67</v>
      </c>
      <c r="E217" s="45">
        <v>0</v>
      </c>
      <c r="F217" s="45">
        <v>0</v>
      </c>
      <c r="G217" s="45">
        <v>0</v>
      </c>
      <c r="H217" s="45">
        <v>0</v>
      </c>
      <c r="I217" s="43">
        <f t="shared" si="0"/>
        <v>0</v>
      </c>
      <c r="J217" s="20"/>
      <c r="K217" s="20"/>
      <c r="L217" s="20"/>
      <c r="M217" s="20"/>
      <c r="N217" s="20"/>
      <c r="O217" s="20"/>
      <c r="P217" s="20"/>
      <c r="Q217" s="24"/>
      <c r="R217" s="24"/>
      <c r="S217" s="24"/>
    </row>
    <row r="218" spans="1:19" ht="14.25" customHeight="1" x14ac:dyDescent="0.35">
      <c r="A218" s="30">
        <v>44844</v>
      </c>
      <c r="B218" s="92">
        <f>B215+7</f>
        <v>494</v>
      </c>
      <c r="C218" s="101" t="str">
        <f>$C$125</f>
        <v>5% FBS R2</v>
      </c>
      <c r="D218" s="91" t="s">
        <v>65</v>
      </c>
      <c r="E218" s="45">
        <v>43</v>
      </c>
      <c r="F218" s="45">
        <v>62</v>
      </c>
      <c r="G218" s="45">
        <v>47</v>
      </c>
      <c r="H218" s="45">
        <v>48</v>
      </c>
      <c r="I218" s="43">
        <f t="shared" si="0"/>
        <v>50</v>
      </c>
      <c r="J218" s="20">
        <f>I218*2*10000</f>
        <v>1000000</v>
      </c>
      <c r="K218" s="20">
        <f>$K$125</f>
        <v>3000000</v>
      </c>
      <c r="L218" s="20">
        <f>J218*5</f>
        <v>5000000</v>
      </c>
      <c r="M218" s="22">
        <f>I218/(I218+I219)*100</f>
        <v>100</v>
      </c>
      <c r="N218" s="22">
        <f>I220/I218*100</f>
        <v>0</v>
      </c>
      <c r="O218" s="23">
        <f>3.32*(LOG(L218)-LOG(K218))</f>
        <v>0.73653784872630235</v>
      </c>
      <c r="P218" s="23">
        <f>IF(O218&lt;0,P215,P215+O218)</f>
        <v>76.198332832433991</v>
      </c>
      <c r="Q218" s="38"/>
      <c r="R218" s="38"/>
      <c r="S218" s="39"/>
    </row>
    <row r="219" spans="1:19" ht="14.25" customHeight="1" x14ac:dyDescent="0.35">
      <c r="A219" s="20"/>
      <c r="B219" s="92"/>
      <c r="C219" s="101"/>
      <c r="D219" s="92" t="s">
        <v>66</v>
      </c>
      <c r="E219" s="45">
        <v>0</v>
      </c>
      <c r="F219" s="45">
        <v>0</v>
      </c>
      <c r="G219" s="45">
        <v>0</v>
      </c>
      <c r="H219" s="45">
        <v>0</v>
      </c>
      <c r="I219" s="43">
        <f t="shared" si="0"/>
        <v>0</v>
      </c>
      <c r="J219" s="20"/>
      <c r="K219" s="20"/>
      <c r="L219" s="20"/>
      <c r="M219" s="20"/>
      <c r="N219" s="20"/>
      <c r="O219" s="20"/>
      <c r="P219" s="20"/>
      <c r="Q219" s="24"/>
      <c r="R219" s="24"/>
      <c r="S219" s="24"/>
    </row>
    <row r="220" spans="1:19" ht="14.25" customHeight="1" x14ac:dyDescent="0.35">
      <c r="A220" s="20"/>
      <c r="B220" s="92"/>
      <c r="C220" s="101"/>
      <c r="D220" s="92" t="s">
        <v>67</v>
      </c>
      <c r="E220" s="45">
        <v>0</v>
      </c>
      <c r="F220" s="45">
        <v>0</v>
      </c>
      <c r="G220" s="45">
        <v>0</v>
      </c>
      <c r="H220" s="45">
        <v>0</v>
      </c>
      <c r="I220" s="43">
        <f t="shared" si="0"/>
        <v>0</v>
      </c>
      <c r="J220" s="20"/>
      <c r="K220" s="20"/>
      <c r="L220" s="20"/>
      <c r="M220" s="20"/>
      <c r="N220" s="20"/>
      <c r="O220" s="20"/>
      <c r="P220" s="20"/>
      <c r="Q220" s="24"/>
      <c r="R220" s="24"/>
      <c r="S220" s="24"/>
    </row>
    <row r="221" spans="1:19" ht="14.25" customHeight="1" x14ac:dyDescent="0.35">
      <c r="A221" s="30">
        <v>44851</v>
      </c>
      <c r="B221" s="92">
        <f>B218+7</f>
        <v>501</v>
      </c>
      <c r="C221" s="101" t="str">
        <f>$C$125</f>
        <v>5% FBS R2</v>
      </c>
      <c r="D221" s="91" t="s">
        <v>65</v>
      </c>
      <c r="E221" s="45">
        <v>62</v>
      </c>
      <c r="F221" s="45">
        <v>83</v>
      </c>
      <c r="G221" s="45">
        <v>84</v>
      </c>
      <c r="H221" s="45">
        <v>101</v>
      </c>
      <c r="I221" s="43">
        <f t="shared" si="0"/>
        <v>82.5</v>
      </c>
      <c r="J221" s="20">
        <f>I221*2*10000</f>
        <v>1650000</v>
      </c>
      <c r="K221" s="20">
        <f>$K$125</f>
        <v>3000000</v>
      </c>
      <c r="L221" s="20">
        <f>J221*5</f>
        <v>8250000</v>
      </c>
      <c r="M221" s="22">
        <f>I221/(I221+I222)*100</f>
        <v>98.214285714285708</v>
      </c>
      <c r="N221" s="22">
        <f>I223/I221*100</f>
        <v>0.30303030303030304</v>
      </c>
      <c r="O221" s="23">
        <f>3.32*(LOG(L221)-LOG(K221))</f>
        <v>1.4585845435164726</v>
      </c>
      <c r="P221" s="23">
        <f>IF(O221&lt;0,P218,P218+O221)</f>
        <v>77.656917375950457</v>
      </c>
      <c r="Q221" s="38"/>
      <c r="R221" s="38"/>
      <c r="S221" s="39"/>
    </row>
    <row r="222" spans="1:19" ht="14.25" customHeight="1" x14ac:dyDescent="0.35">
      <c r="A222" s="20"/>
      <c r="B222" s="92"/>
      <c r="C222" s="101"/>
      <c r="D222" s="92" t="s">
        <v>66</v>
      </c>
      <c r="E222" s="45">
        <v>1</v>
      </c>
      <c r="F222" s="45">
        <v>1</v>
      </c>
      <c r="G222" s="45">
        <v>2</v>
      </c>
      <c r="H222" s="45">
        <v>2</v>
      </c>
      <c r="I222" s="43">
        <f t="shared" si="0"/>
        <v>1.5</v>
      </c>
      <c r="J222" s="20"/>
      <c r="K222" s="20"/>
      <c r="L222" s="20"/>
      <c r="M222" s="20"/>
      <c r="N222" s="20"/>
      <c r="O222" s="20"/>
      <c r="P222" s="20"/>
      <c r="Q222" s="24"/>
      <c r="R222" s="24"/>
      <c r="S222" s="24"/>
    </row>
    <row r="223" spans="1:19" ht="14.25" customHeight="1" x14ac:dyDescent="0.35">
      <c r="A223" s="20"/>
      <c r="B223" s="92"/>
      <c r="C223" s="101"/>
      <c r="D223" s="92" t="s">
        <v>67</v>
      </c>
      <c r="E223" s="45">
        <v>1</v>
      </c>
      <c r="F223" s="45">
        <v>0</v>
      </c>
      <c r="G223" s="45">
        <v>0</v>
      </c>
      <c r="H223" s="45">
        <v>0</v>
      </c>
      <c r="I223" s="43">
        <f t="shared" si="0"/>
        <v>0.25</v>
      </c>
      <c r="J223" s="20"/>
      <c r="K223" s="20"/>
      <c r="L223" s="20"/>
      <c r="M223" s="20"/>
      <c r="N223" s="20"/>
      <c r="O223" s="20"/>
      <c r="P223" s="20"/>
      <c r="Q223" s="24"/>
      <c r="R223" s="24"/>
      <c r="S223" s="24"/>
    </row>
    <row r="224" spans="1:19" ht="14.25" customHeight="1" x14ac:dyDescent="0.35">
      <c r="A224" s="30">
        <v>44858</v>
      </c>
      <c r="B224" s="92">
        <f>B221+7</f>
        <v>508</v>
      </c>
      <c r="C224" s="101" t="str">
        <f>$C$125</f>
        <v>5% FBS R2</v>
      </c>
      <c r="D224" s="91" t="s">
        <v>65</v>
      </c>
      <c r="E224" s="45">
        <v>64</v>
      </c>
      <c r="F224" s="45">
        <v>71</v>
      </c>
      <c r="G224" s="45">
        <v>79</v>
      </c>
      <c r="H224" s="45">
        <v>79</v>
      </c>
      <c r="I224" s="43">
        <f t="shared" si="0"/>
        <v>73.25</v>
      </c>
      <c r="J224" s="20">
        <f>I224*2*10000</f>
        <v>1465000</v>
      </c>
      <c r="K224" s="20">
        <f>$K$125</f>
        <v>3000000</v>
      </c>
      <c r="L224" s="20">
        <f>J224*5</f>
        <v>7325000</v>
      </c>
      <c r="M224" s="22">
        <f>I224/(I224+I225)*100</f>
        <v>98.986486486486484</v>
      </c>
      <c r="N224" s="22">
        <f>I226/I224*100</f>
        <v>0</v>
      </c>
      <c r="O224" s="23">
        <f>3.32*(LOG(L224)-LOG(K224))</f>
        <v>1.2871187626975298</v>
      </c>
      <c r="P224" s="23">
        <f>IF(O224&lt;0,P221,P221+O224)</f>
        <v>78.944036138647988</v>
      </c>
      <c r="Q224" s="38"/>
      <c r="R224" s="38"/>
      <c r="S224" s="39"/>
    </row>
    <row r="225" spans="1:19" ht="14.25" customHeight="1" x14ac:dyDescent="0.35">
      <c r="A225" s="20"/>
      <c r="B225" s="92"/>
      <c r="C225" s="101"/>
      <c r="D225" s="92" t="s">
        <v>66</v>
      </c>
      <c r="E225" s="45">
        <v>0</v>
      </c>
      <c r="F225" s="45">
        <v>1</v>
      </c>
      <c r="G225" s="45">
        <v>2</v>
      </c>
      <c r="H225" s="45">
        <v>0</v>
      </c>
      <c r="I225" s="43">
        <f t="shared" si="0"/>
        <v>0.75</v>
      </c>
      <c r="J225" s="20"/>
      <c r="K225" s="20"/>
      <c r="L225" s="20"/>
      <c r="M225" s="20"/>
      <c r="N225" s="20"/>
      <c r="O225" s="20"/>
      <c r="P225" s="20"/>
      <c r="Q225" s="24"/>
      <c r="R225" s="24"/>
      <c r="S225" s="24"/>
    </row>
    <row r="226" spans="1:19" ht="14.25" customHeight="1" x14ac:dyDescent="0.35">
      <c r="A226" s="20"/>
      <c r="B226" s="92"/>
      <c r="C226" s="101"/>
      <c r="D226" s="92" t="s">
        <v>67</v>
      </c>
      <c r="E226" s="45">
        <v>0</v>
      </c>
      <c r="F226" s="45">
        <v>0</v>
      </c>
      <c r="G226" s="45">
        <v>0</v>
      </c>
      <c r="H226" s="45">
        <v>0</v>
      </c>
      <c r="I226" s="43">
        <f t="shared" si="0"/>
        <v>0</v>
      </c>
      <c r="J226" s="20"/>
      <c r="K226" s="20"/>
      <c r="L226" s="20"/>
      <c r="M226" s="20"/>
      <c r="N226" s="20"/>
      <c r="O226" s="20"/>
      <c r="P226" s="20"/>
      <c r="Q226" s="24"/>
      <c r="R226" s="24"/>
      <c r="S226" s="24"/>
    </row>
    <row r="227" spans="1:19" ht="14.25" customHeight="1" x14ac:dyDescent="0.35">
      <c r="A227" s="30">
        <v>44865</v>
      </c>
      <c r="B227" s="92">
        <f>B224+7</f>
        <v>515</v>
      </c>
      <c r="C227" s="101" t="str">
        <f>$C$125</f>
        <v>5% FBS R2</v>
      </c>
      <c r="D227" s="91" t="s">
        <v>65</v>
      </c>
      <c r="E227" s="45">
        <v>101</v>
      </c>
      <c r="F227" s="45">
        <v>94</v>
      </c>
      <c r="G227" s="45">
        <v>71</v>
      </c>
      <c r="H227" s="45">
        <v>101</v>
      </c>
      <c r="I227" s="43">
        <f t="shared" si="0"/>
        <v>91.75</v>
      </c>
      <c r="J227" s="20">
        <f>I227*2*10000</f>
        <v>1835000</v>
      </c>
      <c r="K227" s="20">
        <f>$K$125</f>
        <v>3000000</v>
      </c>
      <c r="L227" s="20">
        <f>J227*5</f>
        <v>9175000</v>
      </c>
      <c r="M227" s="22">
        <f>I227/(I227+I228)*100</f>
        <v>97.089947089947088</v>
      </c>
      <c r="N227" s="22">
        <f>I229/I227*100</f>
        <v>0</v>
      </c>
      <c r="O227" s="23">
        <f>3.32*(LOG(L227)-LOG(K227))</f>
        <v>1.6118095964388226</v>
      </c>
      <c r="P227" s="23">
        <f>IF(O227&lt;0,P224,P224+O227)</f>
        <v>80.555845735086805</v>
      </c>
      <c r="Q227" s="38"/>
      <c r="R227" s="38"/>
      <c r="S227" s="39"/>
    </row>
    <row r="228" spans="1:19" ht="14.25" customHeight="1" x14ac:dyDescent="0.35">
      <c r="A228" s="20"/>
      <c r="B228" s="92"/>
      <c r="C228" s="101"/>
      <c r="D228" s="92" t="s">
        <v>66</v>
      </c>
      <c r="E228" s="45">
        <v>3</v>
      </c>
      <c r="F228" s="45">
        <v>4</v>
      </c>
      <c r="G228" s="45">
        <v>2</v>
      </c>
      <c r="H228" s="45">
        <v>2</v>
      </c>
      <c r="I228" s="43">
        <f t="shared" si="0"/>
        <v>2.75</v>
      </c>
      <c r="J228" s="20"/>
      <c r="K228" s="20"/>
      <c r="L228" s="20"/>
      <c r="M228" s="20"/>
      <c r="N228" s="20"/>
      <c r="O228" s="20"/>
      <c r="P228" s="20"/>
      <c r="Q228" s="24"/>
      <c r="R228" s="24"/>
      <c r="S228" s="24"/>
    </row>
    <row r="229" spans="1:19" ht="14.25" customHeight="1" x14ac:dyDescent="0.35">
      <c r="A229" s="20"/>
      <c r="B229" s="92"/>
      <c r="C229" s="101"/>
      <c r="D229" s="92" t="s">
        <v>67</v>
      </c>
      <c r="E229" s="45">
        <v>0</v>
      </c>
      <c r="F229" s="45">
        <v>0</v>
      </c>
      <c r="G229" s="45">
        <v>0</v>
      </c>
      <c r="H229" s="45">
        <v>0</v>
      </c>
      <c r="I229" s="43">
        <f t="shared" si="0"/>
        <v>0</v>
      </c>
      <c r="J229" s="20"/>
      <c r="K229" s="20"/>
      <c r="L229" s="20"/>
      <c r="M229" s="20"/>
      <c r="N229" s="20"/>
      <c r="O229" s="20"/>
      <c r="P229" s="20"/>
      <c r="Q229" s="24"/>
      <c r="R229" s="24"/>
      <c r="S229" s="24"/>
    </row>
    <row r="230" spans="1:19" ht="14.25" customHeight="1" x14ac:dyDescent="0.35">
      <c r="A230" s="30">
        <v>44872</v>
      </c>
      <c r="B230" s="92">
        <f>B227+7</f>
        <v>522</v>
      </c>
      <c r="C230" s="101" t="str">
        <f>$C$125</f>
        <v>5% FBS R2</v>
      </c>
      <c r="D230" s="91" t="s">
        <v>65</v>
      </c>
      <c r="E230" s="45">
        <v>17</v>
      </c>
      <c r="F230" s="45">
        <v>39</v>
      </c>
      <c r="G230" s="45">
        <v>32</v>
      </c>
      <c r="H230" s="45">
        <v>27</v>
      </c>
      <c r="I230" s="43">
        <f t="shared" ref="I230:I340" si="2">AVERAGE(E230:H230)</f>
        <v>28.75</v>
      </c>
      <c r="J230" s="20">
        <f>I230*2*10000</f>
        <v>575000</v>
      </c>
      <c r="K230" s="20">
        <f>$K$125</f>
        <v>3000000</v>
      </c>
      <c r="L230" s="20">
        <f>J230*5</f>
        <v>2875000</v>
      </c>
      <c r="M230" s="22">
        <f>I230/(I230+I231)*100</f>
        <v>98.290598290598282</v>
      </c>
      <c r="N230" s="22">
        <f>I232/I230*100</f>
        <v>0</v>
      </c>
      <c r="O230" s="23">
        <f>3.32*(LOG(L230)-LOG(K230))</f>
        <v>-6.1364906904124154E-2</v>
      </c>
      <c r="P230" s="23">
        <f>IF(O230&lt;0,P227,P227+O230)</f>
        <v>80.555845735086805</v>
      </c>
      <c r="Q230" s="38"/>
      <c r="R230" s="38"/>
      <c r="S230" s="39"/>
    </row>
    <row r="231" spans="1:19" ht="14.25" customHeight="1" x14ac:dyDescent="0.35">
      <c r="A231" s="20"/>
      <c r="B231" s="92"/>
      <c r="C231" s="101"/>
      <c r="D231" s="92" t="s">
        <v>66</v>
      </c>
      <c r="E231" s="45">
        <v>0</v>
      </c>
      <c r="F231" s="45">
        <v>0</v>
      </c>
      <c r="G231" s="45">
        <v>1</v>
      </c>
      <c r="H231" s="45">
        <v>1</v>
      </c>
      <c r="I231" s="43">
        <f t="shared" si="2"/>
        <v>0.5</v>
      </c>
      <c r="J231" s="20"/>
      <c r="K231" s="20"/>
      <c r="L231" s="20"/>
      <c r="M231" s="20"/>
      <c r="N231" s="20"/>
      <c r="O231" s="20"/>
      <c r="P231" s="20"/>
      <c r="Q231" s="24"/>
      <c r="R231" s="24"/>
      <c r="S231" s="24"/>
    </row>
    <row r="232" spans="1:19" ht="14.25" customHeight="1" x14ac:dyDescent="0.35">
      <c r="A232" s="20"/>
      <c r="B232" s="92"/>
      <c r="C232" s="101"/>
      <c r="D232" s="92" t="s">
        <v>67</v>
      </c>
      <c r="E232" s="45">
        <v>0</v>
      </c>
      <c r="F232" s="45">
        <v>0</v>
      </c>
      <c r="G232" s="45">
        <v>0</v>
      </c>
      <c r="H232" s="45">
        <v>0</v>
      </c>
      <c r="I232" s="43">
        <f t="shared" si="2"/>
        <v>0</v>
      </c>
      <c r="J232" s="20"/>
      <c r="K232" s="20"/>
      <c r="L232" s="20"/>
      <c r="M232" s="20"/>
      <c r="N232" s="20"/>
      <c r="O232" s="20"/>
      <c r="P232" s="20"/>
      <c r="Q232" s="24"/>
      <c r="R232" s="24"/>
      <c r="S232" s="24"/>
    </row>
    <row r="233" spans="1:19" ht="14.25" customHeight="1" x14ac:dyDescent="0.35">
      <c r="A233" s="30">
        <v>44879</v>
      </c>
      <c r="B233" s="92">
        <f>B230+7</f>
        <v>529</v>
      </c>
      <c r="C233" s="101" t="str">
        <f>$C$125</f>
        <v>5% FBS R2</v>
      </c>
      <c r="D233" s="91" t="s">
        <v>65</v>
      </c>
      <c r="E233" s="45">
        <v>57</v>
      </c>
      <c r="F233" s="45">
        <v>41</v>
      </c>
      <c r="G233" s="45">
        <v>42</v>
      </c>
      <c r="H233" s="45">
        <v>57</v>
      </c>
      <c r="I233" s="43">
        <f t="shared" si="2"/>
        <v>49.25</v>
      </c>
      <c r="J233" s="20">
        <f>I233*2*10000</f>
        <v>985000</v>
      </c>
      <c r="K233" s="20">
        <v>2875000</v>
      </c>
      <c r="L233" s="20">
        <f>J233*5</f>
        <v>4925000</v>
      </c>
      <c r="M233" s="22">
        <f>I233/(I233+I234)*100</f>
        <v>97.044334975369466</v>
      </c>
      <c r="N233" s="22">
        <f>I235/I233*100</f>
        <v>0</v>
      </c>
      <c r="O233" s="23">
        <f>3.32*(LOG(L233)-LOG(K233))</f>
        <v>0.77611104088249872</v>
      </c>
      <c r="P233" s="23">
        <f>IF(O233&lt;0,P230,P230+O233)</f>
        <v>81.331956775969303</v>
      </c>
      <c r="Q233" s="38"/>
      <c r="R233" s="38"/>
      <c r="S233" s="39"/>
    </row>
    <row r="234" spans="1:19" ht="14.25" customHeight="1" x14ac:dyDescent="0.35">
      <c r="A234" s="20"/>
      <c r="B234" s="92"/>
      <c r="C234" s="101"/>
      <c r="D234" s="92" t="s">
        <v>66</v>
      </c>
      <c r="E234" s="45">
        <v>1</v>
      </c>
      <c r="F234" s="45">
        <v>2</v>
      </c>
      <c r="G234" s="45">
        <v>2</v>
      </c>
      <c r="H234" s="45">
        <v>1</v>
      </c>
      <c r="I234" s="43">
        <f t="shared" si="2"/>
        <v>1.5</v>
      </c>
      <c r="J234" s="20"/>
      <c r="K234" s="20"/>
      <c r="L234" s="20"/>
      <c r="M234" s="20"/>
      <c r="N234" s="20"/>
      <c r="O234" s="20"/>
      <c r="P234" s="20"/>
      <c r="Q234" s="24"/>
      <c r="R234" s="24"/>
      <c r="S234" s="24"/>
    </row>
    <row r="235" spans="1:19" ht="14.25" customHeight="1" x14ac:dyDescent="0.35">
      <c r="A235" s="20"/>
      <c r="B235" s="92"/>
      <c r="C235" s="101"/>
      <c r="D235" s="92" t="s">
        <v>67</v>
      </c>
      <c r="E235" s="45">
        <v>0</v>
      </c>
      <c r="F235" s="45">
        <v>0</v>
      </c>
      <c r="G235" s="45">
        <v>0</v>
      </c>
      <c r="H235" s="45">
        <v>0</v>
      </c>
      <c r="I235" s="43">
        <f t="shared" si="2"/>
        <v>0</v>
      </c>
      <c r="J235" s="20"/>
      <c r="K235" s="20"/>
      <c r="L235" s="20"/>
      <c r="M235" s="20"/>
      <c r="N235" s="20"/>
      <c r="O235" s="20"/>
      <c r="P235" s="20"/>
      <c r="Q235" s="24"/>
      <c r="R235" s="24"/>
      <c r="S235" s="24"/>
    </row>
    <row r="236" spans="1:19" ht="14.25" customHeight="1" x14ac:dyDescent="0.35">
      <c r="A236" s="30">
        <v>44886</v>
      </c>
      <c r="B236" s="92">
        <f>B233+7</f>
        <v>536</v>
      </c>
      <c r="C236" s="101" t="str">
        <f>$C$125</f>
        <v>5% FBS R2</v>
      </c>
      <c r="D236" s="91" t="s">
        <v>65</v>
      </c>
      <c r="E236" s="45">
        <v>118</v>
      </c>
      <c r="F236" s="45">
        <v>110</v>
      </c>
      <c r="G236" s="45">
        <v>117</v>
      </c>
      <c r="H236" s="45">
        <v>120</v>
      </c>
      <c r="I236" s="43">
        <f t="shared" si="2"/>
        <v>116.25</v>
      </c>
      <c r="J236" s="20">
        <f>I236*2*10000</f>
        <v>2325000</v>
      </c>
      <c r="K236" s="20">
        <f>$K$125</f>
        <v>3000000</v>
      </c>
      <c r="L236" s="20">
        <f>J236*5</f>
        <v>11625000</v>
      </c>
      <c r="M236" s="22">
        <f>I236/(I236+I237)*100</f>
        <v>97.280334728033466</v>
      </c>
      <c r="N236" s="22">
        <f>I238/I236*100</f>
        <v>0</v>
      </c>
      <c r="O236" s="23">
        <f>3.32*(LOG(L236)-LOG(K236))</f>
        <v>1.9530620667165333</v>
      </c>
      <c r="P236" s="23">
        <f>IF(O236&lt;0,P233,P233+O236)</f>
        <v>83.28501884268583</v>
      </c>
      <c r="Q236" s="38"/>
      <c r="R236" s="38"/>
      <c r="S236" s="39"/>
    </row>
    <row r="237" spans="1:19" ht="14.25" customHeight="1" x14ac:dyDescent="0.35">
      <c r="A237" s="20"/>
      <c r="B237" s="92"/>
      <c r="C237" s="101"/>
      <c r="D237" s="92" t="s">
        <v>66</v>
      </c>
      <c r="E237" s="45">
        <v>0</v>
      </c>
      <c r="F237" s="45">
        <v>1</v>
      </c>
      <c r="G237" s="45">
        <v>4</v>
      </c>
      <c r="H237" s="45">
        <v>8</v>
      </c>
      <c r="I237" s="43">
        <f t="shared" si="2"/>
        <v>3.25</v>
      </c>
      <c r="J237" s="20"/>
      <c r="K237" s="20"/>
      <c r="L237" s="20"/>
      <c r="M237" s="20"/>
      <c r="N237" s="20"/>
      <c r="O237" s="20"/>
      <c r="P237" s="20"/>
      <c r="Q237" s="24"/>
      <c r="R237" s="24"/>
      <c r="S237" s="24"/>
    </row>
    <row r="238" spans="1:19" ht="14.25" customHeight="1" x14ac:dyDescent="0.35">
      <c r="A238" s="20"/>
      <c r="B238" s="92"/>
      <c r="C238" s="101"/>
      <c r="D238" s="92" t="s">
        <v>67</v>
      </c>
      <c r="E238" s="45">
        <v>0</v>
      </c>
      <c r="F238" s="45">
        <v>0</v>
      </c>
      <c r="G238" s="45">
        <v>0</v>
      </c>
      <c r="H238" s="45">
        <v>0</v>
      </c>
      <c r="I238" s="43">
        <f t="shared" si="2"/>
        <v>0</v>
      </c>
      <c r="J238" s="20"/>
      <c r="K238" s="20"/>
      <c r="L238" s="20"/>
      <c r="M238" s="20"/>
      <c r="N238" s="20"/>
      <c r="O238" s="20"/>
      <c r="P238" s="20"/>
      <c r="Q238" s="24"/>
      <c r="R238" s="24"/>
      <c r="S238" s="24"/>
    </row>
    <row r="239" spans="1:19" ht="14.25" customHeight="1" x14ac:dyDescent="0.35">
      <c r="A239" s="30">
        <v>44893</v>
      </c>
      <c r="B239" s="92">
        <f>B236+7</f>
        <v>543</v>
      </c>
      <c r="C239" s="101" t="str">
        <f>$C$125</f>
        <v>5% FBS R2</v>
      </c>
      <c r="D239" s="91" t="s">
        <v>65</v>
      </c>
      <c r="E239" s="45">
        <v>72</v>
      </c>
      <c r="F239" s="45">
        <v>75</v>
      </c>
      <c r="G239" s="45">
        <v>71</v>
      </c>
      <c r="H239" s="45">
        <v>83</v>
      </c>
      <c r="I239" s="43">
        <f t="shared" si="2"/>
        <v>75.25</v>
      </c>
      <c r="J239" s="20">
        <f>I239*2*10000</f>
        <v>1505000</v>
      </c>
      <c r="K239" s="20">
        <f>$K$125</f>
        <v>3000000</v>
      </c>
      <c r="L239" s="20">
        <f>J239*5</f>
        <v>7525000</v>
      </c>
      <c r="M239" s="22">
        <f>I239/(I239+I240)*100</f>
        <v>99.668874172185426</v>
      </c>
      <c r="N239" s="22">
        <f>I241/I239*100</f>
        <v>0</v>
      </c>
      <c r="O239" s="23">
        <f>3.32*(LOG(L239)-LOG(K239))</f>
        <v>1.3259590284934437</v>
      </c>
      <c r="P239" s="23">
        <f>IF(O239&lt;0,P236,P236+O239)</f>
        <v>84.610977871179273</v>
      </c>
      <c r="Q239" s="38"/>
      <c r="R239" s="38"/>
      <c r="S239" s="39"/>
    </row>
    <row r="240" spans="1:19" ht="14.25" customHeight="1" x14ac:dyDescent="0.35">
      <c r="A240" s="20"/>
      <c r="B240" s="92"/>
      <c r="C240" s="101"/>
      <c r="D240" s="92" t="s">
        <v>66</v>
      </c>
      <c r="E240" s="45">
        <v>1</v>
      </c>
      <c r="F240" s="45">
        <v>0</v>
      </c>
      <c r="G240" s="45">
        <v>0</v>
      </c>
      <c r="H240" s="45">
        <v>0</v>
      </c>
      <c r="I240" s="43">
        <f t="shared" si="2"/>
        <v>0.25</v>
      </c>
      <c r="J240" s="20"/>
      <c r="K240" s="20"/>
      <c r="L240" s="20"/>
      <c r="M240" s="20"/>
      <c r="N240" s="20"/>
      <c r="O240" s="20"/>
      <c r="P240" s="20"/>
      <c r="Q240" s="24"/>
      <c r="R240" s="24"/>
      <c r="S240" s="24"/>
    </row>
    <row r="241" spans="1:19" ht="14.25" customHeight="1" x14ac:dyDescent="0.35">
      <c r="A241" s="20"/>
      <c r="B241" s="92"/>
      <c r="C241" s="101"/>
      <c r="D241" s="92" t="s">
        <v>67</v>
      </c>
      <c r="E241" s="45">
        <v>0</v>
      </c>
      <c r="F241" s="45">
        <v>0</v>
      </c>
      <c r="G241" s="45">
        <v>0</v>
      </c>
      <c r="H241" s="45">
        <v>0</v>
      </c>
      <c r="I241" s="43">
        <f t="shared" si="2"/>
        <v>0</v>
      </c>
      <c r="J241" s="20"/>
      <c r="K241" s="20"/>
      <c r="L241" s="20"/>
      <c r="M241" s="20"/>
      <c r="N241" s="20"/>
      <c r="O241" s="20"/>
      <c r="P241" s="20"/>
      <c r="Q241" s="24"/>
      <c r="R241" s="24"/>
      <c r="S241" s="24"/>
    </row>
    <row r="242" spans="1:19" ht="14.25" customHeight="1" x14ac:dyDescent="0.35">
      <c r="A242" s="30">
        <v>44900</v>
      </c>
      <c r="B242" s="92">
        <f>B239+7</f>
        <v>550</v>
      </c>
      <c r="C242" s="101" t="str">
        <f>$C$125</f>
        <v>5% FBS R2</v>
      </c>
      <c r="D242" s="91" t="s">
        <v>65</v>
      </c>
      <c r="E242" s="45">
        <v>271</v>
      </c>
      <c r="F242" s="45">
        <v>215</v>
      </c>
      <c r="G242" s="45">
        <v>276</v>
      </c>
      <c r="H242" s="45">
        <v>236</v>
      </c>
      <c r="I242" s="43">
        <f t="shared" si="2"/>
        <v>249.5</v>
      </c>
      <c r="J242" s="20">
        <f>I242*2*10000</f>
        <v>4990000</v>
      </c>
      <c r="K242" s="20">
        <f>$K$125</f>
        <v>3000000</v>
      </c>
      <c r="L242" s="20">
        <f>J242*5</f>
        <v>24950000</v>
      </c>
      <c r="M242" s="22">
        <f>I242/(I242+I243)*100</f>
        <v>97.843137254901961</v>
      </c>
      <c r="N242" s="22">
        <f>I244/I242*100</f>
        <v>0</v>
      </c>
      <c r="O242" s="23">
        <f>3.32*(LOG(L242)-LOG(K242))</f>
        <v>3.0542316601959576</v>
      </c>
      <c r="P242" s="23">
        <f>IF(O242&lt;0,P239,P239+O242)</f>
        <v>87.665209531375226</v>
      </c>
      <c r="Q242" s="38"/>
      <c r="R242" s="38"/>
      <c r="S242" s="39"/>
    </row>
    <row r="243" spans="1:19" ht="14.25" customHeight="1" x14ac:dyDescent="0.35">
      <c r="A243" s="20"/>
      <c r="B243" s="92"/>
      <c r="C243" s="101"/>
      <c r="D243" s="92" t="s">
        <v>66</v>
      </c>
      <c r="E243" s="45">
        <v>7</v>
      </c>
      <c r="F243" s="45">
        <v>3</v>
      </c>
      <c r="G243" s="45">
        <v>5</v>
      </c>
      <c r="H243" s="45">
        <v>7</v>
      </c>
      <c r="I243" s="43">
        <f t="shared" si="2"/>
        <v>5.5</v>
      </c>
      <c r="J243" s="20"/>
      <c r="K243" s="20"/>
      <c r="L243" s="20"/>
      <c r="M243" s="20"/>
      <c r="N243" s="20"/>
      <c r="O243" s="20"/>
      <c r="P243" s="20"/>
      <c r="Q243" s="24"/>
      <c r="R243" s="24"/>
      <c r="S243" s="24"/>
    </row>
    <row r="244" spans="1:19" ht="14.25" customHeight="1" x14ac:dyDescent="0.35">
      <c r="A244" s="20"/>
      <c r="B244" s="92"/>
      <c r="C244" s="101"/>
      <c r="D244" s="92" t="s">
        <v>67</v>
      </c>
      <c r="E244" s="45">
        <v>0</v>
      </c>
      <c r="F244" s="45">
        <v>0</v>
      </c>
      <c r="G244" s="45">
        <v>0</v>
      </c>
      <c r="H244" s="45">
        <v>0</v>
      </c>
      <c r="I244" s="43">
        <f t="shared" si="2"/>
        <v>0</v>
      </c>
      <c r="J244" s="20"/>
      <c r="K244" s="20"/>
      <c r="L244" s="20"/>
      <c r="M244" s="20"/>
      <c r="N244" s="20"/>
      <c r="O244" s="20"/>
      <c r="P244" s="20"/>
      <c r="Q244" s="24"/>
      <c r="R244" s="24"/>
      <c r="S244" s="24"/>
    </row>
    <row r="245" spans="1:19" ht="14.25" customHeight="1" x14ac:dyDescent="0.35">
      <c r="A245" s="30">
        <v>44907</v>
      </c>
      <c r="B245" s="92">
        <f>B242+7</f>
        <v>557</v>
      </c>
      <c r="C245" s="101" t="str">
        <f>$C$125</f>
        <v>5% FBS R2</v>
      </c>
      <c r="D245" s="91" t="s">
        <v>65</v>
      </c>
      <c r="E245" s="45">
        <v>127</v>
      </c>
      <c r="F245" s="45">
        <v>107</v>
      </c>
      <c r="G245" s="45">
        <v>116</v>
      </c>
      <c r="H245" s="45">
        <v>110</v>
      </c>
      <c r="I245" s="43">
        <f t="shared" si="2"/>
        <v>115</v>
      </c>
      <c r="J245" s="20">
        <f>I245*2*10000</f>
        <v>2300000</v>
      </c>
      <c r="K245" s="20">
        <f>$K$125</f>
        <v>3000000</v>
      </c>
      <c r="L245" s="20">
        <f>J245*5</f>
        <v>11500000</v>
      </c>
      <c r="M245" s="22">
        <f>I245/(I245+I246)*100</f>
        <v>99.137931034482762</v>
      </c>
      <c r="N245" s="22">
        <f>I247/I245*100</f>
        <v>0</v>
      </c>
      <c r="O245" s="23">
        <f>3.32*(LOG(L245)-LOG(K245))</f>
        <v>1.9374742643047114</v>
      </c>
      <c r="P245" s="23">
        <f>IF(O245&lt;0,P242,P242+O245)</f>
        <v>89.602683795679937</v>
      </c>
      <c r="Q245" s="38"/>
      <c r="R245" s="38"/>
      <c r="S245" s="39"/>
    </row>
    <row r="246" spans="1:19" ht="14.25" customHeight="1" x14ac:dyDescent="0.35">
      <c r="A246" s="20"/>
      <c r="B246" s="92"/>
      <c r="C246" s="101"/>
      <c r="D246" s="92" t="s">
        <v>66</v>
      </c>
      <c r="E246" s="45">
        <v>0</v>
      </c>
      <c r="F246" s="45">
        <v>2</v>
      </c>
      <c r="G246" s="45">
        <v>1</v>
      </c>
      <c r="H246" s="45">
        <v>1</v>
      </c>
      <c r="I246" s="43">
        <f t="shared" si="2"/>
        <v>1</v>
      </c>
      <c r="J246" s="20"/>
      <c r="K246" s="20"/>
      <c r="L246" s="20"/>
      <c r="M246" s="20"/>
      <c r="N246" s="20"/>
      <c r="O246" s="20"/>
      <c r="P246" s="20"/>
      <c r="Q246" s="24"/>
      <c r="R246" s="24"/>
      <c r="S246" s="24"/>
    </row>
    <row r="247" spans="1:19" ht="14.25" customHeight="1" x14ac:dyDescent="0.35">
      <c r="A247" s="20"/>
      <c r="B247" s="92"/>
      <c r="C247" s="101"/>
      <c r="D247" s="92" t="s">
        <v>67</v>
      </c>
      <c r="E247" s="45">
        <v>0</v>
      </c>
      <c r="F247" s="45">
        <v>0</v>
      </c>
      <c r="G247" s="45">
        <v>0</v>
      </c>
      <c r="H247" s="45">
        <v>0</v>
      </c>
      <c r="I247" s="43">
        <f t="shared" si="2"/>
        <v>0</v>
      </c>
      <c r="J247" s="20"/>
      <c r="K247" s="20"/>
      <c r="L247" s="20"/>
      <c r="M247" s="20"/>
      <c r="N247" s="20"/>
      <c r="O247" s="20"/>
      <c r="P247" s="20"/>
      <c r="Q247" s="24"/>
      <c r="R247" s="24"/>
      <c r="S247" s="24"/>
    </row>
    <row r="248" spans="1:19" ht="14.25" customHeight="1" x14ac:dyDescent="0.35">
      <c r="A248" s="30">
        <v>44914</v>
      </c>
      <c r="B248" s="92">
        <f>B245+7</f>
        <v>564</v>
      </c>
      <c r="C248" s="101" t="str">
        <f>$C$125</f>
        <v>5% FBS R2</v>
      </c>
      <c r="D248" s="91" t="s">
        <v>65</v>
      </c>
      <c r="E248" s="45">
        <v>69</v>
      </c>
      <c r="F248" s="45">
        <v>66</v>
      </c>
      <c r="G248" s="45">
        <v>67</v>
      </c>
      <c r="H248" s="45">
        <v>61</v>
      </c>
      <c r="I248" s="43">
        <f t="shared" si="2"/>
        <v>65.75</v>
      </c>
      <c r="J248" s="20">
        <f>I248*2*10000</f>
        <v>1315000</v>
      </c>
      <c r="K248" s="20">
        <f>$K$125</f>
        <v>3000000</v>
      </c>
      <c r="L248" s="20">
        <f>J248*5</f>
        <v>6575000</v>
      </c>
      <c r="M248" s="22">
        <f>I248/(I248+I249)*100</f>
        <v>98.872180451127818</v>
      </c>
      <c r="N248" s="22">
        <f>I250/I248*100</f>
        <v>0</v>
      </c>
      <c r="O248" s="23">
        <f>3.32*(LOG(L248)-LOG(K248))</f>
        <v>1.1313713481078813</v>
      </c>
      <c r="P248" s="23">
        <f>IF(O248&lt;0,P245,P245+O248)</f>
        <v>90.734055143787813</v>
      </c>
      <c r="Q248" s="38"/>
      <c r="R248" s="38"/>
      <c r="S248" s="39"/>
    </row>
    <row r="249" spans="1:19" ht="14.25" customHeight="1" x14ac:dyDescent="0.35">
      <c r="A249" s="20"/>
      <c r="B249" s="92"/>
      <c r="C249" s="101"/>
      <c r="D249" s="92" t="s">
        <v>66</v>
      </c>
      <c r="E249" s="45">
        <v>2</v>
      </c>
      <c r="F249" s="45">
        <v>1</v>
      </c>
      <c r="G249" s="45">
        <v>0</v>
      </c>
      <c r="H249" s="45">
        <v>0</v>
      </c>
      <c r="I249" s="43">
        <f t="shared" si="2"/>
        <v>0.75</v>
      </c>
      <c r="J249" s="20"/>
      <c r="K249" s="20"/>
      <c r="L249" s="20"/>
      <c r="M249" s="20"/>
      <c r="N249" s="20"/>
      <c r="O249" s="20"/>
      <c r="P249" s="20"/>
      <c r="Q249" s="24"/>
      <c r="R249" s="24"/>
      <c r="S249" s="24"/>
    </row>
    <row r="250" spans="1:19" ht="14.25" customHeight="1" x14ac:dyDescent="0.35">
      <c r="A250" s="20"/>
      <c r="B250" s="92"/>
      <c r="C250" s="101"/>
      <c r="D250" s="92" t="s">
        <v>67</v>
      </c>
      <c r="E250" s="45">
        <v>0</v>
      </c>
      <c r="F250" s="45">
        <v>0</v>
      </c>
      <c r="G250" s="45">
        <v>0</v>
      </c>
      <c r="H250" s="45">
        <v>0</v>
      </c>
      <c r="I250" s="43">
        <f t="shared" si="2"/>
        <v>0</v>
      </c>
      <c r="J250" s="20"/>
      <c r="K250" s="20"/>
      <c r="L250" s="20"/>
      <c r="M250" s="20"/>
      <c r="N250" s="20"/>
      <c r="O250" s="20"/>
      <c r="P250" s="20"/>
      <c r="Q250" s="24"/>
      <c r="R250" s="24"/>
      <c r="S250" s="24"/>
    </row>
    <row r="251" spans="1:19" ht="14.25" customHeight="1" x14ac:dyDescent="0.35">
      <c r="A251" s="30">
        <v>44922</v>
      </c>
      <c r="B251" s="92">
        <f>B248+8</f>
        <v>572</v>
      </c>
      <c r="C251" s="101" t="str">
        <f>$C$125</f>
        <v>5% FBS R2</v>
      </c>
      <c r="D251" s="91" t="s">
        <v>65</v>
      </c>
      <c r="E251" s="45">
        <v>64</v>
      </c>
      <c r="F251" s="45">
        <v>40</v>
      </c>
      <c r="G251" s="45">
        <v>63</v>
      </c>
      <c r="H251" s="45">
        <v>62</v>
      </c>
      <c r="I251" s="43">
        <f t="shared" si="2"/>
        <v>57.25</v>
      </c>
      <c r="J251" s="20">
        <f>I251*2*10000</f>
        <v>1145000</v>
      </c>
      <c r="K251" s="20">
        <f>$K$125</f>
        <v>3000000</v>
      </c>
      <c r="L251" s="20">
        <f>J251*5</f>
        <v>5725000</v>
      </c>
      <c r="M251" s="22">
        <f>I251/(I251+I252)*100</f>
        <v>95.020746887966794</v>
      </c>
      <c r="N251" s="22">
        <f>I253/I251*100</f>
        <v>0</v>
      </c>
      <c r="O251" s="23">
        <f>3.32*(LOG(L251)-LOG(K251))</f>
        <v>0.93177206449031402</v>
      </c>
      <c r="P251" s="23">
        <f>IF(O251&lt;0,P248,P248+O251)</f>
        <v>91.665827208278131</v>
      </c>
      <c r="Q251" s="38"/>
      <c r="R251" s="38"/>
      <c r="S251" s="39"/>
    </row>
    <row r="252" spans="1:19" ht="14.25" customHeight="1" x14ac:dyDescent="0.35">
      <c r="A252" s="20"/>
      <c r="B252" s="92"/>
      <c r="C252" s="101"/>
      <c r="D252" s="92" t="s">
        <v>66</v>
      </c>
      <c r="E252" s="45">
        <v>3</v>
      </c>
      <c r="F252" s="45">
        <v>4</v>
      </c>
      <c r="G252" s="45">
        <v>3</v>
      </c>
      <c r="H252" s="45">
        <v>2</v>
      </c>
      <c r="I252" s="43">
        <f t="shared" si="2"/>
        <v>3</v>
      </c>
      <c r="J252" s="20"/>
      <c r="K252" s="20"/>
      <c r="L252" s="20"/>
      <c r="M252" s="20"/>
      <c r="N252" s="20"/>
      <c r="O252" s="20"/>
      <c r="P252" s="20"/>
      <c r="Q252" s="24"/>
      <c r="R252" s="24"/>
      <c r="S252" s="24"/>
    </row>
    <row r="253" spans="1:19" ht="14.25" customHeight="1" x14ac:dyDescent="0.35">
      <c r="A253" s="20"/>
      <c r="B253" s="92"/>
      <c r="C253" s="101"/>
      <c r="D253" s="92" t="s">
        <v>67</v>
      </c>
      <c r="E253" s="45">
        <v>0</v>
      </c>
      <c r="F253" s="45">
        <v>0</v>
      </c>
      <c r="G253" s="45">
        <v>0</v>
      </c>
      <c r="H253" s="45">
        <v>0</v>
      </c>
      <c r="I253" s="43">
        <f t="shared" si="2"/>
        <v>0</v>
      </c>
      <c r="J253" s="20"/>
      <c r="K253" s="20"/>
      <c r="L253" s="20"/>
      <c r="M253" s="20"/>
      <c r="N253" s="20"/>
      <c r="O253" s="20"/>
      <c r="P253" s="20"/>
      <c r="Q253" s="24"/>
      <c r="R253" s="24"/>
      <c r="S253" s="24"/>
    </row>
    <row r="254" spans="1:19" ht="14.25" customHeight="1" x14ac:dyDescent="0.35">
      <c r="A254" s="30">
        <v>44929</v>
      </c>
      <c r="B254" s="92">
        <f>B251+6</f>
        <v>578</v>
      </c>
      <c r="C254" s="101" t="str">
        <f>$C$125</f>
        <v>5% FBS R2</v>
      </c>
      <c r="D254" s="91" t="s">
        <v>65</v>
      </c>
      <c r="E254" s="45">
        <v>104</v>
      </c>
      <c r="F254" s="45">
        <v>109</v>
      </c>
      <c r="G254" s="45">
        <v>121</v>
      </c>
      <c r="H254" s="45">
        <v>89</v>
      </c>
      <c r="I254" s="43">
        <f t="shared" si="2"/>
        <v>105.75</v>
      </c>
      <c r="J254" s="20">
        <f>I254*2*10000</f>
        <v>2115000</v>
      </c>
      <c r="K254" s="20">
        <f>$K$125</f>
        <v>3000000</v>
      </c>
      <c r="L254" s="20">
        <f>J254*5</f>
        <v>10575000</v>
      </c>
      <c r="M254" s="22">
        <f>I254/(I254+I255)*100</f>
        <v>98.6013986013986</v>
      </c>
      <c r="N254" s="22">
        <f>I256/I254*100</f>
        <v>0.2364066193853428</v>
      </c>
      <c r="O254" s="23">
        <f>3.32*(LOG(L254)-LOG(K254))</f>
        <v>1.8165682828070249</v>
      </c>
      <c r="P254" s="23">
        <f>IF(O254&lt;0,P251,P251+O254)</f>
        <v>93.482395491085157</v>
      </c>
      <c r="Q254" s="38"/>
      <c r="R254" s="38"/>
      <c r="S254" s="39"/>
    </row>
    <row r="255" spans="1:19" ht="14.25" customHeight="1" x14ac:dyDescent="0.35">
      <c r="A255" s="20"/>
      <c r="B255" s="92"/>
      <c r="C255" s="101"/>
      <c r="D255" s="92" t="s">
        <v>66</v>
      </c>
      <c r="E255" s="45">
        <v>0</v>
      </c>
      <c r="F255" s="45">
        <v>2</v>
      </c>
      <c r="G255" s="45">
        <v>2</v>
      </c>
      <c r="H255" s="45">
        <v>2</v>
      </c>
      <c r="I255" s="43">
        <f t="shared" si="2"/>
        <v>1.5</v>
      </c>
      <c r="J255" s="20"/>
      <c r="K255" s="20"/>
      <c r="L255" s="20"/>
      <c r="M255" s="20"/>
      <c r="N255" s="20"/>
      <c r="O255" s="20"/>
      <c r="P255" s="20"/>
      <c r="Q255" s="24"/>
      <c r="R255" s="24"/>
      <c r="S255" s="24"/>
    </row>
    <row r="256" spans="1:19" ht="14.25" customHeight="1" x14ac:dyDescent="0.35">
      <c r="A256" s="20"/>
      <c r="B256" s="92"/>
      <c r="C256" s="101"/>
      <c r="D256" s="92" t="s">
        <v>67</v>
      </c>
      <c r="E256" s="45">
        <v>0</v>
      </c>
      <c r="F256" s="45">
        <v>0</v>
      </c>
      <c r="G256" s="45">
        <v>0</v>
      </c>
      <c r="H256" s="45">
        <v>1</v>
      </c>
      <c r="I256" s="43">
        <f t="shared" si="2"/>
        <v>0.25</v>
      </c>
      <c r="J256" s="20"/>
      <c r="K256" s="20"/>
      <c r="L256" s="20"/>
      <c r="M256" s="20"/>
      <c r="N256" s="20"/>
      <c r="O256" s="20"/>
      <c r="P256" s="20"/>
      <c r="Q256" s="24"/>
      <c r="R256" s="24"/>
      <c r="S256" s="24"/>
    </row>
    <row r="257" spans="1:19" ht="14.25" customHeight="1" x14ac:dyDescent="0.35">
      <c r="A257" s="30">
        <f t="shared" ref="A257" si="3">A254+6</f>
        <v>44935</v>
      </c>
      <c r="B257" s="92">
        <f t="shared" ref="B257" si="4">B254+6</f>
        <v>584</v>
      </c>
      <c r="C257" s="101" t="str">
        <f>$C$125</f>
        <v>5% FBS R2</v>
      </c>
      <c r="D257" s="91" t="s">
        <v>65</v>
      </c>
      <c r="E257" s="45">
        <v>50</v>
      </c>
      <c r="F257" s="45">
        <v>52</v>
      </c>
      <c r="G257" s="45">
        <v>55</v>
      </c>
      <c r="H257" s="45">
        <v>46</v>
      </c>
      <c r="I257" s="43">
        <f t="shared" si="2"/>
        <v>50.75</v>
      </c>
      <c r="J257" s="20">
        <f>I257*2*10000</f>
        <v>1015000</v>
      </c>
      <c r="K257" s="20">
        <f>$K$125</f>
        <v>3000000</v>
      </c>
      <c r="L257" s="20">
        <f>J257*5</f>
        <v>5075000</v>
      </c>
      <c r="M257" s="22">
        <f>I257/(I257+I258)*100</f>
        <v>96.666666666666671</v>
      </c>
      <c r="N257" s="22">
        <f>I259/I257*100</f>
        <v>0</v>
      </c>
      <c r="O257" s="23">
        <f>3.32*(LOG(L257)-LOG(K257))</f>
        <v>0.75800510899375328</v>
      </c>
      <c r="P257" s="23">
        <f>IF(O257&lt;0,P254,P254+O257)</f>
        <v>94.240400600078914</v>
      </c>
      <c r="Q257" s="38"/>
      <c r="R257" s="38"/>
      <c r="S257" s="39"/>
    </row>
    <row r="258" spans="1:19" ht="14.25" customHeight="1" x14ac:dyDescent="0.35">
      <c r="A258" s="20"/>
      <c r="B258" s="92"/>
      <c r="C258" s="101"/>
      <c r="D258" s="92" t="s">
        <v>66</v>
      </c>
      <c r="E258" s="45">
        <v>1</v>
      </c>
      <c r="F258" s="45">
        <v>2</v>
      </c>
      <c r="G258" s="45">
        <v>1</v>
      </c>
      <c r="H258" s="45">
        <v>3</v>
      </c>
      <c r="I258" s="43">
        <f t="shared" si="2"/>
        <v>1.75</v>
      </c>
      <c r="J258" s="20"/>
      <c r="K258" s="20"/>
      <c r="L258" s="20"/>
      <c r="M258" s="20"/>
      <c r="N258" s="20"/>
      <c r="O258" s="20"/>
      <c r="P258" s="20"/>
      <c r="Q258" s="24"/>
      <c r="R258" s="24"/>
      <c r="S258" s="24"/>
    </row>
    <row r="259" spans="1:19" ht="14.25" customHeight="1" x14ac:dyDescent="0.35">
      <c r="A259" s="20"/>
      <c r="B259" s="92"/>
      <c r="C259" s="101"/>
      <c r="D259" s="92" t="s">
        <v>67</v>
      </c>
      <c r="E259" s="45">
        <v>0</v>
      </c>
      <c r="F259" s="45">
        <v>0</v>
      </c>
      <c r="G259" s="45">
        <v>0</v>
      </c>
      <c r="H259" s="45">
        <v>0</v>
      </c>
      <c r="I259" s="43">
        <f t="shared" si="2"/>
        <v>0</v>
      </c>
      <c r="J259" s="20"/>
      <c r="K259" s="20"/>
      <c r="L259" s="20"/>
      <c r="M259" s="20"/>
      <c r="N259" s="20"/>
      <c r="O259" s="20"/>
      <c r="P259" s="20"/>
      <c r="Q259" s="24"/>
      <c r="R259" s="24"/>
      <c r="S259" s="24"/>
    </row>
    <row r="260" spans="1:19" ht="14.25" customHeight="1" x14ac:dyDescent="0.35">
      <c r="A260" s="30">
        <f t="shared" ref="A260" si="5">A257+8</f>
        <v>44943</v>
      </c>
      <c r="B260" s="92">
        <f>B257+8</f>
        <v>592</v>
      </c>
      <c r="C260" s="101" t="str">
        <f>$C$125</f>
        <v>5% FBS R2</v>
      </c>
      <c r="D260" s="91" t="s">
        <v>65</v>
      </c>
      <c r="E260" s="45">
        <v>49</v>
      </c>
      <c r="F260" s="45">
        <v>65</v>
      </c>
      <c r="G260" s="45">
        <v>99</v>
      </c>
      <c r="H260" s="45">
        <v>66</v>
      </c>
      <c r="I260" s="43">
        <f t="shared" si="2"/>
        <v>69.75</v>
      </c>
      <c r="J260" s="20">
        <f>I260*2*10000</f>
        <v>1395000</v>
      </c>
      <c r="K260" s="20">
        <f>$K$125</f>
        <v>3000000</v>
      </c>
      <c r="L260" s="20">
        <f>J260*5</f>
        <v>6975000</v>
      </c>
      <c r="M260" s="22">
        <f>I260/(I260+I261)*100</f>
        <v>97.894736842105274</v>
      </c>
      <c r="N260" s="22">
        <f>I262/I260*100</f>
        <v>0</v>
      </c>
      <c r="O260" s="23">
        <f>3.32*(LOG(L260)-LOG(K260))</f>
        <v>1.216524217990228</v>
      </c>
      <c r="P260" s="23">
        <f>IF(O260&lt;0,P257,P257+O260)</f>
        <v>95.45692481806914</v>
      </c>
      <c r="Q260" s="38"/>
      <c r="R260" s="38"/>
      <c r="S260" s="39"/>
    </row>
    <row r="261" spans="1:19" ht="14.25" customHeight="1" x14ac:dyDescent="0.35">
      <c r="A261" s="20"/>
      <c r="B261" s="92"/>
      <c r="C261" s="101"/>
      <c r="D261" s="92" t="s">
        <v>66</v>
      </c>
      <c r="E261" s="45">
        <v>1</v>
      </c>
      <c r="F261" s="45">
        <v>0</v>
      </c>
      <c r="G261" s="45">
        <v>2</v>
      </c>
      <c r="H261" s="45">
        <v>3</v>
      </c>
      <c r="I261" s="43">
        <f t="shared" si="2"/>
        <v>1.5</v>
      </c>
      <c r="J261" s="20"/>
      <c r="K261" s="20"/>
      <c r="L261" s="20"/>
      <c r="M261" s="20"/>
      <c r="N261" s="20"/>
      <c r="O261" s="20"/>
      <c r="P261" s="20"/>
      <c r="Q261" s="24"/>
      <c r="R261" s="24"/>
      <c r="S261" s="24"/>
    </row>
    <row r="262" spans="1:19" ht="14.25" customHeight="1" x14ac:dyDescent="0.35">
      <c r="A262" s="20"/>
      <c r="B262" s="92"/>
      <c r="C262" s="101"/>
      <c r="D262" s="92" t="s">
        <v>67</v>
      </c>
      <c r="E262" s="45">
        <v>0</v>
      </c>
      <c r="F262" s="45">
        <v>0</v>
      </c>
      <c r="G262" s="45">
        <v>0</v>
      </c>
      <c r="H262" s="45">
        <v>0</v>
      </c>
      <c r="I262" s="43">
        <f t="shared" si="2"/>
        <v>0</v>
      </c>
      <c r="J262" s="20"/>
      <c r="K262" s="20"/>
      <c r="L262" s="20"/>
      <c r="M262" s="20"/>
      <c r="N262" s="20"/>
      <c r="O262" s="20"/>
      <c r="P262" s="20"/>
      <c r="Q262" s="24"/>
      <c r="R262" s="24"/>
      <c r="S262" s="24"/>
    </row>
    <row r="263" spans="1:19" ht="14.25" customHeight="1" x14ac:dyDescent="0.35">
      <c r="A263" s="30">
        <f t="shared" ref="A263" si="6">A260+6</f>
        <v>44949</v>
      </c>
      <c r="B263" s="92">
        <f>B260+6</f>
        <v>598</v>
      </c>
      <c r="C263" s="101" t="str">
        <f>$C$125</f>
        <v>5% FBS R2</v>
      </c>
      <c r="D263" s="91" t="s">
        <v>65</v>
      </c>
      <c r="E263" s="45">
        <v>36</v>
      </c>
      <c r="F263" s="45">
        <v>45</v>
      </c>
      <c r="G263" s="45">
        <v>43</v>
      </c>
      <c r="H263" s="45">
        <v>58</v>
      </c>
      <c r="I263" s="43">
        <f t="shared" si="2"/>
        <v>45.5</v>
      </c>
      <c r="J263" s="20">
        <f>I263*2*10000</f>
        <v>910000</v>
      </c>
      <c r="K263" s="20">
        <f>$K$125</f>
        <v>3000000</v>
      </c>
      <c r="L263" s="20">
        <f>J263*5</f>
        <v>4550000</v>
      </c>
      <c r="M263" s="22">
        <f>I263/(I263+I264)*100</f>
        <v>96.808510638297875</v>
      </c>
      <c r="N263" s="22">
        <f>I265/I263*100</f>
        <v>0</v>
      </c>
      <c r="O263" s="23">
        <f>3.32*(LOG(L263)-LOG(K263))</f>
        <v>0.60055527123233399</v>
      </c>
      <c r="P263" s="23">
        <f>IF(O263&lt;0,P260,P260+O263)</f>
        <v>96.057480089301478</v>
      </c>
      <c r="Q263" s="38"/>
      <c r="R263" s="38"/>
      <c r="S263" s="39"/>
    </row>
    <row r="264" spans="1:19" ht="14.25" customHeight="1" x14ac:dyDescent="0.35">
      <c r="A264" s="20"/>
      <c r="B264" s="92"/>
      <c r="C264" s="101"/>
      <c r="D264" s="92" t="s">
        <v>66</v>
      </c>
      <c r="E264" s="45">
        <v>0</v>
      </c>
      <c r="F264" s="45">
        <v>4</v>
      </c>
      <c r="G264" s="45">
        <v>1</v>
      </c>
      <c r="H264" s="45">
        <v>1</v>
      </c>
      <c r="I264" s="43">
        <f t="shared" si="2"/>
        <v>1.5</v>
      </c>
      <c r="J264" s="20"/>
      <c r="K264" s="20"/>
      <c r="L264" s="20"/>
      <c r="M264" s="20"/>
      <c r="N264" s="20"/>
      <c r="O264" s="20"/>
      <c r="P264" s="20"/>
      <c r="Q264" s="24"/>
      <c r="R264" s="24"/>
      <c r="S264" s="24"/>
    </row>
    <row r="265" spans="1:19" ht="14.25" customHeight="1" x14ac:dyDescent="0.35">
      <c r="A265" s="20"/>
      <c r="B265" s="92"/>
      <c r="C265" s="101"/>
      <c r="D265" s="92" t="s">
        <v>67</v>
      </c>
      <c r="E265" s="45">
        <v>0</v>
      </c>
      <c r="F265" s="45">
        <v>0</v>
      </c>
      <c r="G265" s="45">
        <v>0</v>
      </c>
      <c r="H265" s="45">
        <v>0</v>
      </c>
      <c r="I265" s="43">
        <f t="shared" si="2"/>
        <v>0</v>
      </c>
      <c r="J265" s="20"/>
      <c r="K265" s="20"/>
      <c r="L265" s="20"/>
      <c r="M265" s="20"/>
      <c r="N265" s="20"/>
      <c r="O265" s="20"/>
      <c r="P265" s="20"/>
      <c r="Q265" s="24"/>
      <c r="R265" s="40"/>
      <c r="S265" s="24"/>
    </row>
    <row r="266" spans="1:19" ht="14.25" customHeight="1" x14ac:dyDescent="0.35">
      <c r="A266" s="30">
        <f t="shared" ref="A266" si="7">A263+8</f>
        <v>44957</v>
      </c>
      <c r="B266" s="92">
        <f t="shared" ref="B266" si="8">B263+8</f>
        <v>606</v>
      </c>
      <c r="C266" s="101" t="str">
        <f>$C$125</f>
        <v>5% FBS R2</v>
      </c>
      <c r="D266" s="91" t="s">
        <v>65</v>
      </c>
      <c r="E266" s="45">
        <v>48</v>
      </c>
      <c r="F266" s="45">
        <v>65</v>
      </c>
      <c r="G266" s="45">
        <v>60</v>
      </c>
      <c r="H266" s="45">
        <v>57</v>
      </c>
      <c r="I266" s="43">
        <f t="shared" si="2"/>
        <v>57.5</v>
      </c>
      <c r="J266" s="20">
        <f>I266*2*10000</f>
        <v>1150000</v>
      </c>
      <c r="K266" s="20">
        <f>$K$125</f>
        <v>3000000</v>
      </c>
      <c r="L266" s="20">
        <f>J266*5</f>
        <v>5750000</v>
      </c>
      <c r="M266" s="22">
        <f>I266/(I266+I267)*100</f>
        <v>97.046413502109701</v>
      </c>
      <c r="N266" s="22">
        <f>I268/I266*100</f>
        <v>0</v>
      </c>
      <c r="O266" s="23">
        <f>3.32*(LOG(L266)-LOG(K266))</f>
        <v>0.93805467870029358</v>
      </c>
      <c r="P266" s="23">
        <f>IF(O266&lt;0,P263,P263+O266)</f>
        <v>96.995534768001775</v>
      </c>
      <c r="Q266" s="38"/>
      <c r="R266" s="38"/>
      <c r="S266" s="39"/>
    </row>
    <row r="267" spans="1:19" ht="14.25" customHeight="1" x14ac:dyDescent="0.35">
      <c r="A267" s="20"/>
      <c r="B267" s="92"/>
      <c r="C267" s="101"/>
      <c r="D267" s="92" t="s">
        <v>66</v>
      </c>
      <c r="E267" s="45">
        <v>1</v>
      </c>
      <c r="F267" s="45">
        <v>3</v>
      </c>
      <c r="G267" s="45">
        <v>1</v>
      </c>
      <c r="H267" s="45">
        <v>2</v>
      </c>
      <c r="I267" s="43">
        <f t="shared" si="2"/>
        <v>1.75</v>
      </c>
      <c r="J267" s="20"/>
      <c r="K267" s="20"/>
      <c r="L267" s="20"/>
      <c r="M267" s="20"/>
      <c r="N267" s="20"/>
      <c r="O267" s="20"/>
      <c r="P267" s="20"/>
      <c r="Q267" s="24"/>
      <c r="R267" s="24"/>
      <c r="S267" s="24"/>
    </row>
    <row r="268" spans="1:19" ht="14.25" customHeight="1" x14ac:dyDescent="0.35">
      <c r="A268" s="20"/>
      <c r="B268" s="92"/>
      <c r="C268" s="101"/>
      <c r="D268" s="92" t="s">
        <v>67</v>
      </c>
      <c r="E268" s="45">
        <v>0</v>
      </c>
      <c r="F268" s="45">
        <v>0</v>
      </c>
      <c r="G268" s="45">
        <v>0</v>
      </c>
      <c r="H268" s="45">
        <v>0</v>
      </c>
      <c r="I268" s="43">
        <f t="shared" si="2"/>
        <v>0</v>
      </c>
      <c r="J268" s="20"/>
      <c r="K268" s="20"/>
      <c r="L268" s="20"/>
      <c r="M268" s="20"/>
      <c r="N268" s="20"/>
      <c r="O268" s="20"/>
      <c r="P268" s="20"/>
      <c r="Q268" s="24"/>
      <c r="R268" s="24"/>
      <c r="S268" s="24"/>
    </row>
    <row r="269" spans="1:19" ht="14.25" customHeight="1" x14ac:dyDescent="0.35">
      <c r="A269" s="30">
        <f t="shared" ref="A269" si="9">A266+6</f>
        <v>44963</v>
      </c>
      <c r="B269" s="92">
        <f t="shared" ref="B269" si="10">B266+6</f>
        <v>612</v>
      </c>
      <c r="C269" s="101" t="str">
        <f>$C$125</f>
        <v>5% FBS R2</v>
      </c>
      <c r="D269" s="91" t="s">
        <v>65</v>
      </c>
      <c r="E269" s="45">
        <v>49</v>
      </c>
      <c r="F269" s="45">
        <v>52</v>
      </c>
      <c r="G269" s="45">
        <v>60</v>
      </c>
      <c r="H269" s="45">
        <v>46</v>
      </c>
      <c r="I269" s="43">
        <f t="shared" si="2"/>
        <v>51.75</v>
      </c>
      <c r="J269" s="20">
        <f>I269*2*10000</f>
        <v>1035000</v>
      </c>
      <c r="K269" s="20">
        <f>$K$125</f>
        <v>3000000</v>
      </c>
      <c r="L269" s="20">
        <f>J269*5</f>
        <v>5175000</v>
      </c>
      <c r="M269" s="22">
        <f>I269/(I269+I270)*100</f>
        <v>98.104265402843609</v>
      </c>
      <c r="N269" s="22">
        <f>I271/I269*100</f>
        <v>0</v>
      </c>
      <c r="O269" s="23">
        <f>3.32*(LOG(L269)-LOG(K269))</f>
        <v>0.78613981003885325</v>
      </c>
      <c r="P269" s="23">
        <f>IF(O269&lt;0,P266,P266+O269)</f>
        <v>97.781674578040622</v>
      </c>
      <c r="Q269" s="38"/>
      <c r="R269" s="38"/>
      <c r="S269" s="39"/>
    </row>
    <row r="270" spans="1:19" ht="14.25" customHeight="1" x14ac:dyDescent="0.35">
      <c r="A270" s="20"/>
      <c r="B270" s="92"/>
      <c r="C270" s="101"/>
      <c r="D270" s="92" t="s">
        <v>66</v>
      </c>
      <c r="E270" s="45">
        <v>1</v>
      </c>
      <c r="F270" s="45">
        <v>2</v>
      </c>
      <c r="G270" s="45">
        <v>0</v>
      </c>
      <c r="H270" s="45">
        <v>1</v>
      </c>
      <c r="I270" s="43">
        <f t="shared" si="2"/>
        <v>1</v>
      </c>
      <c r="J270" s="20"/>
      <c r="K270" s="20"/>
      <c r="L270" s="20"/>
      <c r="M270" s="20"/>
      <c r="N270" s="20"/>
      <c r="O270" s="20"/>
      <c r="P270" s="20"/>
      <c r="Q270" s="24"/>
      <c r="R270" s="24"/>
      <c r="S270" s="24"/>
    </row>
    <row r="271" spans="1:19" ht="14.25" customHeight="1" x14ac:dyDescent="0.35">
      <c r="A271" s="20"/>
      <c r="B271" s="92"/>
      <c r="C271" s="101"/>
      <c r="D271" s="92" t="s">
        <v>67</v>
      </c>
      <c r="E271" s="45">
        <v>0</v>
      </c>
      <c r="F271" s="45">
        <v>0</v>
      </c>
      <c r="G271" s="45">
        <v>0</v>
      </c>
      <c r="H271" s="45">
        <v>0</v>
      </c>
      <c r="I271" s="43">
        <f t="shared" si="2"/>
        <v>0</v>
      </c>
      <c r="J271" s="20"/>
      <c r="K271" s="20"/>
      <c r="L271" s="20"/>
      <c r="M271" s="20"/>
      <c r="N271" s="20"/>
      <c r="O271" s="20"/>
      <c r="P271" s="20"/>
      <c r="Q271" s="24"/>
      <c r="R271" s="24"/>
      <c r="S271" s="24"/>
    </row>
    <row r="272" spans="1:19" ht="14.25" customHeight="1" x14ac:dyDescent="0.35">
      <c r="A272" s="30">
        <f t="shared" ref="A272" si="11">A269+7</f>
        <v>44970</v>
      </c>
      <c r="B272" s="92">
        <f t="shared" ref="B272" si="12">B269+7</f>
        <v>619</v>
      </c>
      <c r="C272" s="101" t="str">
        <f>$C$125</f>
        <v>5% FBS R2</v>
      </c>
      <c r="D272" s="91" t="s">
        <v>65</v>
      </c>
      <c r="E272" s="45">
        <v>16</v>
      </c>
      <c r="F272" s="45">
        <v>20</v>
      </c>
      <c r="G272" s="45">
        <v>15</v>
      </c>
      <c r="H272" s="45">
        <v>21</v>
      </c>
      <c r="I272" s="43">
        <f t="shared" si="2"/>
        <v>18</v>
      </c>
      <c r="J272" s="20">
        <f>I272*2*10000</f>
        <v>360000</v>
      </c>
      <c r="K272" s="20">
        <f>$K$125</f>
        <v>3000000</v>
      </c>
      <c r="L272" s="20">
        <f>J272*5</f>
        <v>1800000</v>
      </c>
      <c r="M272" s="22">
        <f>I272/(I272+I273)*100</f>
        <v>100</v>
      </c>
      <c r="N272" s="22">
        <f>I274/I272*100</f>
        <v>0</v>
      </c>
      <c r="O272" s="23">
        <f>3.32*(LOG(L272)-LOG(K272))</f>
        <v>-0.73653784872630235</v>
      </c>
      <c r="P272" s="23">
        <f>IF(O272&lt;0,P269,P269+O272)</f>
        <v>97.781674578040622</v>
      </c>
      <c r="Q272" s="38"/>
      <c r="R272" s="38"/>
      <c r="S272" s="39"/>
    </row>
    <row r="273" spans="1:19" ht="14.25" customHeight="1" x14ac:dyDescent="0.35">
      <c r="A273" s="20"/>
      <c r="B273" s="92"/>
      <c r="C273" s="101"/>
      <c r="D273" s="92" t="s">
        <v>66</v>
      </c>
      <c r="E273" s="45">
        <v>0</v>
      </c>
      <c r="F273" s="45">
        <v>0</v>
      </c>
      <c r="G273" s="45">
        <v>0</v>
      </c>
      <c r="H273" s="45">
        <v>0</v>
      </c>
      <c r="I273" s="43">
        <f t="shared" si="2"/>
        <v>0</v>
      </c>
      <c r="J273" s="20"/>
      <c r="K273" s="20"/>
      <c r="L273" s="20"/>
      <c r="M273" s="20"/>
      <c r="N273" s="20"/>
      <c r="O273" s="20"/>
      <c r="P273" s="20"/>
      <c r="Q273" s="24"/>
      <c r="R273" s="24"/>
      <c r="S273" s="24"/>
    </row>
    <row r="274" spans="1:19" ht="14.25" customHeight="1" x14ac:dyDescent="0.35">
      <c r="A274" s="20"/>
      <c r="B274" s="92"/>
      <c r="C274" s="101"/>
      <c r="D274" s="92" t="s">
        <v>67</v>
      </c>
      <c r="E274" s="45">
        <v>0</v>
      </c>
      <c r="F274" s="45">
        <v>0</v>
      </c>
      <c r="G274" s="45">
        <v>0</v>
      </c>
      <c r="H274" s="45">
        <v>0</v>
      </c>
      <c r="I274" s="43">
        <f t="shared" si="2"/>
        <v>0</v>
      </c>
      <c r="J274" s="20"/>
      <c r="K274" s="20"/>
      <c r="L274" s="20"/>
      <c r="M274" s="20"/>
      <c r="N274" s="20"/>
      <c r="O274" s="20"/>
      <c r="P274" s="20"/>
      <c r="Q274" s="24"/>
      <c r="R274" s="24"/>
      <c r="S274" s="24"/>
    </row>
    <row r="275" spans="1:19" ht="14.25" customHeight="1" x14ac:dyDescent="0.35">
      <c r="A275" s="30">
        <f t="shared" ref="A275" si="13">A272+7</f>
        <v>44977</v>
      </c>
      <c r="B275" s="92">
        <f t="shared" ref="B275" si="14">B272+7</f>
        <v>626</v>
      </c>
      <c r="C275" s="101" t="str">
        <f>$C$125</f>
        <v>5% FBS R2</v>
      </c>
      <c r="D275" s="91" t="s">
        <v>65</v>
      </c>
      <c r="E275" s="42">
        <v>46</v>
      </c>
      <c r="F275" s="42">
        <v>36</v>
      </c>
      <c r="G275" s="42">
        <v>39</v>
      </c>
      <c r="H275" s="42">
        <v>63</v>
      </c>
      <c r="I275" s="43">
        <f t="shared" si="2"/>
        <v>46</v>
      </c>
      <c r="J275" s="20">
        <f>I275*2*10000</f>
        <v>920000</v>
      </c>
      <c r="K275" s="20">
        <v>1800000</v>
      </c>
      <c r="L275" s="20">
        <f>J275*5</f>
        <v>4600000</v>
      </c>
      <c r="M275" s="22">
        <f>I275/(I275+I276)*100</f>
        <v>97.354497354497354</v>
      </c>
      <c r="N275" s="22">
        <f>I277/I275*100</f>
        <v>0</v>
      </c>
      <c r="O275" s="23">
        <f>3.32*(LOG(L275)-LOG(K275))</f>
        <v>1.3528512842398492</v>
      </c>
      <c r="P275" s="23">
        <f>IF(O275&lt;0,P272,P272+O275)</f>
        <v>99.134525862280469</v>
      </c>
      <c r="Q275" s="38"/>
      <c r="R275" s="38"/>
      <c r="S275" s="39"/>
    </row>
    <row r="276" spans="1:19" ht="14.25" customHeight="1" x14ac:dyDescent="0.35">
      <c r="A276" s="20"/>
      <c r="B276" s="92"/>
      <c r="C276" s="101"/>
      <c r="D276" s="92" t="s">
        <v>66</v>
      </c>
      <c r="E276" s="42">
        <v>1</v>
      </c>
      <c r="F276" s="42">
        <v>0</v>
      </c>
      <c r="G276" s="42">
        <v>1</v>
      </c>
      <c r="H276" s="42">
        <v>3</v>
      </c>
      <c r="I276" s="43">
        <f t="shared" si="2"/>
        <v>1.25</v>
      </c>
      <c r="J276" s="20"/>
      <c r="K276" s="20"/>
      <c r="L276" s="20"/>
      <c r="M276" s="20"/>
      <c r="N276" s="20"/>
      <c r="O276" s="20"/>
      <c r="P276" s="20"/>
      <c r="Q276" s="24"/>
      <c r="R276" s="24"/>
      <c r="S276" s="24"/>
    </row>
    <row r="277" spans="1:19" ht="14.25" customHeight="1" x14ac:dyDescent="0.35">
      <c r="A277" s="20"/>
      <c r="B277" s="92"/>
      <c r="C277" s="101"/>
      <c r="D277" s="92" t="s">
        <v>67</v>
      </c>
      <c r="E277" s="42">
        <v>0</v>
      </c>
      <c r="F277" s="42">
        <v>0</v>
      </c>
      <c r="G277" s="42">
        <v>0</v>
      </c>
      <c r="H277" s="42">
        <v>0</v>
      </c>
      <c r="I277" s="43">
        <f t="shared" si="2"/>
        <v>0</v>
      </c>
      <c r="J277" s="20"/>
      <c r="K277" s="20"/>
      <c r="L277" s="20"/>
      <c r="M277" s="20"/>
      <c r="N277" s="20"/>
      <c r="O277" s="20"/>
      <c r="P277" s="20"/>
      <c r="Q277" s="24"/>
      <c r="R277" s="24"/>
      <c r="S277" s="24"/>
    </row>
    <row r="278" spans="1:19" ht="14.25" customHeight="1" x14ac:dyDescent="0.35">
      <c r="A278" s="30">
        <f t="shared" ref="A278" si="15">A275+7</f>
        <v>44984</v>
      </c>
      <c r="B278" s="92">
        <f t="shared" ref="B278" si="16">B275+7</f>
        <v>633</v>
      </c>
      <c r="C278" s="101" t="str">
        <f>$C$125</f>
        <v>5% FBS R2</v>
      </c>
      <c r="D278" s="91" t="s">
        <v>65</v>
      </c>
      <c r="E278" s="45">
        <v>53</v>
      </c>
      <c r="F278" s="45">
        <v>54</v>
      </c>
      <c r="G278" s="45">
        <v>47</v>
      </c>
      <c r="H278" s="45">
        <v>43</v>
      </c>
      <c r="I278" s="43">
        <f t="shared" si="2"/>
        <v>49.25</v>
      </c>
      <c r="J278" s="20">
        <f>I278*2*10000</f>
        <v>985000</v>
      </c>
      <c r="K278" s="20">
        <f>$K$125</f>
        <v>3000000</v>
      </c>
      <c r="L278" s="20">
        <f>J278*5</f>
        <v>4925000</v>
      </c>
      <c r="M278" s="22">
        <f>I278/(I278+I279)*100</f>
        <v>96.097560975609753</v>
      </c>
      <c r="N278" s="22">
        <f>I280/I278*100</f>
        <v>0</v>
      </c>
      <c r="O278" s="23">
        <f>3.32*(LOG(L278)-LOG(K278))</f>
        <v>0.7147461339783745</v>
      </c>
      <c r="P278" s="23">
        <f>IF(O278&lt;0,P275,P275+O278)</f>
        <v>99.84927199625885</v>
      </c>
      <c r="Q278" s="38"/>
      <c r="R278" s="38"/>
      <c r="S278" s="39"/>
    </row>
    <row r="279" spans="1:19" ht="14.25" customHeight="1" x14ac:dyDescent="0.35">
      <c r="A279" s="20"/>
      <c r="B279" s="92"/>
      <c r="C279" s="101"/>
      <c r="D279" s="92" t="s">
        <v>66</v>
      </c>
      <c r="E279" s="45">
        <v>3</v>
      </c>
      <c r="F279" s="45">
        <v>2</v>
      </c>
      <c r="G279" s="45">
        <v>1</v>
      </c>
      <c r="H279" s="45">
        <v>2</v>
      </c>
      <c r="I279" s="43">
        <f t="shared" si="2"/>
        <v>2</v>
      </c>
      <c r="J279" s="20"/>
      <c r="K279" s="20"/>
      <c r="L279" s="20"/>
      <c r="M279" s="20"/>
      <c r="N279" s="20"/>
      <c r="O279" s="20"/>
      <c r="P279" s="20"/>
      <c r="Q279" s="24"/>
      <c r="R279" s="24"/>
      <c r="S279" s="24"/>
    </row>
    <row r="280" spans="1:19" ht="14.25" customHeight="1" x14ac:dyDescent="0.35">
      <c r="A280" s="20"/>
      <c r="B280" s="92"/>
      <c r="C280" s="101"/>
      <c r="D280" s="92" t="s">
        <v>67</v>
      </c>
      <c r="E280" s="45">
        <v>0</v>
      </c>
      <c r="F280" s="45">
        <v>0</v>
      </c>
      <c r="G280" s="45">
        <v>0</v>
      </c>
      <c r="H280" s="45"/>
      <c r="I280" s="43">
        <f t="shared" si="2"/>
        <v>0</v>
      </c>
      <c r="J280" s="20"/>
      <c r="K280" s="20"/>
      <c r="L280" s="20"/>
      <c r="M280" s="20"/>
      <c r="N280" s="20"/>
      <c r="O280" s="20"/>
      <c r="P280" s="20"/>
      <c r="Q280" s="24"/>
      <c r="R280" s="24"/>
      <c r="S280" s="24"/>
    </row>
    <row r="281" spans="1:19" ht="14.25" customHeight="1" x14ac:dyDescent="0.35">
      <c r="A281" s="30">
        <f t="shared" ref="A281" si="17">A278+7</f>
        <v>44991</v>
      </c>
      <c r="B281" s="92">
        <f t="shared" ref="B281" si="18">B278+7</f>
        <v>640</v>
      </c>
      <c r="C281" s="101" t="str">
        <f>$C$125</f>
        <v>5% FBS R2</v>
      </c>
      <c r="D281" s="91" t="s">
        <v>65</v>
      </c>
      <c r="E281" s="45">
        <v>113</v>
      </c>
      <c r="F281" s="45">
        <v>110</v>
      </c>
      <c r="G281" s="45">
        <v>134</v>
      </c>
      <c r="H281" s="45">
        <v>140</v>
      </c>
      <c r="I281" s="43">
        <f t="shared" si="2"/>
        <v>124.25</v>
      </c>
      <c r="J281" s="20">
        <f>I281*2*10000</f>
        <v>2485000</v>
      </c>
      <c r="K281" s="20">
        <f>$K$125</f>
        <v>3000000</v>
      </c>
      <c r="L281" s="20">
        <f>J281*5</f>
        <v>12425000</v>
      </c>
      <c r="M281" s="22">
        <f>I281/(I281+I282)*100</f>
        <v>99.599198396793582</v>
      </c>
      <c r="N281" s="22">
        <f>I283/I281*100</f>
        <v>0</v>
      </c>
      <c r="O281" s="23">
        <f>3.32*(LOG(L281)-LOG(K281))</f>
        <v>2.049021473716548</v>
      </c>
      <c r="P281" s="23">
        <f>IF(O281&lt;0,P278,P278+O281)</f>
        <v>101.8982934699754</v>
      </c>
      <c r="Q281" s="38"/>
      <c r="R281" s="38"/>
      <c r="S281" s="39"/>
    </row>
    <row r="282" spans="1:19" ht="14.25" customHeight="1" x14ac:dyDescent="0.35">
      <c r="A282" s="20"/>
      <c r="B282" s="92"/>
      <c r="C282" s="101"/>
      <c r="D282" s="92" t="s">
        <v>66</v>
      </c>
      <c r="E282" s="45">
        <v>1</v>
      </c>
      <c r="F282" s="45">
        <v>0</v>
      </c>
      <c r="G282" s="45">
        <v>1</v>
      </c>
      <c r="H282" s="45">
        <v>0</v>
      </c>
      <c r="I282" s="43">
        <f t="shared" si="2"/>
        <v>0.5</v>
      </c>
      <c r="J282" s="20"/>
      <c r="K282" s="20"/>
      <c r="L282" s="20"/>
      <c r="M282" s="20"/>
      <c r="N282" s="20"/>
      <c r="O282" s="20"/>
      <c r="P282" s="20"/>
      <c r="Q282" s="24"/>
      <c r="R282" s="24"/>
      <c r="S282" s="24"/>
    </row>
    <row r="283" spans="1:19" ht="14.25" customHeight="1" x14ac:dyDescent="0.35">
      <c r="A283" s="20"/>
      <c r="B283" s="92"/>
      <c r="C283" s="101"/>
      <c r="D283" s="92" t="s">
        <v>67</v>
      </c>
      <c r="E283" s="45">
        <v>0</v>
      </c>
      <c r="F283" s="45">
        <v>0</v>
      </c>
      <c r="G283" s="45">
        <v>0</v>
      </c>
      <c r="H283" s="45">
        <v>0</v>
      </c>
      <c r="I283" s="43">
        <f t="shared" si="2"/>
        <v>0</v>
      </c>
      <c r="J283" s="20"/>
      <c r="K283" s="20"/>
      <c r="L283" s="20"/>
      <c r="M283" s="20"/>
      <c r="N283" s="20"/>
      <c r="O283" s="20"/>
      <c r="P283" s="20"/>
      <c r="Q283" s="24"/>
      <c r="R283" s="24"/>
      <c r="S283" s="24"/>
    </row>
    <row r="284" spans="1:19" ht="14.25" customHeight="1" x14ac:dyDescent="0.35">
      <c r="A284" s="30">
        <f t="shared" ref="A284" si="19">A281+7</f>
        <v>44998</v>
      </c>
      <c r="B284" s="92">
        <f t="shared" ref="B284" si="20">B281+7</f>
        <v>647</v>
      </c>
      <c r="C284" s="101" t="str">
        <f>$C$125</f>
        <v>5% FBS R2</v>
      </c>
      <c r="D284" s="91" t="s">
        <v>65</v>
      </c>
      <c r="E284" s="45">
        <v>87</v>
      </c>
      <c r="F284" s="45">
        <v>88</v>
      </c>
      <c r="G284" s="45">
        <v>83</v>
      </c>
      <c r="H284" s="45">
        <v>76</v>
      </c>
      <c r="I284" s="43">
        <f t="shared" si="2"/>
        <v>83.5</v>
      </c>
      <c r="J284" s="20">
        <f>I284*2*10000</f>
        <v>1670000</v>
      </c>
      <c r="K284" s="20">
        <f>$K$125</f>
        <v>3000000</v>
      </c>
      <c r="L284" s="20">
        <f>J284*5</f>
        <v>8350000</v>
      </c>
      <c r="M284" s="22">
        <f>I284/(I284+I285)*100</f>
        <v>97.94721407624634</v>
      </c>
      <c r="N284" s="22">
        <f>I286/I284*100</f>
        <v>0</v>
      </c>
      <c r="O284" s="23">
        <f>3.32*(LOG(L284)-LOG(K284))</f>
        <v>1.4759565329362789</v>
      </c>
      <c r="P284" s="23">
        <f>IF(O284&lt;0,P281,P281+O284)</f>
        <v>103.37425000291168</v>
      </c>
      <c r="Q284" s="38"/>
      <c r="R284" s="38"/>
      <c r="S284" s="39"/>
    </row>
    <row r="285" spans="1:19" ht="14.25" customHeight="1" x14ac:dyDescent="0.35">
      <c r="A285" s="20"/>
      <c r="B285" s="92"/>
      <c r="C285" s="101"/>
      <c r="D285" s="92" t="s">
        <v>66</v>
      </c>
      <c r="E285" s="45">
        <v>3</v>
      </c>
      <c r="F285" s="45">
        <v>1</v>
      </c>
      <c r="G285" s="45">
        <v>2</v>
      </c>
      <c r="H285" s="45">
        <v>1</v>
      </c>
      <c r="I285" s="43">
        <f t="shared" si="2"/>
        <v>1.75</v>
      </c>
      <c r="J285" s="20"/>
      <c r="K285" s="20"/>
      <c r="L285" s="20"/>
      <c r="M285" s="20"/>
      <c r="N285" s="20"/>
      <c r="O285" s="20"/>
      <c r="P285" s="20"/>
      <c r="Q285" s="24"/>
      <c r="R285" s="24"/>
      <c r="S285" s="24"/>
    </row>
    <row r="286" spans="1:19" ht="14.25" customHeight="1" x14ac:dyDescent="0.35">
      <c r="A286" s="20"/>
      <c r="B286" s="92"/>
      <c r="C286" s="101"/>
      <c r="D286" s="92" t="s">
        <v>67</v>
      </c>
      <c r="E286" s="45">
        <v>0</v>
      </c>
      <c r="F286" s="45">
        <v>0</v>
      </c>
      <c r="G286" s="45">
        <v>0</v>
      </c>
      <c r="H286" s="45">
        <v>0</v>
      </c>
      <c r="I286" s="43">
        <f t="shared" si="2"/>
        <v>0</v>
      </c>
      <c r="J286" s="20"/>
      <c r="K286" s="20"/>
      <c r="L286" s="20"/>
      <c r="M286" s="20"/>
      <c r="N286" s="20"/>
      <c r="O286" s="20"/>
      <c r="P286" s="20"/>
      <c r="Q286" s="24"/>
      <c r="R286" s="24"/>
      <c r="S286" s="24"/>
    </row>
    <row r="287" spans="1:19" ht="14.25" customHeight="1" x14ac:dyDescent="0.35">
      <c r="A287" s="30">
        <f t="shared" ref="A287" si="21">A284+7</f>
        <v>45005</v>
      </c>
      <c r="B287" s="92">
        <f t="shared" ref="B287" si="22">B284+7</f>
        <v>654</v>
      </c>
      <c r="C287" s="101" t="str">
        <f>$C$125</f>
        <v>5% FBS R2</v>
      </c>
      <c r="D287" s="91" t="s">
        <v>65</v>
      </c>
      <c r="E287" s="45">
        <v>46</v>
      </c>
      <c r="F287" s="45">
        <v>50</v>
      </c>
      <c r="G287" s="45">
        <v>56</v>
      </c>
      <c r="H287" s="45">
        <v>44</v>
      </c>
      <c r="I287" s="43">
        <f t="shared" si="2"/>
        <v>49</v>
      </c>
      <c r="J287" s="20">
        <f>I287*2*10000</f>
        <v>980000</v>
      </c>
      <c r="K287" s="20">
        <f>$K$125</f>
        <v>3000000</v>
      </c>
      <c r="L287" s="20">
        <f>J287*5</f>
        <v>4900000</v>
      </c>
      <c r="M287" s="22">
        <f>I287/(I287+I288)*100</f>
        <v>93.779904306220089</v>
      </c>
      <c r="N287" s="22">
        <f>I289/I287*100</f>
        <v>0</v>
      </c>
      <c r="O287" s="23">
        <f>3.32*(LOG(L287)-LOG(K287))</f>
        <v>0.70740842002538606</v>
      </c>
      <c r="P287" s="23">
        <f>IF(O287&lt;0,P284,P284+O287)</f>
        <v>104.08165842293707</v>
      </c>
      <c r="Q287" s="38"/>
      <c r="R287" s="38"/>
      <c r="S287" s="39"/>
    </row>
    <row r="288" spans="1:19" ht="14.25" customHeight="1" x14ac:dyDescent="0.35">
      <c r="A288" s="20"/>
      <c r="B288" s="92"/>
      <c r="C288" s="101"/>
      <c r="D288" s="92" t="s">
        <v>66</v>
      </c>
      <c r="E288" s="45">
        <v>3</v>
      </c>
      <c r="F288" s="45">
        <v>2</v>
      </c>
      <c r="G288" s="45">
        <v>6</v>
      </c>
      <c r="H288" s="45">
        <v>2</v>
      </c>
      <c r="I288" s="43">
        <f t="shared" si="2"/>
        <v>3.25</v>
      </c>
      <c r="J288" s="20"/>
      <c r="K288" s="20"/>
      <c r="L288" s="20"/>
      <c r="M288" s="20"/>
      <c r="N288" s="20"/>
      <c r="O288" s="20"/>
      <c r="P288" s="20"/>
      <c r="Q288" s="24"/>
      <c r="R288" s="24"/>
      <c r="S288" s="24"/>
    </row>
    <row r="289" spans="1:19" ht="14.25" customHeight="1" x14ac:dyDescent="0.35">
      <c r="A289" s="20"/>
      <c r="B289" s="92"/>
      <c r="C289" s="101"/>
      <c r="D289" s="92" t="s">
        <v>67</v>
      </c>
      <c r="E289" s="45">
        <v>0</v>
      </c>
      <c r="F289" s="45">
        <v>0</v>
      </c>
      <c r="G289" s="45">
        <v>0</v>
      </c>
      <c r="H289" s="45">
        <v>0</v>
      </c>
      <c r="I289" s="43">
        <f t="shared" si="2"/>
        <v>0</v>
      </c>
      <c r="J289" s="20"/>
      <c r="K289" s="20"/>
      <c r="L289" s="20"/>
      <c r="M289" s="20"/>
      <c r="N289" s="20"/>
      <c r="O289" s="20"/>
      <c r="P289" s="20"/>
      <c r="Q289" s="24"/>
      <c r="R289" s="24"/>
      <c r="S289" s="24"/>
    </row>
    <row r="290" spans="1:19" ht="14.25" customHeight="1" x14ac:dyDescent="0.35">
      <c r="A290" s="30">
        <f t="shared" ref="A290" si="23">A287+7</f>
        <v>45012</v>
      </c>
      <c r="B290" s="92">
        <f t="shared" ref="B290" si="24">B287+7</f>
        <v>661</v>
      </c>
      <c r="C290" s="101" t="str">
        <f>$C$125</f>
        <v>5% FBS R2</v>
      </c>
      <c r="D290" s="91" t="s">
        <v>65</v>
      </c>
      <c r="E290" s="45">
        <v>46</v>
      </c>
      <c r="F290" s="45">
        <v>55</v>
      </c>
      <c r="G290" s="45">
        <v>47</v>
      </c>
      <c r="H290" s="45">
        <v>51</v>
      </c>
      <c r="I290" s="43">
        <f t="shared" si="2"/>
        <v>49.75</v>
      </c>
      <c r="J290" s="20">
        <f>I290*2*10000</f>
        <v>995000</v>
      </c>
      <c r="K290" s="20">
        <f>$K$125</f>
        <v>3000000</v>
      </c>
      <c r="L290" s="20">
        <f>J290*5</f>
        <v>4975000</v>
      </c>
      <c r="M290" s="22">
        <f>I290/(I290+I291)*100</f>
        <v>94.761904761904759</v>
      </c>
      <c r="N290" s="22">
        <f>I292/I290*100</f>
        <v>0</v>
      </c>
      <c r="O290" s="23">
        <f>3.32*(LOG(L290)-LOG(K290))</f>
        <v>0.72931047680210981</v>
      </c>
      <c r="P290" s="23">
        <f>IF(O290&lt;0,P287,P287+O290)</f>
        <v>104.81096889973918</v>
      </c>
      <c r="Q290" s="38"/>
      <c r="R290" s="38"/>
      <c r="S290" s="39"/>
    </row>
    <row r="291" spans="1:19" ht="14.25" customHeight="1" x14ac:dyDescent="0.35">
      <c r="A291" s="20"/>
      <c r="B291" s="92"/>
      <c r="C291" s="101"/>
      <c r="D291" s="92" t="s">
        <v>66</v>
      </c>
      <c r="E291" s="45">
        <v>2</v>
      </c>
      <c r="F291" s="45">
        <v>3</v>
      </c>
      <c r="G291" s="45">
        <v>3</v>
      </c>
      <c r="H291" s="45">
        <v>3</v>
      </c>
      <c r="I291" s="43">
        <f t="shared" si="2"/>
        <v>2.75</v>
      </c>
      <c r="J291" s="20"/>
      <c r="K291" s="20"/>
      <c r="L291" s="20"/>
      <c r="M291" s="20"/>
      <c r="N291" s="20"/>
      <c r="O291" s="20"/>
      <c r="P291" s="20"/>
      <c r="Q291" s="24"/>
      <c r="R291" s="24"/>
      <c r="S291" s="24"/>
    </row>
    <row r="292" spans="1:19" ht="14.25" customHeight="1" x14ac:dyDescent="0.35">
      <c r="A292" s="20"/>
      <c r="B292" s="92"/>
      <c r="C292" s="101"/>
      <c r="D292" s="92" t="s">
        <v>67</v>
      </c>
      <c r="E292" s="45">
        <v>0</v>
      </c>
      <c r="F292" s="45">
        <v>0</v>
      </c>
      <c r="G292" s="45">
        <v>0</v>
      </c>
      <c r="H292" s="45">
        <v>0</v>
      </c>
      <c r="I292" s="43">
        <f t="shared" si="2"/>
        <v>0</v>
      </c>
      <c r="J292" s="20"/>
      <c r="K292" s="20"/>
      <c r="L292" s="20"/>
      <c r="M292" s="20"/>
      <c r="N292" s="20"/>
      <c r="O292" s="20"/>
      <c r="P292" s="20"/>
      <c r="Q292" s="24"/>
      <c r="R292" s="24"/>
      <c r="S292" s="24"/>
    </row>
    <row r="293" spans="1:19" ht="14.25" customHeight="1" x14ac:dyDescent="0.35">
      <c r="A293" s="30">
        <f t="shared" ref="A293" si="25">A290+7</f>
        <v>45019</v>
      </c>
      <c r="B293" s="92">
        <f t="shared" ref="B293" si="26">B290+7</f>
        <v>668</v>
      </c>
      <c r="C293" s="101" t="str">
        <f>$C$125</f>
        <v>5% FBS R2</v>
      </c>
      <c r="D293" s="91" t="s">
        <v>65</v>
      </c>
      <c r="E293" s="45">
        <v>60</v>
      </c>
      <c r="F293" s="45">
        <v>46</v>
      </c>
      <c r="G293" s="45">
        <v>51</v>
      </c>
      <c r="H293" s="45">
        <v>46</v>
      </c>
      <c r="I293" s="43">
        <f t="shared" si="2"/>
        <v>50.75</v>
      </c>
      <c r="J293" s="20">
        <f>I293*2*10000</f>
        <v>1015000</v>
      </c>
      <c r="K293" s="20">
        <f>$K$125</f>
        <v>3000000</v>
      </c>
      <c r="L293" s="20">
        <f>J293*5</f>
        <v>5075000</v>
      </c>
      <c r="M293" s="22">
        <f>I293/(I293+I294)*100</f>
        <v>97.129186602870803</v>
      </c>
      <c r="N293" s="22">
        <f>I295/I293*100</f>
        <v>0</v>
      </c>
      <c r="O293" s="23">
        <f>3.32*(LOG(L293)-LOG(K293))</f>
        <v>0.75800510899375328</v>
      </c>
      <c r="P293" s="23">
        <f>IF(O293&lt;0,P290,P290+O293)</f>
        <v>105.56897400873294</v>
      </c>
      <c r="Q293" s="38"/>
      <c r="R293" s="38"/>
      <c r="S293" s="39"/>
    </row>
    <row r="294" spans="1:19" ht="14.25" customHeight="1" x14ac:dyDescent="0.35">
      <c r="A294" s="20"/>
      <c r="B294" s="92"/>
      <c r="C294" s="101"/>
      <c r="D294" s="92" t="s">
        <v>66</v>
      </c>
      <c r="E294" s="45">
        <v>0</v>
      </c>
      <c r="F294" s="45">
        <v>3</v>
      </c>
      <c r="G294" s="45">
        <v>2</v>
      </c>
      <c r="H294" s="45">
        <v>1</v>
      </c>
      <c r="I294" s="43">
        <f t="shared" si="2"/>
        <v>1.5</v>
      </c>
      <c r="J294" s="20"/>
      <c r="K294" s="20"/>
      <c r="L294" s="20"/>
      <c r="M294" s="20"/>
      <c r="N294" s="20"/>
      <c r="O294" s="20"/>
      <c r="P294" s="20"/>
      <c r="Q294" s="24"/>
      <c r="R294" s="24"/>
      <c r="S294" s="24"/>
    </row>
    <row r="295" spans="1:19" ht="14.25" customHeight="1" x14ac:dyDescent="0.35">
      <c r="A295" s="20"/>
      <c r="B295" s="92"/>
      <c r="C295" s="101"/>
      <c r="D295" s="92" t="s">
        <v>67</v>
      </c>
      <c r="E295" s="45">
        <v>0</v>
      </c>
      <c r="F295" s="45">
        <v>0</v>
      </c>
      <c r="G295" s="45">
        <v>0</v>
      </c>
      <c r="H295" s="45">
        <v>0</v>
      </c>
      <c r="I295" s="43">
        <f t="shared" si="2"/>
        <v>0</v>
      </c>
      <c r="J295" s="20"/>
      <c r="K295" s="20"/>
      <c r="L295" s="20"/>
      <c r="M295" s="20"/>
      <c r="N295" s="20"/>
      <c r="O295" s="20"/>
      <c r="P295" s="20"/>
      <c r="Q295" s="24"/>
      <c r="R295" s="24"/>
      <c r="S295" s="24"/>
    </row>
    <row r="296" spans="1:19" ht="14.25" customHeight="1" x14ac:dyDescent="0.35">
      <c r="A296" s="30">
        <f t="shared" ref="A296" si="27">A293+7</f>
        <v>45026</v>
      </c>
      <c r="B296" s="92">
        <f t="shared" ref="B296" si="28">B293+7</f>
        <v>675</v>
      </c>
      <c r="C296" s="101" t="str">
        <f>$C$125</f>
        <v>5% FBS R2</v>
      </c>
      <c r="D296" s="91" t="s">
        <v>65</v>
      </c>
      <c r="E296" s="45">
        <v>63</v>
      </c>
      <c r="F296" s="45">
        <v>54</v>
      </c>
      <c r="G296" s="45">
        <v>53</v>
      </c>
      <c r="H296" s="45">
        <v>56</v>
      </c>
      <c r="I296" s="43">
        <f t="shared" si="2"/>
        <v>56.5</v>
      </c>
      <c r="J296" s="20">
        <f>I296*2*10000</f>
        <v>1130000</v>
      </c>
      <c r="K296" s="20">
        <f>$K$125</f>
        <v>3000000</v>
      </c>
      <c r="L296" s="20">
        <f>J296*5</f>
        <v>5650000</v>
      </c>
      <c r="M296" s="22">
        <f>I296/(I296+I297)*100</f>
        <v>94.560669456066947</v>
      </c>
      <c r="N296" s="22">
        <f>I298/I296*100</f>
        <v>0</v>
      </c>
      <c r="O296" s="23">
        <f>3.32*(LOG(L296)-LOG(K296))</f>
        <v>0.91275828109125656</v>
      </c>
      <c r="P296" s="23">
        <f>IF(O296&lt;0,P293,P293+O296)</f>
        <v>106.48173228982419</v>
      </c>
      <c r="Q296" s="38"/>
      <c r="R296" s="38"/>
      <c r="S296" s="39"/>
    </row>
    <row r="297" spans="1:19" ht="14.25" customHeight="1" x14ac:dyDescent="0.35">
      <c r="A297" s="20"/>
      <c r="B297" s="92"/>
      <c r="C297" s="101"/>
      <c r="D297" s="92" t="s">
        <v>66</v>
      </c>
      <c r="E297" s="45">
        <v>8</v>
      </c>
      <c r="F297" s="45">
        <v>2</v>
      </c>
      <c r="G297" s="45">
        <v>1</v>
      </c>
      <c r="H297" s="45">
        <v>2</v>
      </c>
      <c r="I297" s="43">
        <f t="shared" si="2"/>
        <v>3.25</v>
      </c>
      <c r="J297" s="20"/>
      <c r="K297" s="20"/>
      <c r="L297" s="20"/>
      <c r="M297" s="20"/>
      <c r="N297" s="20"/>
      <c r="O297" s="20"/>
      <c r="P297" s="20"/>
      <c r="Q297" s="24"/>
      <c r="R297" s="24"/>
      <c r="S297" s="24"/>
    </row>
    <row r="298" spans="1:19" ht="14.25" customHeight="1" x14ac:dyDescent="0.35">
      <c r="A298" s="20"/>
      <c r="B298" s="92"/>
      <c r="C298" s="101"/>
      <c r="D298" s="92" t="s">
        <v>67</v>
      </c>
      <c r="E298" s="45">
        <v>0</v>
      </c>
      <c r="F298" s="45">
        <v>0</v>
      </c>
      <c r="G298" s="45">
        <v>0</v>
      </c>
      <c r="H298" s="45">
        <v>0</v>
      </c>
      <c r="I298" s="43">
        <f t="shared" si="2"/>
        <v>0</v>
      </c>
      <c r="J298" s="20"/>
      <c r="K298" s="20"/>
      <c r="L298" s="20"/>
      <c r="M298" s="20"/>
      <c r="N298" s="20"/>
      <c r="O298" s="20"/>
      <c r="P298" s="20"/>
      <c r="Q298" s="24"/>
      <c r="R298" s="24"/>
      <c r="S298" s="24"/>
    </row>
    <row r="299" spans="1:19" ht="14.25" customHeight="1" x14ac:dyDescent="0.35">
      <c r="A299" s="30">
        <f t="shared" ref="A299" si="29">A296+7</f>
        <v>45033</v>
      </c>
      <c r="B299" s="92">
        <f t="shared" ref="B299" si="30">B296+7</f>
        <v>682</v>
      </c>
      <c r="C299" s="101" t="str">
        <f>$C$125</f>
        <v>5% FBS R2</v>
      </c>
      <c r="D299" s="91" t="s">
        <v>65</v>
      </c>
      <c r="E299" s="45">
        <v>26</v>
      </c>
      <c r="F299" s="45">
        <v>24</v>
      </c>
      <c r="G299" s="45">
        <v>33</v>
      </c>
      <c r="H299" s="45">
        <v>28</v>
      </c>
      <c r="I299" s="43">
        <f t="shared" si="2"/>
        <v>27.75</v>
      </c>
      <c r="J299" s="20">
        <f>I299*2*10000</f>
        <v>555000</v>
      </c>
      <c r="K299" s="20">
        <f>$K$125</f>
        <v>3000000</v>
      </c>
      <c r="L299" s="20">
        <f>J299*5</f>
        <v>2775000</v>
      </c>
      <c r="M299" s="22">
        <f>I299/(I299+I300)*100</f>
        <v>99.107142857142861</v>
      </c>
      <c r="N299" s="22">
        <f>I301/I299*100</f>
        <v>0</v>
      </c>
      <c r="O299" s="23">
        <f>3.32*(LOG(L299)-LOG(K299))</f>
        <v>-0.11240944730641217</v>
      </c>
      <c r="P299" s="23">
        <f>IF(O299&lt;0,P296,P296+O299)</f>
        <v>106.48173228982419</v>
      </c>
      <c r="Q299" s="38"/>
      <c r="R299" s="38"/>
      <c r="S299" s="39"/>
    </row>
    <row r="300" spans="1:19" ht="14.25" customHeight="1" x14ac:dyDescent="0.35">
      <c r="A300" s="20"/>
      <c r="B300" s="92"/>
      <c r="C300" s="101"/>
      <c r="D300" s="92" t="s">
        <v>66</v>
      </c>
      <c r="E300" s="45">
        <v>0</v>
      </c>
      <c r="F300" s="45">
        <v>0</v>
      </c>
      <c r="G300" s="45">
        <v>0</v>
      </c>
      <c r="H300" s="45">
        <v>1</v>
      </c>
      <c r="I300" s="43">
        <f t="shared" si="2"/>
        <v>0.25</v>
      </c>
      <c r="J300" s="20"/>
      <c r="K300" s="20"/>
      <c r="L300" s="20"/>
      <c r="M300" s="20"/>
      <c r="N300" s="20"/>
      <c r="O300" s="20"/>
      <c r="P300" s="20"/>
      <c r="Q300" s="24"/>
      <c r="R300" s="24"/>
      <c r="S300" s="24"/>
    </row>
    <row r="301" spans="1:19" ht="14.25" customHeight="1" x14ac:dyDescent="0.35">
      <c r="A301" s="20"/>
      <c r="B301" s="92"/>
      <c r="C301" s="101"/>
      <c r="D301" s="92" t="s">
        <v>67</v>
      </c>
      <c r="E301" s="45">
        <v>0</v>
      </c>
      <c r="F301" s="45">
        <v>0</v>
      </c>
      <c r="G301" s="45">
        <v>0</v>
      </c>
      <c r="H301" s="45">
        <v>0</v>
      </c>
      <c r="I301" s="43">
        <f t="shared" si="2"/>
        <v>0</v>
      </c>
      <c r="J301" s="20"/>
      <c r="K301" s="20"/>
      <c r="L301" s="20"/>
      <c r="M301" s="20"/>
      <c r="N301" s="20"/>
      <c r="O301" s="20"/>
      <c r="P301" s="20"/>
      <c r="Q301" s="24"/>
      <c r="R301" s="24"/>
      <c r="S301" s="24"/>
    </row>
    <row r="302" spans="1:19" ht="14.25" customHeight="1" x14ac:dyDescent="0.35">
      <c r="A302" s="30">
        <f t="shared" ref="A302" si="31">A299+7</f>
        <v>45040</v>
      </c>
      <c r="B302" s="92">
        <f t="shared" ref="B302" si="32">B299+7</f>
        <v>689</v>
      </c>
      <c r="C302" s="101" t="str">
        <f>$C$125</f>
        <v>5% FBS R2</v>
      </c>
      <c r="D302" s="91" t="s">
        <v>65</v>
      </c>
      <c r="E302" s="45">
        <v>29</v>
      </c>
      <c r="F302" s="45">
        <v>23</v>
      </c>
      <c r="G302" s="45">
        <v>13</v>
      </c>
      <c r="H302" s="45">
        <v>22</v>
      </c>
      <c r="I302" s="43">
        <f t="shared" si="2"/>
        <v>21.75</v>
      </c>
      <c r="J302" s="20">
        <f>I302*2*10000</f>
        <v>435000</v>
      </c>
      <c r="K302" s="20">
        <v>2775000</v>
      </c>
      <c r="L302" s="20">
        <f>J302*5</f>
        <v>2175000</v>
      </c>
      <c r="M302" s="22">
        <f>I302/(I302+I303)*100</f>
        <v>100</v>
      </c>
      <c r="N302" s="22">
        <f>I304/I302*100</f>
        <v>0</v>
      </c>
      <c r="O302" s="23">
        <f>3.32*(LOG(L302)-LOG(K302))</f>
        <v>-0.35126837087789059</v>
      </c>
      <c r="P302" s="23">
        <f>IF(O302&lt;0,P299,P299+O302)</f>
        <v>106.48173228982419</v>
      </c>
      <c r="Q302" s="38"/>
      <c r="R302" s="38"/>
      <c r="S302" s="39"/>
    </row>
    <row r="303" spans="1:19" ht="14.25" customHeight="1" x14ac:dyDescent="0.35">
      <c r="A303" s="20"/>
      <c r="B303" s="92"/>
      <c r="C303" s="101"/>
      <c r="D303" s="92" t="s">
        <v>66</v>
      </c>
      <c r="E303" s="45">
        <v>0</v>
      </c>
      <c r="F303" s="45">
        <v>0</v>
      </c>
      <c r="G303" s="45">
        <v>0</v>
      </c>
      <c r="H303" s="45">
        <v>0</v>
      </c>
      <c r="I303" s="43">
        <f t="shared" si="2"/>
        <v>0</v>
      </c>
      <c r="J303" s="20"/>
      <c r="K303" s="20"/>
      <c r="L303" s="20"/>
      <c r="M303" s="20"/>
      <c r="N303" s="20"/>
      <c r="O303" s="20"/>
      <c r="P303" s="20"/>
      <c r="Q303" s="24"/>
      <c r="R303" s="24"/>
      <c r="S303" s="24"/>
    </row>
    <row r="304" spans="1:19" ht="14.25" customHeight="1" x14ac:dyDescent="0.35">
      <c r="A304" s="20"/>
      <c r="B304" s="92"/>
      <c r="C304" s="101"/>
      <c r="D304" s="92" t="s">
        <v>67</v>
      </c>
      <c r="E304" s="45">
        <v>0</v>
      </c>
      <c r="F304" s="45">
        <v>0</v>
      </c>
      <c r="G304" s="45">
        <v>0</v>
      </c>
      <c r="H304" s="45">
        <v>0</v>
      </c>
      <c r="I304" s="43">
        <f t="shared" si="2"/>
        <v>0</v>
      </c>
      <c r="J304" s="20"/>
      <c r="K304" s="20"/>
      <c r="L304" s="20"/>
      <c r="M304" s="20"/>
      <c r="N304" s="20"/>
      <c r="O304" s="20"/>
      <c r="P304" s="20"/>
      <c r="Q304" s="24"/>
      <c r="R304" s="24"/>
      <c r="S304" s="24"/>
    </row>
    <row r="305" spans="1:19" ht="14.25" customHeight="1" x14ac:dyDescent="0.35">
      <c r="A305" s="30">
        <f t="shared" ref="A305" si="33">A302+7</f>
        <v>45047</v>
      </c>
      <c r="B305" s="92">
        <f t="shared" ref="B305" si="34">B302+7</f>
        <v>696</v>
      </c>
      <c r="C305" s="101" t="str">
        <f>$C$125</f>
        <v>5% FBS R2</v>
      </c>
      <c r="D305" s="91" t="s">
        <v>65</v>
      </c>
      <c r="E305" s="45">
        <v>31</v>
      </c>
      <c r="F305" s="45">
        <v>33</v>
      </c>
      <c r="G305" s="45">
        <v>33</v>
      </c>
      <c r="H305" s="45">
        <v>44</v>
      </c>
      <c r="I305" s="43">
        <f t="shared" si="2"/>
        <v>35.25</v>
      </c>
      <c r="J305" s="20">
        <f>I305*2*10000</f>
        <v>705000</v>
      </c>
      <c r="K305" s="20">
        <v>2175000</v>
      </c>
      <c r="L305" s="20">
        <f>J305*5</f>
        <v>3525000</v>
      </c>
      <c r="M305" s="22">
        <f>I305/(I305+I306)*100</f>
        <v>99.295774647887328</v>
      </c>
      <c r="N305" s="22">
        <f>I307/I305*100</f>
        <v>0</v>
      </c>
      <c r="O305" s="23">
        <f>3.32*(LOG(L305)-LOG(K305))</f>
        <v>0.69620353532204793</v>
      </c>
      <c r="P305" s="23">
        <f>IF(O305&lt;0,P302,P302+O305)</f>
        <v>107.17793582514624</v>
      </c>
      <c r="Q305" s="38"/>
      <c r="R305" s="38"/>
      <c r="S305" s="39"/>
    </row>
    <row r="306" spans="1:19" ht="14.25" customHeight="1" x14ac:dyDescent="0.35">
      <c r="A306" s="20"/>
      <c r="B306" s="92"/>
      <c r="C306" s="101"/>
      <c r="D306" s="92" t="s">
        <v>66</v>
      </c>
      <c r="E306" s="45">
        <v>0</v>
      </c>
      <c r="F306" s="45">
        <v>1</v>
      </c>
      <c r="G306" s="45">
        <v>0</v>
      </c>
      <c r="H306" s="45">
        <v>0</v>
      </c>
      <c r="I306" s="43">
        <f t="shared" si="2"/>
        <v>0.25</v>
      </c>
      <c r="J306" s="20"/>
      <c r="K306" s="20"/>
      <c r="L306" s="20"/>
      <c r="M306" s="20"/>
      <c r="N306" s="20"/>
      <c r="O306" s="20"/>
      <c r="P306" s="20"/>
      <c r="Q306" s="24"/>
      <c r="R306" s="24"/>
      <c r="S306" s="24"/>
    </row>
    <row r="307" spans="1:19" ht="14.25" customHeight="1" x14ac:dyDescent="0.35">
      <c r="A307" s="20"/>
      <c r="B307" s="92"/>
      <c r="C307" s="101"/>
      <c r="D307" s="92" t="s">
        <v>67</v>
      </c>
      <c r="E307" s="45">
        <v>0</v>
      </c>
      <c r="F307" s="45">
        <v>0</v>
      </c>
      <c r="G307" s="45">
        <v>0</v>
      </c>
      <c r="H307" s="45">
        <v>0</v>
      </c>
      <c r="I307" s="43">
        <f t="shared" si="2"/>
        <v>0</v>
      </c>
      <c r="J307" s="20"/>
      <c r="K307" s="20"/>
      <c r="L307" s="20"/>
      <c r="M307" s="20"/>
      <c r="N307" s="20"/>
      <c r="O307" s="20"/>
      <c r="P307" s="20"/>
      <c r="Q307" s="24"/>
      <c r="R307" s="24"/>
      <c r="S307" s="24"/>
    </row>
    <row r="308" spans="1:19" ht="14.25" customHeight="1" x14ac:dyDescent="0.35">
      <c r="A308" s="30">
        <f t="shared" ref="A308" si="35">A305+7</f>
        <v>45054</v>
      </c>
      <c r="B308" s="92">
        <f t="shared" ref="B308" si="36">B305+7</f>
        <v>703</v>
      </c>
      <c r="C308" s="101" t="str">
        <f>$C$125</f>
        <v>5% FBS R2</v>
      </c>
      <c r="D308" s="91" t="s">
        <v>65</v>
      </c>
      <c r="E308" s="45">
        <v>66</v>
      </c>
      <c r="F308" s="45">
        <v>64</v>
      </c>
      <c r="G308" s="45">
        <v>72</v>
      </c>
      <c r="H308" s="45">
        <v>62</v>
      </c>
      <c r="I308" s="43">
        <f t="shared" si="2"/>
        <v>66</v>
      </c>
      <c r="J308" s="20">
        <f>I308*2*10000</f>
        <v>1320000</v>
      </c>
      <c r="K308" s="20">
        <f>$K$125</f>
        <v>3000000</v>
      </c>
      <c r="L308" s="20">
        <f>J308*5</f>
        <v>6600000</v>
      </c>
      <c r="M308" s="22">
        <f>I308/(I308+I309)*100</f>
        <v>99.248120300751879</v>
      </c>
      <c r="N308" s="22">
        <f>I310/I308*100</f>
        <v>0</v>
      </c>
      <c r="O308" s="23">
        <f>3.32*(LOG(L308)-LOG(K308))</f>
        <v>1.1368433003297229</v>
      </c>
      <c r="P308" s="23">
        <f>IF(O308&lt;0,P305,P305+O308)</f>
        <v>108.31477912547597</v>
      </c>
      <c r="Q308" s="38"/>
      <c r="R308" s="38"/>
      <c r="S308" s="39"/>
    </row>
    <row r="309" spans="1:19" ht="14.25" customHeight="1" x14ac:dyDescent="0.35">
      <c r="A309" s="20"/>
      <c r="B309" s="92"/>
      <c r="C309" s="101"/>
      <c r="D309" s="92" t="s">
        <v>66</v>
      </c>
      <c r="E309" s="45">
        <v>1</v>
      </c>
      <c r="F309" s="45">
        <v>1</v>
      </c>
      <c r="G309" s="45">
        <v>0</v>
      </c>
      <c r="H309" s="45">
        <v>0</v>
      </c>
      <c r="I309" s="43">
        <f t="shared" si="2"/>
        <v>0.5</v>
      </c>
      <c r="J309" s="20"/>
      <c r="K309" s="20"/>
      <c r="L309" s="20"/>
      <c r="M309" s="20"/>
      <c r="N309" s="20"/>
      <c r="O309" s="20"/>
      <c r="P309" s="20"/>
      <c r="Q309" s="24"/>
      <c r="R309" s="24"/>
      <c r="S309" s="24"/>
    </row>
    <row r="310" spans="1:19" ht="14.25" customHeight="1" x14ac:dyDescent="0.35">
      <c r="A310" s="20"/>
      <c r="B310" s="92"/>
      <c r="C310" s="101"/>
      <c r="D310" s="92" t="s">
        <v>67</v>
      </c>
      <c r="E310" s="45">
        <v>0</v>
      </c>
      <c r="F310" s="45">
        <v>0</v>
      </c>
      <c r="G310" s="45">
        <v>0</v>
      </c>
      <c r="H310" s="45">
        <v>0</v>
      </c>
      <c r="I310" s="43">
        <f t="shared" si="2"/>
        <v>0</v>
      </c>
      <c r="J310" s="20"/>
      <c r="K310" s="20"/>
      <c r="L310" s="20"/>
      <c r="M310" s="20"/>
      <c r="N310" s="20"/>
      <c r="O310" s="20"/>
      <c r="P310" s="20"/>
      <c r="Q310" s="24"/>
      <c r="R310" s="24"/>
      <c r="S310" s="24"/>
    </row>
    <row r="311" spans="1:19" ht="14.25" customHeight="1" x14ac:dyDescent="0.35">
      <c r="A311" s="30">
        <f t="shared" ref="A311" si="37">A308+7</f>
        <v>45061</v>
      </c>
      <c r="B311" s="92">
        <f t="shared" ref="B311" si="38">B308+7</f>
        <v>710</v>
      </c>
      <c r="C311" s="101" t="str">
        <f>$C$125</f>
        <v>5% FBS R2</v>
      </c>
      <c r="D311" s="91" t="s">
        <v>65</v>
      </c>
      <c r="E311" s="45">
        <v>81</v>
      </c>
      <c r="F311" s="45">
        <v>79</v>
      </c>
      <c r="G311" s="45">
        <v>85</v>
      </c>
      <c r="H311" s="45">
        <v>82</v>
      </c>
      <c r="I311" s="43">
        <f t="shared" si="2"/>
        <v>81.75</v>
      </c>
      <c r="J311" s="20">
        <f>I311*2*10000</f>
        <v>1635000</v>
      </c>
      <c r="K311" s="20">
        <f>$K$125</f>
        <v>3000000</v>
      </c>
      <c r="L311" s="20">
        <f>J311*5</f>
        <v>8175000</v>
      </c>
      <c r="M311" s="22">
        <f>I311/(I311+I312)*100</f>
        <v>94.236311239193085</v>
      </c>
      <c r="N311" s="22">
        <f>I313/I311*100</f>
        <v>0</v>
      </c>
      <c r="O311" s="23">
        <f>3.32*(LOG(L311)-LOG(K311))</f>
        <v>1.4454168019540354</v>
      </c>
      <c r="P311" s="23">
        <f>IF(O311&lt;0,P308,P308+O311)</f>
        <v>109.76019592743</v>
      </c>
      <c r="Q311" s="38"/>
      <c r="R311" s="38"/>
      <c r="S311" s="39"/>
    </row>
    <row r="312" spans="1:19" ht="14.25" customHeight="1" x14ac:dyDescent="0.35">
      <c r="A312" s="20"/>
      <c r="B312" s="92"/>
      <c r="C312" s="101"/>
      <c r="D312" s="92" t="s">
        <v>66</v>
      </c>
      <c r="E312" s="45">
        <v>3</v>
      </c>
      <c r="F312" s="45">
        <v>4</v>
      </c>
      <c r="G312" s="45">
        <v>8</v>
      </c>
      <c r="H312" s="45">
        <v>5</v>
      </c>
      <c r="I312" s="43">
        <f t="shared" si="2"/>
        <v>5</v>
      </c>
      <c r="J312" s="20"/>
      <c r="K312" s="20"/>
      <c r="L312" s="20"/>
      <c r="M312" s="20"/>
      <c r="N312" s="20"/>
      <c r="O312" s="20"/>
      <c r="P312" s="20"/>
      <c r="Q312" s="24"/>
      <c r="R312" s="24"/>
      <c r="S312" s="24"/>
    </row>
    <row r="313" spans="1:19" ht="14.25" customHeight="1" x14ac:dyDescent="0.35">
      <c r="A313" s="20"/>
      <c r="B313" s="92"/>
      <c r="C313" s="101"/>
      <c r="D313" s="92" t="s">
        <v>67</v>
      </c>
      <c r="E313" s="45">
        <v>0</v>
      </c>
      <c r="F313" s="45">
        <v>0</v>
      </c>
      <c r="G313" s="45">
        <v>0</v>
      </c>
      <c r="H313" s="45">
        <v>0</v>
      </c>
      <c r="I313" s="43">
        <f t="shared" si="2"/>
        <v>0</v>
      </c>
      <c r="J313" s="20"/>
      <c r="K313" s="20"/>
      <c r="L313" s="20"/>
      <c r="M313" s="20"/>
      <c r="N313" s="20"/>
      <c r="O313" s="20"/>
      <c r="P313" s="20"/>
      <c r="Q313" s="24"/>
      <c r="R313" s="24"/>
      <c r="S313" s="24"/>
    </row>
    <row r="314" spans="1:19" ht="14.25" customHeight="1" x14ac:dyDescent="0.35">
      <c r="A314" s="30">
        <f t="shared" ref="A314" si="39">A311+7</f>
        <v>45068</v>
      </c>
      <c r="B314" s="92">
        <f t="shared" ref="B314" si="40">B311+7</f>
        <v>717</v>
      </c>
      <c r="C314" s="101" t="str">
        <f>$C$125</f>
        <v>5% FBS R2</v>
      </c>
      <c r="D314" s="91" t="s">
        <v>65</v>
      </c>
      <c r="E314" s="45">
        <v>49</v>
      </c>
      <c r="F314" s="45">
        <v>32</v>
      </c>
      <c r="G314" s="45">
        <v>50</v>
      </c>
      <c r="H314" s="45">
        <v>32</v>
      </c>
      <c r="I314" s="43">
        <f t="shared" si="2"/>
        <v>40.75</v>
      </c>
      <c r="J314" s="20">
        <f>I314*2*10000</f>
        <v>815000</v>
      </c>
      <c r="K314" s="20">
        <f>$K$125</f>
        <v>3000000</v>
      </c>
      <c r="L314" s="20">
        <f>J314*5</f>
        <v>4075000</v>
      </c>
      <c r="M314" s="22">
        <f>I314/(I314+I315)*100</f>
        <v>99.390243902439025</v>
      </c>
      <c r="N314" s="22">
        <f>I316/I314*100</f>
        <v>0</v>
      </c>
      <c r="O314" s="23">
        <f>3.32*(LOG(L314)-LOG(K314))</f>
        <v>0.44158110974302556</v>
      </c>
      <c r="P314" s="23">
        <f>IF(O314&lt;0,P311,P311+O314)</f>
        <v>110.20177703717303</v>
      </c>
      <c r="Q314" s="38"/>
      <c r="R314" s="38"/>
      <c r="S314" s="39"/>
    </row>
    <row r="315" spans="1:19" ht="14.25" customHeight="1" x14ac:dyDescent="0.35">
      <c r="A315" s="20"/>
      <c r="B315" s="92"/>
      <c r="C315" s="101"/>
      <c r="D315" s="92" t="s">
        <v>66</v>
      </c>
      <c r="E315" s="45">
        <v>1</v>
      </c>
      <c r="F315" s="45">
        <v>0</v>
      </c>
      <c r="G315" s="45">
        <v>0</v>
      </c>
      <c r="H315" s="45">
        <v>0</v>
      </c>
      <c r="I315" s="43">
        <f t="shared" si="2"/>
        <v>0.25</v>
      </c>
      <c r="J315" s="20"/>
      <c r="K315" s="20"/>
      <c r="L315" s="20"/>
      <c r="M315" s="20"/>
      <c r="N315" s="20"/>
      <c r="O315" s="20"/>
      <c r="P315" s="20"/>
      <c r="Q315" s="24"/>
      <c r="R315" s="24"/>
      <c r="S315" s="24"/>
    </row>
    <row r="316" spans="1:19" ht="14.25" customHeight="1" x14ac:dyDescent="0.35">
      <c r="A316" s="20"/>
      <c r="B316" s="92"/>
      <c r="C316" s="101"/>
      <c r="D316" s="92" t="s">
        <v>67</v>
      </c>
      <c r="E316" s="45">
        <v>0</v>
      </c>
      <c r="F316" s="45">
        <v>0</v>
      </c>
      <c r="G316" s="45">
        <v>0</v>
      </c>
      <c r="H316" s="45">
        <v>0</v>
      </c>
      <c r="I316" s="43">
        <f t="shared" si="2"/>
        <v>0</v>
      </c>
      <c r="J316" s="20"/>
      <c r="K316" s="20"/>
      <c r="L316" s="20"/>
      <c r="M316" s="20"/>
      <c r="N316" s="20"/>
      <c r="O316" s="20"/>
      <c r="P316" s="20"/>
      <c r="Q316" s="24"/>
      <c r="R316" s="24"/>
      <c r="S316" s="24"/>
    </row>
    <row r="317" spans="1:19" ht="14.25" customHeight="1" x14ac:dyDescent="0.35">
      <c r="A317" s="30">
        <f t="shared" ref="A317" si="41">A314+7</f>
        <v>45075</v>
      </c>
      <c r="B317" s="92">
        <f t="shared" ref="B317" si="42">B314+7</f>
        <v>724</v>
      </c>
      <c r="C317" s="101" t="str">
        <f>$C$125</f>
        <v>5% FBS R2</v>
      </c>
      <c r="D317" s="91" t="s">
        <v>65</v>
      </c>
      <c r="E317" s="45">
        <v>46</v>
      </c>
      <c r="F317" s="45">
        <v>42</v>
      </c>
      <c r="G317" s="45">
        <v>47</v>
      </c>
      <c r="H317" s="45">
        <v>46</v>
      </c>
      <c r="I317" s="43">
        <f t="shared" si="2"/>
        <v>45.25</v>
      </c>
      <c r="J317" s="20">
        <f>I317*2*10000</f>
        <v>905000</v>
      </c>
      <c r="K317" s="20">
        <f>$K$125</f>
        <v>3000000</v>
      </c>
      <c r="L317" s="20">
        <f>J317*5</f>
        <v>4525000</v>
      </c>
      <c r="M317" s="22">
        <f>I317/(I317+I318)*100</f>
        <v>97.837837837837839</v>
      </c>
      <c r="N317" s="22">
        <f>I319/I317*100</f>
        <v>0</v>
      </c>
      <c r="O317" s="23">
        <f>3.32*(LOG(L317)-LOG(K317))</f>
        <v>0.59261113168757729</v>
      </c>
      <c r="P317" s="23">
        <f>IF(O317&lt;0,P314,P314+O317)</f>
        <v>110.79438816886061</v>
      </c>
      <c r="Q317" s="38"/>
      <c r="R317" s="38"/>
      <c r="S317" s="39"/>
    </row>
    <row r="318" spans="1:19" ht="14.25" customHeight="1" x14ac:dyDescent="0.35">
      <c r="A318" s="20"/>
      <c r="B318" s="92"/>
      <c r="C318" s="101"/>
      <c r="D318" s="92" t="s">
        <v>66</v>
      </c>
      <c r="E318" s="45">
        <v>1</v>
      </c>
      <c r="F318" s="45">
        <v>0</v>
      </c>
      <c r="G318" s="45">
        <v>1</v>
      </c>
      <c r="H318" s="45">
        <v>2</v>
      </c>
      <c r="I318" s="43">
        <f t="shared" si="2"/>
        <v>1</v>
      </c>
      <c r="J318" s="20"/>
      <c r="K318" s="20"/>
      <c r="L318" s="20"/>
      <c r="M318" s="20"/>
      <c r="N318" s="20"/>
      <c r="O318" s="20"/>
      <c r="P318" s="20"/>
      <c r="Q318" s="24"/>
      <c r="R318" s="24"/>
      <c r="S318" s="24"/>
    </row>
    <row r="319" spans="1:19" ht="14.25" customHeight="1" x14ac:dyDescent="0.35">
      <c r="A319" s="20"/>
      <c r="B319" s="92"/>
      <c r="C319" s="101"/>
      <c r="D319" s="92" t="s">
        <v>67</v>
      </c>
      <c r="E319" s="45">
        <v>0</v>
      </c>
      <c r="F319" s="45">
        <v>0</v>
      </c>
      <c r="G319" s="45">
        <v>0</v>
      </c>
      <c r="H319" s="45">
        <v>0</v>
      </c>
      <c r="I319" s="43">
        <f t="shared" si="2"/>
        <v>0</v>
      </c>
      <c r="J319" s="20"/>
      <c r="K319" s="20"/>
      <c r="L319" s="20"/>
      <c r="M319" s="20"/>
      <c r="N319" s="20"/>
      <c r="O319" s="20"/>
      <c r="P319" s="20"/>
      <c r="Q319" s="24"/>
      <c r="R319" s="24"/>
      <c r="S319" s="24"/>
    </row>
    <row r="320" spans="1:19" ht="14.25" customHeight="1" x14ac:dyDescent="0.35">
      <c r="A320" s="30">
        <f t="shared" ref="A320" si="43">A317+7</f>
        <v>45082</v>
      </c>
      <c r="B320" s="92">
        <f t="shared" ref="B320" si="44">B317+7</f>
        <v>731</v>
      </c>
      <c r="C320" s="101" t="str">
        <f>$C$125</f>
        <v>5% FBS R2</v>
      </c>
      <c r="D320" s="91" t="s">
        <v>65</v>
      </c>
      <c r="E320" s="45">
        <v>69</v>
      </c>
      <c r="F320" s="45">
        <v>73</v>
      </c>
      <c r="G320" s="45">
        <v>82</v>
      </c>
      <c r="H320" s="45">
        <v>90</v>
      </c>
      <c r="I320" s="43">
        <f t="shared" si="2"/>
        <v>78.5</v>
      </c>
      <c r="J320" s="20">
        <f>I320*2*10000</f>
        <v>1570000</v>
      </c>
      <c r="K320" s="20">
        <f>$K$125</f>
        <v>3000000</v>
      </c>
      <c r="L320" s="20">
        <f>J320*5</f>
        <v>7850000</v>
      </c>
      <c r="M320" s="22">
        <f>I320/(I320+I321)*100</f>
        <v>97.819314641744555</v>
      </c>
      <c r="N320" s="22">
        <f>I322/I320*100</f>
        <v>0</v>
      </c>
      <c r="O320" s="23">
        <f>3.32*(LOG(L320)-LOG(K320))</f>
        <v>1.3869246947249592</v>
      </c>
      <c r="P320" s="23">
        <f>IF(O320&lt;0,P317,P317+O320)</f>
        <v>112.18131286358556</v>
      </c>
      <c r="Q320" s="38"/>
      <c r="R320" s="38"/>
      <c r="S320" s="39"/>
    </row>
    <row r="321" spans="1:19" ht="14.25" customHeight="1" x14ac:dyDescent="0.35">
      <c r="A321" s="20"/>
      <c r="B321" s="92"/>
      <c r="C321" s="101"/>
      <c r="D321" s="92" t="s">
        <v>66</v>
      </c>
      <c r="E321" s="45">
        <v>2</v>
      </c>
      <c r="F321" s="45">
        <v>2</v>
      </c>
      <c r="G321" s="45">
        <v>3</v>
      </c>
      <c r="H321" s="45">
        <v>0</v>
      </c>
      <c r="I321" s="43">
        <f t="shared" si="2"/>
        <v>1.75</v>
      </c>
      <c r="J321" s="20"/>
      <c r="K321" s="20"/>
      <c r="L321" s="20"/>
      <c r="M321" s="20"/>
      <c r="N321" s="20"/>
      <c r="O321" s="20"/>
      <c r="P321" s="20"/>
      <c r="Q321" s="24"/>
      <c r="R321" s="24"/>
      <c r="S321" s="24"/>
    </row>
    <row r="322" spans="1:19" ht="14.25" customHeight="1" x14ac:dyDescent="0.35">
      <c r="A322" s="20"/>
      <c r="B322" s="92"/>
      <c r="C322" s="101"/>
      <c r="D322" s="92" t="s">
        <v>67</v>
      </c>
      <c r="E322" s="45">
        <v>0</v>
      </c>
      <c r="F322" s="45">
        <v>0</v>
      </c>
      <c r="G322" s="45">
        <v>0</v>
      </c>
      <c r="H322" s="45">
        <v>0</v>
      </c>
      <c r="I322" s="43">
        <f t="shared" si="2"/>
        <v>0</v>
      </c>
      <c r="J322" s="20"/>
      <c r="K322" s="20"/>
      <c r="L322" s="20"/>
      <c r="M322" s="20"/>
      <c r="N322" s="20"/>
      <c r="O322" s="20"/>
      <c r="P322" s="20"/>
      <c r="Q322" s="24"/>
      <c r="R322" s="24"/>
      <c r="S322" s="24"/>
    </row>
    <row r="323" spans="1:19" ht="15.75" customHeight="1" x14ac:dyDescent="0.35">
      <c r="A323" s="30">
        <f t="shared" ref="A323" si="45">A320+7</f>
        <v>45089</v>
      </c>
      <c r="B323" s="92">
        <f t="shared" ref="B323" si="46">B320+7</f>
        <v>738</v>
      </c>
      <c r="C323" s="101" t="str">
        <f>$C$125</f>
        <v>5% FBS R2</v>
      </c>
      <c r="D323" s="91" t="s">
        <v>65</v>
      </c>
      <c r="E323" s="42">
        <v>94</v>
      </c>
      <c r="F323" s="42">
        <v>60</v>
      </c>
      <c r="G323" s="42">
        <v>65</v>
      </c>
      <c r="H323" s="42">
        <v>64</v>
      </c>
      <c r="I323" s="43">
        <f t="shared" si="2"/>
        <v>70.75</v>
      </c>
      <c r="J323" s="20">
        <f>I323*2*10000</f>
        <v>1415000</v>
      </c>
      <c r="K323" s="20">
        <f>$K$125</f>
        <v>3000000</v>
      </c>
      <c r="L323" s="20">
        <f>J323*5</f>
        <v>7075000</v>
      </c>
      <c r="M323" s="22">
        <f>I323/(I323+I324)*100</f>
        <v>97.250859106529205</v>
      </c>
      <c r="N323" s="22">
        <f>I325/I323*100</f>
        <v>0</v>
      </c>
      <c r="O323" s="23">
        <f>3.32*(LOG(L323)-LOG(K323))</f>
        <v>1.2370492290625295</v>
      </c>
      <c r="P323" s="23">
        <f>IF(O323&lt;0,P320,P320+O323)</f>
        <v>113.4183620926481</v>
      </c>
      <c r="Q323" s="38"/>
      <c r="R323" s="38"/>
      <c r="S323" s="39"/>
    </row>
    <row r="324" spans="1:19" ht="15.75" customHeight="1" x14ac:dyDescent="0.35">
      <c r="A324" s="20"/>
      <c r="B324" s="92"/>
      <c r="C324" s="101"/>
      <c r="D324" s="92" t="s">
        <v>66</v>
      </c>
      <c r="E324" s="42">
        <v>4</v>
      </c>
      <c r="F324" s="42">
        <v>1</v>
      </c>
      <c r="G324" s="42">
        <v>1</v>
      </c>
      <c r="H324" s="42">
        <v>2</v>
      </c>
      <c r="I324" s="43">
        <f t="shared" si="2"/>
        <v>2</v>
      </c>
      <c r="J324" s="20"/>
      <c r="K324" s="20"/>
      <c r="L324" s="20"/>
      <c r="M324" s="20"/>
      <c r="N324" s="20"/>
      <c r="O324" s="20"/>
      <c r="P324" s="20"/>
      <c r="Q324" s="24"/>
      <c r="R324" s="24"/>
      <c r="S324" s="24"/>
    </row>
    <row r="325" spans="1:19" ht="15.75" customHeight="1" x14ac:dyDescent="0.35">
      <c r="A325" s="20"/>
      <c r="B325" s="92"/>
      <c r="C325" s="101"/>
      <c r="D325" s="92" t="s">
        <v>67</v>
      </c>
      <c r="E325" s="42">
        <v>0</v>
      </c>
      <c r="F325" s="42">
        <v>0</v>
      </c>
      <c r="G325" s="42">
        <v>0</v>
      </c>
      <c r="H325" s="42">
        <v>0</v>
      </c>
      <c r="I325" s="43">
        <f t="shared" si="2"/>
        <v>0</v>
      </c>
      <c r="J325" s="20"/>
      <c r="K325" s="20"/>
      <c r="L325" s="20"/>
      <c r="M325" s="20"/>
      <c r="N325" s="20"/>
      <c r="O325" s="20"/>
      <c r="P325" s="20"/>
      <c r="Q325" s="24"/>
      <c r="R325" s="24"/>
      <c r="S325" s="24"/>
    </row>
    <row r="326" spans="1:19" ht="15.75" customHeight="1" x14ac:dyDescent="0.35">
      <c r="A326" s="30">
        <f t="shared" ref="A326" si="47">A323+7</f>
        <v>45096</v>
      </c>
      <c r="B326" s="92">
        <f t="shared" ref="B326" si="48">B323+7</f>
        <v>745</v>
      </c>
      <c r="C326" s="101" t="str">
        <f>$C$125</f>
        <v>5% FBS R2</v>
      </c>
      <c r="D326" s="91" t="s">
        <v>65</v>
      </c>
      <c r="E326" s="42">
        <v>48</v>
      </c>
      <c r="F326" s="42">
        <v>41</v>
      </c>
      <c r="G326" s="42">
        <v>53</v>
      </c>
      <c r="H326" s="42">
        <v>43</v>
      </c>
      <c r="I326" s="43">
        <f t="shared" si="2"/>
        <v>46.25</v>
      </c>
      <c r="J326" s="20">
        <f>I326*2*10000</f>
        <v>925000</v>
      </c>
      <c r="K326" s="20">
        <f>$K$125</f>
        <v>3000000</v>
      </c>
      <c r="L326" s="20">
        <f>J326*5</f>
        <v>4625000</v>
      </c>
      <c r="M326" s="22">
        <f>I326/(I326+I327)*100</f>
        <v>98.40425531914893</v>
      </c>
      <c r="N326" s="22">
        <f>I328/I326*100</f>
        <v>0</v>
      </c>
      <c r="O326" s="23">
        <f>3.32*(LOG(L326)-LOG(K326))</f>
        <v>0.62412840141989023</v>
      </c>
      <c r="P326" s="23">
        <f>IF(O326&lt;0,P323,P323+O326)</f>
        <v>114.04249049406799</v>
      </c>
      <c r="Q326" s="38"/>
      <c r="R326" s="38"/>
      <c r="S326" s="39"/>
    </row>
    <row r="327" spans="1:19" ht="15.75" customHeight="1" x14ac:dyDescent="0.35">
      <c r="A327" s="20"/>
      <c r="B327" s="92"/>
      <c r="C327" s="101"/>
      <c r="D327" s="92" t="s">
        <v>66</v>
      </c>
      <c r="E327" s="42">
        <v>2</v>
      </c>
      <c r="F327" s="42">
        <v>1</v>
      </c>
      <c r="G327" s="42">
        <v>0</v>
      </c>
      <c r="H327" s="42">
        <v>0</v>
      </c>
      <c r="I327" s="43">
        <f t="shared" si="2"/>
        <v>0.75</v>
      </c>
      <c r="J327" s="20"/>
      <c r="K327" s="20"/>
      <c r="L327" s="20"/>
      <c r="M327" s="20"/>
      <c r="N327" s="20"/>
      <c r="O327" s="20"/>
      <c r="P327" s="20"/>
      <c r="Q327" s="24"/>
      <c r="R327" s="24"/>
      <c r="S327" s="24"/>
    </row>
    <row r="328" spans="1:19" ht="15.75" customHeight="1" x14ac:dyDescent="0.35">
      <c r="A328" s="20"/>
      <c r="B328" s="92"/>
      <c r="C328" s="101"/>
      <c r="D328" s="92" t="s">
        <v>67</v>
      </c>
      <c r="E328" s="42">
        <v>0</v>
      </c>
      <c r="F328" s="42">
        <v>0</v>
      </c>
      <c r="G328" s="42">
        <v>0</v>
      </c>
      <c r="H328" s="42">
        <v>0</v>
      </c>
      <c r="I328" s="43">
        <f t="shared" si="2"/>
        <v>0</v>
      </c>
      <c r="J328" s="20"/>
      <c r="K328" s="20"/>
      <c r="L328" s="20"/>
      <c r="M328" s="20"/>
      <c r="N328" s="20"/>
      <c r="O328" s="20"/>
      <c r="P328" s="20"/>
      <c r="Q328" s="24"/>
      <c r="R328" s="24"/>
      <c r="S328" s="24"/>
    </row>
    <row r="329" spans="1:19" ht="15.75" customHeight="1" x14ac:dyDescent="0.35">
      <c r="A329" s="30">
        <f t="shared" ref="A329" si="49">A326+7</f>
        <v>45103</v>
      </c>
      <c r="B329" s="92">
        <f t="shared" ref="B329" si="50">B326+7</f>
        <v>752</v>
      </c>
      <c r="C329" s="101" t="str">
        <f>$C$125</f>
        <v>5% FBS R2</v>
      </c>
      <c r="D329" s="91" t="s">
        <v>65</v>
      </c>
      <c r="E329" s="42">
        <v>30</v>
      </c>
      <c r="F329" s="42">
        <v>32</v>
      </c>
      <c r="G329" s="42">
        <v>38</v>
      </c>
      <c r="H329" s="42">
        <v>36</v>
      </c>
      <c r="I329" s="43">
        <f t="shared" si="2"/>
        <v>34</v>
      </c>
      <c r="J329" s="20">
        <f>I329*2*10000</f>
        <v>680000</v>
      </c>
      <c r="K329" s="20">
        <f>$K$125</f>
        <v>3000000</v>
      </c>
      <c r="L329" s="20">
        <f>J329*5</f>
        <v>3400000</v>
      </c>
      <c r="M329" s="22">
        <f>I329/(I329+I330)*100</f>
        <v>97.841726618705039</v>
      </c>
      <c r="N329" s="22">
        <f>I331/I329*100</f>
        <v>0</v>
      </c>
      <c r="O329" s="23">
        <f>3.32*(LOG(L329)-LOG(K329))</f>
        <v>0.18046743891100794</v>
      </c>
      <c r="P329" s="23">
        <f>IF(O329&lt;0,P326,P326+O329)</f>
        <v>114.222957932979</v>
      </c>
      <c r="Q329" s="38"/>
      <c r="R329" s="38"/>
      <c r="S329" s="39"/>
    </row>
    <row r="330" spans="1:19" ht="15.75" customHeight="1" x14ac:dyDescent="0.35">
      <c r="A330" s="20"/>
      <c r="B330" s="92"/>
      <c r="C330" s="101"/>
      <c r="D330" s="92" t="s">
        <v>66</v>
      </c>
      <c r="E330" s="42">
        <v>0</v>
      </c>
      <c r="F330" s="42">
        <v>2</v>
      </c>
      <c r="G330" s="42">
        <v>1</v>
      </c>
      <c r="H330" s="42">
        <v>0</v>
      </c>
      <c r="I330" s="43">
        <f t="shared" si="2"/>
        <v>0.75</v>
      </c>
      <c r="J330" s="20"/>
      <c r="K330" s="20"/>
      <c r="L330" s="20"/>
      <c r="M330" s="20"/>
      <c r="N330" s="20"/>
      <c r="O330" s="20"/>
      <c r="P330" s="20"/>
      <c r="Q330" s="24"/>
      <c r="R330" s="24"/>
      <c r="S330" s="24"/>
    </row>
    <row r="331" spans="1:19" ht="15.75" customHeight="1" x14ac:dyDescent="0.35">
      <c r="A331" s="20"/>
      <c r="B331" s="92"/>
      <c r="C331" s="101"/>
      <c r="D331" s="92" t="s">
        <v>67</v>
      </c>
      <c r="E331" s="42">
        <v>0</v>
      </c>
      <c r="F331" s="42">
        <v>0</v>
      </c>
      <c r="G331" s="42">
        <v>0</v>
      </c>
      <c r="H331" s="42">
        <v>0</v>
      </c>
      <c r="I331" s="43">
        <f t="shared" si="2"/>
        <v>0</v>
      </c>
      <c r="J331" s="20"/>
      <c r="K331" s="20"/>
      <c r="L331" s="20"/>
      <c r="M331" s="20"/>
      <c r="N331" s="20"/>
      <c r="O331" s="20"/>
      <c r="P331" s="20"/>
      <c r="Q331" s="24"/>
      <c r="R331" s="24"/>
      <c r="S331" s="24"/>
    </row>
    <row r="332" spans="1:19" ht="15.75" customHeight="1" x14ac:dyDescent="0.35">
      <c r="A332" s="30">
        <f>A329+9</f>
        <v>45112</v>
      </c>
      <c r="B332" s="92">
        <f>B329+9</f>
        <v>761</v>
      </c>
      <c r="C332" s="101" t="str">
        <f>$C$125</f>
        <v>5% FBS R2</v>
      </c>
      <c r="D332" s="91" t="s">
        <v>65</v>
      </c>
      <c r="E332" s="42">
        <v>22</v>
      </c>
      <c r="F332" s="42">
        <v>22</v>
      </c>
      <c r="G332" s="42">
        <v>21</v>
      </c>
      <c r="H332" s="42">
        <v>33</v>
      </c>
      <c r="I332" s="43">
        <f t="shared" si="2"/>
        <v>24.5</v>
      </c>
      <c r="J332" s="20">
        <f>I332*2*10000</f>
        <v>490000</v>
      </c>
      <c r="K332" s="20">
        <f>$K$125</f>
        <v>3000000</v>
      </c>
      <c r="L332" s="20">
        <f>J332*5</f>
        <v>2450000</v>
      </c>
      <c r="M332" s="22">
        <f>I332/(I332+I333)*100</f>
        <v>98</v>
      </c>
      <c r="N332" s="22">
        <f>I334/I332*100</f>
        <v>0</v>
      </c>
      <c r="O332" s="23">
        <f>3.32*(LOG(L332)-LOG(K332))</f>
        <v>-0.29201116557903162</v>
      </c>
      <c r="P332" s="23">
        <f>IF(O332&lt;0,P329,P329+O332)</f>
        <v>114.222957932979</v>
      </c>
      <c r="Q332" s="38"/>
      <c r="R332" s="38"/>
      <c r="S332" s="39"/>
    </row>
    <row r="333" spans="1:19" ht="15.75" customHeight="1" x14ac:dyDescent="0.35">
      <c r="A333" s="20"/>
      <c r="B333" s="92"/>
      <c r="C333" s="101"/>
      <c r="D333" s="92" t="s">
        <v>66</v>
      </c>
      <c r="E333" s="42">
        <v>0</v>
      </c>
      <c r="F333" s="42">
        <v>0</v>
      </c>
      <c r="G333" s="42">
        <v>2</v>
      </c>
      <c r="H333" s="42">
        <v>0</v>
      </c>
      <c r="I333" s="43">
        <f t="shared" si="2"/>
        <v>0.5</v>
      </c>
      <c r="J333" s="20"/>
      <c r="K333" s="20"/>
      <c r="L333" s="20"/>
      <c r="M333" s="20"/>
      <c r="N333" s="20"/>
      <c r="O333" s="20"/>
      <c r="P333" s="20"/>
      <c r="Q333" s="24"/>
      <c r="R333" s="24"/>
      <c r="S333" s="24"/>
    </row>
    <row r="334" spans="1:19" ht="15.75" customHeight="1" x14ac:dyDescent="0.35">
      <c r="A334" s="20"/>
      <c r="B334" s="92"/>
      <c r="C334" s="101"/>
      <c r="D334" s="92" t="s">
        <v>67</v>
      </c>
      <c r="E334" s="42">
        <v>0</v>
      </c>
      <c r="F334" s="42">
        <v>0</v>
      </c>
      <c r="G334" s="42">
        <v>0</v>
      </c>
      <c r="H334" s="42">
        <v>0</v>
      </c>
      <c r="I334" s="43">
        <f t="shared" si="2"/>
        <v>0</v>
      </c>
      <c r="J334" s="20"/>
      <c r="K334" s="20"/>
      <c r="L334" s="20"/>
      <c r="M334" s="20"/>
      <c r="N334" s="20"/>
      <c r="O334" s="20"/>
      <c r="P334" s="20"/>
      <c r="Q334" s="24"/>
      <c r="R334" s="24"/>
      <c r="S334" s="24"/>
    </row>
    <row r="335" spans="1:19" ht="15.75" customHeight="1" x14ac:dyDescent="0.35">
      <c r="A335" s="30">
        <f>A332+5</f>
        <v>45117</v>
      </c>
      <c r="B335" s="92">
        <f>B332+5</f>
        <v>766</v>
      </c>
      <c r="C335" s="101" t="str">
        <f>$C$125</f>
        <v>5% FBS R2</v>
      </c>
      <c r="D335" s="91" t="s">
        <v>65</v>
      </c>
      <c r="E335" s="42">
        <v>50</v>
      </c>
      <c r="F335" s="42">
        <v>48</v>
      </c>
      <c r="G335" s="42">
        <v>50</v>
      </c>
      <c r="H335" s="42">
        <v>49</v>
      </c>
      <c r="I335" s="43">
        <f t="shared" si="2"/>
        <v>49.25</v>
      </c>
      <c r="J335" s="20">
        <f>I335*2*10000</f>
        <v>985000</v>
      </c>
      <c r="K335" s="20">
        <v>2450000</v>
      </c>
      <c r="L335" s="20">
        <f>J335*5</f>
        <v>4925000</v>
      </c>
      <c r="M335" s="22">
        <f>I335/(I335+I336)*100</f>
        <v>98.5</v>
      </c>
      <c r="N335" s="22">
        <f>I337/I335*100</f>
        <v>0</v>
      </c>
      <c r="O335" s="23">
        <f>3.32*(LOG(L335)-LOG(K335))</f>
        <v>1.0067572995574061</v>
      </c>
      <c r="P335" s="23">
        <f>IF(O335&lt;0,P332,P332+O335)</f>
        <v>115.22971523253641</v>
      </c>
      <c r="Q335" s="38"/>
      <c r="R335" s="38"/>
      <c r="S335" s="39"/>
    </row>
    <row r="336" spans="1:19" ht="15.75" customHeight="1" x14ac:dyDescent="0.35">
      <c r="A336" s="20"/>
      <c r="B336" s="92"/>
      <c r="C336" s="101"/>
      <c r="D336" s="92" t="s">
        <v>66</v>
      </c>
      <c r="E336" s="42">
        <v>0</v>
      </c>
      <c r="F336" s="42">
        <v>1</v>
      </c>
      <c r="G336" s="42">
        <v>1</v>
      </c>
      <c r="H336" s="42">
        <v>1</v>
      </c>
      <c r="I336" s="43">
        <f t="shared" si="2"/>
        <v>0.75</v>
      </c>
      <c r="J336" s="20"/>
      <c r="K336" s="20"/>
      <c r="L336" s="20"/>
      <c r="M336" s="20"/>
      <c r="N336" s="20"/>
      <c r="O336" s="20"/>
      <c r="P336" s="20"/>
      <c r="Q336" s="24"/>
      <c r="R336" s="24"/>
      <c r="S336" s="24"/>
    </row>
    <row r="337" spans="1:19" ht="15.75" customHeight="1" x14ac:dyDescent="0.35">
      <c r="A337" s="20"/>
      <c r="B337" s="92"/>
      <c r="C337" s="101"/>
      <c r="D337" s="92" t="s">
        <v>67</v>
      </c>
      <c r="E337" s="42">
        <v>0</v>
      </c>
      <c r="F337" s="42">
        <v>0</v>
      </c>
      <c r="G337" s="42">
        <v>0</v>
      </c>
      <c r="H337" s="42">
        <v>0</v>
      </c>
      <c r="I337" s="43">
        <f t="shared" si="2"/>
        <v>0</v>
      </c>
      <c r="J337" s="20"/>
      <c r="K337" s="20"/>
      <c r="L337" s="20"/>
      <c r="M337" s="20"/>
      <c r="N337" s="20"/>
      <c r="O337" s="20"/>
      <c r="P337" s="20"/>
      <c r="Q337" s="24"/>
      <c r="R337" s="24"/>
      <c r="S337" s="24"/>
    </row>
    <row r="338" spans="1:19" ht="15.75" customHeight="1" x14ac:dyDescent="0.35">
      <c r="A338" s="30">
        <f t="shared" ref="A338" si="51">A335+7</f>
        <v>45124</v>
      </c>
      <c r="B338" s="92">
        <f t="shared" ref="B338" si="52">B335+7</f>
        <v>773</v>
      </c>
      <c r="C338" s="101" t="str">
        <f>$C$125</f>
        <v>5% FBS R2</v>
      </c>
      <c r="D338" s="91" t="s">
        <v>65</v>
      </c>
      <c r="E338" s="42">
        <v>120</v>
      </c>
      <c r="F338" s="42">
        <v>122</v>
      </c>
      <c r="G338" s="42">
        <v>145</v>
      </c>
      <c r="H338" s="42">
        <v>109</v>
      </c>
      <c r="I338" s="43">
        <f t="shared" si="2"/>
        <v>124</v>
      </c>
      <c r="J338" s="20">
        <f>I338*2*10000</f>
        <v>2480000</v>
      </c>
      <c r="K338" s="20">
        <f>$K$125</f>
        <v>3000000</v>
      </c>
      <c r="L338" s="20">
        <f>J338*5</f>
        <v>12400000</v>
      </c>
      <c r="M338" s="22">
        <f>I338/(I338+I339)*100</f>
        <v>98.608349900596423</v>
      </c>
      <c r="N338" s="22">
        <f>I340/I338*100</f>
        <v>0</v>
      </c>
      <c r="O338" s="23">
        <f>3.32*(LOG(L338)-LOG(K338))</f>
        <v>2.0461174290693394</v>
      </c>
      <c r="P338" s="23">
        <f>IF(O338&lt;0,P335,P335+O338)</f>
        <v>117.27583266160575</v>
      </c>
      <c r="Q338" s="38"/>
      <c r="R338" s="38"/>
      <c r="S338" s="39"/>
    </row>
    <row r="339" spans="1:19" ht="15.75" customHeight="1" x14ac:dyDescent="0.35">
      <c r="A339" s="20"/>
      <c r="B339" s="92"/>
      <c r="C339" s="101"/>
      <c r="D339" s="92" t="s">
        <v>66</v>
      </c>
      <c r="E339" s="42">
        <v>2</v>
      </c>
      <c r="F339" s="42">
        <v>1</v>
      </c>
      <c r="G339" s="42">
        <v>3</v>
      </c>
      <c r="H339" s="42">
        <v>1</v>
      </c>
      <c r="I339" s="43">
        <f t="shared" si="2"/>
        <v>1.75</v>
      </c>
      <c r="J339" s="20"/>
      <c r="K339" s="20"/>
      <c r="L339" s="20"/>
      <c r="M339" s="20"/>
      <c r="N339" s="20"/>
      <c r="O339" s="20"/>
      <c r="P339" s="20"/>
      <c r="Q339" s="24"/>
      <c r="R339" s="24"/>
      <c r="S339" s="24"/>
    </row>
    <row r="340" spans="1:19" ht="15.75" customHeight="1" x14ac:dyDescent="0.35">
      <c r="A340" s="20"/>
      <c r="B340" s="92"/>
      <c r="C340" s="101"/>
      <c r="D340" s="92" t="s">
        <v>67</v>
      </c>
      <c r="E340" s="42">
        <v>0</v>
      </c>
      <c r="F340" s="42">
        <v>0</v>
      </c>
      <c r="G340" s="42">
        <v>0</v>
      </c>
      <c r="H340" s="42">
        <v>0</v>
      </c>
      <c r="I340" s="43">
        <f t="shared" si="2"/>
        <v>0</v>
      </c>
      <c r="J340" s="20"/>
      <c r="K340" s="20"/>
      <c r="L340" s="20"/>
      <c r="M340" s="20"/>
      <c r="N340" s="20"/>
      <c r="O340" s="20"/>
      <c r="P340" s="20"/>
      <c r="Q340" s="24"/>
      <c r="R340" s="24"/>
      <c r="S340" s="24"/>
    </row>
    <row r="341" spans="1:19" ht="15.75" customHeight="1" x14ac:dyDescent="0.35">
      <c r="A341" s="30">
        <f t="shared" ref="A341" si="53">A338+7</f>
        <v>45131</v>
      </c>
      <c r="B341" s="92">
        <f t="shared" ref="B341" si="54">B338+7</f>
        <v>780</v>
      </c>
      <c r="C341" s="101" t="str">
        <f t="shared" ref="C341" si="55">$C$125</f>
        <v>5% FBS R2</v>
      </c>
      <c r="D341" s="91" t="s">
        <v>65</v>
      </c>
      <c r="E341" s="42">
        <v>39</v>
      </c>
      <c r="F341" s="42">
        <v>34</v>
      </c>
      <c r="G341" s="42">
        <v>47</v>
      </c>
      <c r="H341" s="42">
        <v>46</v>
      </c>
      <c r="I341" s="43">
        <f t="shared" ref="I341:I349" si="56">AVERAGE(E341:H341)</f>
        <v>41.5</v>
      </c>
      <c r="J341" s="20">
        <f t="shared" ref="J341" si="57">I341*2*10000</f>
        <v>830000</v>
      </c>
      <c r="K341" s="20">
        <f t="shared" ref="K341" si="58">$K$125</f>
        <v>3000000</v>
      </c>
      <c r="L341" s="20">
        <f t="shared" ref="L341" si="59">J341*5</f>
        <v>4150000</v>
      </c>
      <c r="M341" s="22">
        <f t="shared" ref="M341" si="60">I341/(I341+I342)*100</f>
        <v>95.95375722543352</v>
      </c>
      <c r="N341" s="22">
        <f>I343/I341*100</f>
        <v>0</v>
      </c>
      <c r="O341" s="23">
        <f t="shared" ref="O341" si="61">3.32*(LOG(L341)-LOG(K341))</f>
        <v>0.46787711541486721</v>
      </c>
      <c r="P341" s="23">
        <f>IF(O341&lt;0,P338,P338+O341)</f>
        <v>117.74370977702061</v>
      </c>
      <c r="Q341" s="38"/>
      <c r="R341" s="38"/>
      <c r="S341" s="39"/>
    </row>
    <row r="342" spans="1:19" ht="15.75" customHeight="1" x14ac:dyDescent="0.35">
      <c r="A342" s="20"/>
      <c r="B342" s="92"/>
      <c r="C342" s="101"/>
      <c r="D342" s="92" t="s">
        <v>66</v>
      </c>
      <c r="E342" s="42">
        <v>1</v>
      </c>
      <c r="F342" s="42">
        <v>0</v>
      </c>
      <c r="G342" s="42">
        <v>3</v>
      </c>
      <c r="H342" s="42">
        <v>3</v>
      </c>
      <c r="I342" s="43">
        <f t="shared" si="56"/>
        <v>1.75</v>
      </c>
      <c r="J342" s="20"/>
      <c r="K342" s="20"/>
      <c r="L342" s="20"/>
      <c r="M342" s="20"/>
      <c r="N342" s="20"/>
      <c r="O342" s="20"/>
      <c r="P342" s="20"/>
      <c r="Q342" s="24"/>
      <c r="R342" s="24"/>
      <c r="S342" s="24"/>
    </row>
    <row r="343" spans="1:19" ht="15.75" customHeight="1" x14ac:dyDescent="0.35">
      <c r="A343" s="20"/>
      <c r="B343" s="92"/>
      <c r="C343" s="101"/>
      <c r="D343" s="92" t="s">
        <v>67</v>
      </c>
      <c r="E343" s="42">
        <v>0</v>
      </c>
      <c r="F343" s="42">
        <v>0</v>
      </c>
      <c r="G343" s="42">
        <v>0</v>
      </c>
      <c r="H343" s="42">
        <v>0</v>
      </c>
      <c r="I343" s="43">
        <f t="shared" si="56"/>
        <v>0</v>
      </c>
      <c r="J343" s="20"/>
      <c r="K343" s="20"/>
      <c r="L343" s="20"/>
      <c r="M343" s="20"/>
      <c r="N343" s="20"/>
      <c r="O343" s="20"/>
      <c r="P343" s="20"/>
      <c r="Q343" s="24"/>
      <c r="R343" s="24"/>
      <c r="S343" s="24"/>
    </row>
    <row r="344" spans="1:19" ht="15.75" customHeight="1" x14ac:dyDescent="0.35">
      <c r="A344" s="30">
        <f t="shared" ref="A344" si="62">A341+7</f>
        <v>45138</v>
      </c>
      <c r="B344" s="92">
        <f t="shared" ref="B344" si="63">B341+7</f>
        <v>787</v>
      </c>
      <c r="C344" s="101" t="str">
        <f t="shared" ref="C344" si="64">$C$125</f>
        <v>5% FBS R2</v>
      </c>
      <c r="D344" s="91" t="s">
        <v>65</v>
      </c>
      <c r="E344" s="42">
        <v>47</v>
      </c>
      <c r="F344" s="42">
        <v>53</v>
      </c>
      <c r="G344" s="42">
        <v>38</v>
      </c>
      <c r="H344" s="42">
        <v>32</v>
      </c>
      <c r="I344" s="43">
        <f t="shared" si="56"/>
        <v>42.5</v>
      </c>
      <c r="J344" s="20">
        <f t="shared" ref="J344" si="65">I344*2*10000</f>
        <v>850000</v>
      </c>
      <c r="K344" s="20">
        <f t="shared" ref="K344" si="66">$K$125</f>
        <v>3000000</v>
      </c>
      <c r="L344" s="20">
        <f t="shared" ref="L344" si="67">J344*5</f>
        <v>4250000</v>
      </c>
      <c r="M344" s="22">
        <f t="shared" ref="M344" si="68">I344/(I344+I345)*100</f>
        <v>100</v>
      </c>
      <c r="N344" s="22">
        <f>I346/I344*100</f>
        <v>0</v>
      </c>
      <c r="O344" s="23">
        <f t="shared" ref="O344" si="69">3.32*(LOG(L344)-LOG(K344))</f>
        <v>0.5022086820977546</v>
      </c>
      <c r="P344" s="23">
        <f t="shared" ref="P344" si="70">IF(O344&lt;0,P341,P341+O344)</f>
        <v>118.24591845911837</v>
      </c>
      <c r="Q344" s="38"/>
      <c r="R344" s="38"/>
      <c r="S344" s="39"/>
    </row>
    <row r="345" spans="1:19" ht="15.75" customHeight="1" x14ac:dyDescent="0.35">
      <c r="A345" s="20"/>
      <c r="B345" s="92"/>
      <c r="C345" s="101"/>
      <c r="D345" s="92" t="s">
        <v>66</v>
      </c>
      <c r="E345" s="42">
        <v>0</v>
      </c>
      <c r="F345" s="42">
        <v>0</v>
      </c>
      <c r="G345" s="42">
        <v>0</v>
      </c>
      <c r="H345" s="42">
        <v>0</v>
      </c>
      <c r="I345" s="43">
        <f t="shared" si="56"/>
        <v>0</v>
      </c>
      <c r="J345" s="20"/>
      <c r="K345" s="20"/>
      <c r="L345" s="20"/>
      <c r="M345" s="20"/>
      <c r="N345" s="20"/>
      <c r="O345" s="20"/>
      <c r="P345" s="20"/>
      <c r="Q345" s="24"/>
      <c r="R345" s="24"/>
      <c r="S345" s="24"/>
    </row>
    <row r="346" spans="1:19" ht="15.75" customHeight="1" x14ac:dyDescent="0.35">
      <c r="A346" s="20"/>
      <c r="B346" s="92"/>
      <c r="C346" s="101"/>
      <c r="D346" s="92" t="s">
        <v>67</v>
      </c>
      <c r="E346" s="42">
        <v>0</v>
      </c>
      <c r="F346" s="42">
        <v>0</v>
      </c>
      <c r="G346" s="42">
        <v>0</v>
      </c>
      <c r="H346" s="42">
        <v>0</v>
      </c>
      <c r="I346" s="43">
        <f t="shared" si="56"/>
        <v>0</v>
      </c>
      <c r="J346" s="20"/>
      <c r="K346" s="20"/>
      <c r="L346" s="20"/>
      <c r="M346" s="20"/>
      <c r="N346" s="20"/>
      <c r="O346" s="20"/>
      <c r="P346" s="20"/>
      <c r="Q346" s="24"/>
      <c r="R346" s="24"/>
      <c r="S346" s="24"/>
    </row>
    <row r="347" spans="1:19" ht="15.75" customHeight="1" x14ac:dyDescent="0.35">
      <c r="A347" s="30">
        <f t="shared" ref="A347" si="71">A344+7</f>
        <v>45145</v>
      </c>
      <c r="B347" s="92">
        <f t="shared" ref="B347" si="72">B344+7</f>
        <v>794</v>
      </c>
      <c r="C347" s="101" t="str">
        <f t="shared" ref="C347" si="73">$C$125</f>
        <v>5% FBS R2</v>
      </c>
      <c r="D347" s="91" t="s">
        <v>65</v>
      </c>
      <c r="E347" s="42">
        <v>56</v>
      </c>
      <c r="F347" s="42">
        <v>61</v>
      </c>
      <c r="G347" s="42">
        <v>60</v>
      </c>
      <c r="H347" s="42">
        <v>46</v>
      </c>
      <c r="I347" s="43">
        <f t="shared" si="56"/>
        <v>55.75</v>
      </c>
      <c r="J347" s="20">
        <f t="shared" ref="J347" si="74">I347*2*10000</f>
        <v>1115000</v>
      </c>
      <c r="K347" s="20">
        <f t="shared" ref="K347" si="75">$K$125</f>
        <v>3000000</v>
      </c>
      <c r="L347" s="20">
        <f t="shared" ref="L347" si="76">J347*5</f>
        <v>5575000</v>
      </c>
      <c r="M347" s="22">
        <f t="shared" ref="M347" si="77">I347/(I347+I348)*100</f>
        <v>96.956521739130437</v>
      </c>
      <c r="N347" s="22">
        <f>I349/I347*100</f>
        <v>0</v>
      </c>
      <c r="O347" s="23">
        <f t="shared" ref="O347" si="78">3.32*(LOG(L347)-LOG(K347))</f>
        <v>0.89349040844177796</v>
      </c>
      <c r="P347" s="23">
        <f t="shared" ref="P347" si="79">IF(O347&lt;0,P344,P344+O347)</f>
        <v>119.13940886756015</v>
      </c>
      <c r="Q347" s="38"/>
      <c r="R347" s="38"/>
      <c r="S347" s="39"/>
    </row>
    <row r="348" spans="1:19" ht="15.75" customHeight="1" x14ac:dyDescent="0.35">
      <c r="A348" s="20"/>
      <c r="B348" s="92"/>
      <c r="C348" s="101"/>
      <c r="D348" s="92" t="s">
        <v>66</v>
      </c>
      <c r="E348" s="42">
        <v>0</v>
      </c>
      <c r="F348" s="42">
        <v>2</v>
      </c>
      <c r="G348" s="42">
        <v>1</v>
      </c>
      <c r="H348" s="42">
        <v>4</v>
      </c>
      <c r="I348" s="43">
        <f t="shared" si="56"/>
        <v>1.75</v>
      </c>
      <c r="J348" s="20"/>
      <c r="K348" s="20"/>
      <c r="L348" s="20"/>
      <c r="M348" s="20"/>
      <c r="N348" s="20"/>
      <c r="O348" s="20"/>
      <c r="P348" s="20"/>
      <c r="Q348" s="24"/>
      <c r="R348" s="24"/>
      <c r="S348" s="24"/>
    </row>
    <row r="349" spans="1:19" ht="15.75" customHeight="1" x14ac:dyDescent="0.35">
      <c r="A349" s="20"/>
      <c r="B349" s="92"/>
      <c r="C349" s="101"/>
      <c r="D349" s="92" t="s">
        <v>67</v>
      </c>
      <c r="E349" s="42">
        <v>0</v>
      </c>
      <c r="F349" s="42">
        <v>0</v>
      </c>
      <c r="G349" s="42">
        <v>0</v>
      </c>
      <c r="H349" s="42">
        <v>0</v>
      </c>
      <c r="I349" s="43">
        <f t="shared" si="56"/>
        <v>0</v>
      </c>
      <c r="J349" s="20"/>
      <c r="K349" s="20"/>
      <c r="L349" s="20"/>
      <c r="M349" s="20"/>
      <c r="N349" s="20"/>
      <c r="O349" s="20"/>
      <c r="P349" s="20"/>
      <c r="Q349" s="24"/>
      <c r="R349" s="24"/>
      <c r="S349" s="24"/>
    </row>
    <row r="350" spans="1:19" ht="15.75" customHeight="1" x14ac:dyDescent="0.35">
      <c r="A350" s="30">
        <f t="shared" ref="A350" si="80">A347+7</f>
        <v>45152</v>
      </c>
      <c r="B350" s="92">
        <f t="shared" ref="B350" si="81">B347+7</f>
        <v>801</v>
      </c>
      <c r="C350" s="101" t="str">
        <f t="shared" ref="C350:C359" si="82">$C$125</f>
        <v>5% FBS R2</v>
      </c>
      <c r="D350" s="91" t="s">
        <v>65</v>
      </c>
      <c r="E350" s="42">
        <v>33</v>
      </c>
      <c r="F350" s="42">
        <v>26</v>
      </c>
      <c r="G350" s="42">
        <v>30</v>
      </c>
      <c r="H350" s="42">
        <v>39</v>
      </c>
      <c r="I350" s="43">
        <f t="shared" ref="I350:I361" si="83">AVERAGE(E350:H350)</f>
        <v>32</v>
      </c>
      <c r="J350" s="20">
        <f t="shared" ref="J350" si="84">I350*2*10000</f>
        <v>640000</v>
      </c>
      <c r="K350" s="20">
        <f t="shared" ref="K350:K359" si="85">$K$125</f>
        <v>3000000</v>
      </c>
      <c r="L350" s="20">
        <f t="shared" ref="L350" si="86">J350*5</f>
        <v>3200000</v>
      </c>
      <c r="M350" s="22">
        <f t="shared" ref="M350" si="87">I350/(I350+I351)*100</f>
        <v>99.224806201550393</v>
      </c>
      <c r="N350" s="22">
        <f>I352/I350*100</f>
        <v>0</v>
      </c>
      <c r="O350" s="23">
        <f t="shared" ref="O350" si="88">3.32*(LOG(L350)-LOG(K350))</f>
        <v>9.3055362352808965E-2</v>
      </c>
      <c r="P350" s="23">
        <f t="shared" ref="P350" si="89">IF(O350&lt;0,P347,P347+O350)</f>
        <v>119.23246422991296</v>
      </c>
      <c r="Q350" s="38"/>
      <c r="R350" s="38"/>
      <c r="S350" s="39"/>
    </row>
    <row r="351" spans="1:19" ht="15.75" customHeight="1" x14ac:dyDescent="0.35">
      <c r="A351" s="20"/>
      <c r="B351" s="92"/>
      <c r="C351" s="101"/>
      <c r="D351" s="92" t="s">
        <v>66</v>
      </c>
      <c r="E351" s="42">
        <v>0</v>
      </c>
      <c r="F351" s="42">
        <v>1</v>
      </c>
      <c r="G351" s="42">
        <v>0</v>
      </c>
      <c r="H351" s="42">
        <v>0</v>
      </c>
      <c r="I351" s="43">
        <f t="shared" si="83"/>
        <v>0.25</v>
      </c>
      <c r="J351" s="20"/>
      <c r="K351" s="20"/>
      <c r="L351" s="20"/>
      <c r="M351" s="20"/>
      <c r="N351" s="20"/>
      <c r="O351" s="20"/>
      <c r="P351" s="20"/>
      <c r="Q351" s="24"/>
      <c r="R351" s="24"/>
      <c r="S351" s="24"/>
    </row>
    <row r="352" spans="1:19" ht="15.75" customHeight="1" x14ac:dyDescent="0.35">
      <c r="A352" s="20"/>
      <c r="B352" s="92"/>
      <c r="C352" s="101"/>
      <c r="D352" s="92" t="s">
        <v>67</v>
      </c>
      <c r="E352" s="42">
        <v>0</v>
      </c>
      <c r="F352" s="42">
        <v>0</v>
      </c>
      <c r="G352" s="42">
        <v>0</v>
      </c>
      <c r="H352" s="42">
        <v>0</v>
      </c>
      <c r="I352" s="43">
        <f t="shared" si="83"/>
        <v>0</v>
      </c>
      <c r="J352" s="20"/>
      <c r="K352" s="20"/>
      <c r="L352" s="20"/>
      <c r="M352" s="20"/>
      <c r="N352" s="20"/>
      <c r="O352" s="20"/>
      <c r="P352" s="20"/>
      <c r="Q352" s="24"/>
      <c r="R352" s="24"/>
      <c r="S352" s="24"/>
    </row>
    <row r="353" spans="1:19" ht="15.75" customHeight="1" x14ac:dyDescent="0.35">
      <c r="A353" s="30">
        <f t="shared" ref="A353" si="90">A350+7</f>
        <v>45159</v>
      </c>
      <c r="B353" s="92">
        <f t="shared" ref="B353" si="91">B350+7</f>
        <v>808</v>
      </c>
      <c r="C353" s="101" t="str">
        <f t="shared" si="82"/>
        <v>5% FBS R2</v>
      </c>
      <c r="D353" s="91" t="s">
        <v>65</v>
      </c>
      <c r="E353" s="42">
        <v>55</v>
      </c>
      <c r="F353" s="42">
        <v>69</v>
      </c>
      <c r="G353" s="42">
        <v>60</v>
      </c>
      <c r="H353" s="42">
        <v>62</v>
      </c>
      <c r="I353" s="43">
        <f t="shared" si="83"/>
        <v>61.5</v>
      </c>
      <c r="J353" s="20">
        <f t="shared" ref="J353" si="92">I353*2*10000</f>
        <v>1230000</v>
      </c>
      <c r="K353" s="20">
        <f t="shared" si="85"/>
        <v>3000000</v>
      </c>
      <c r="L353" s="20">
        <f t="shared" ref="L353" si="93">J353*5</f>
        <v>6150000</v>
      </c>
      <c r="M353" s="22">
        <f t="shared" ref="M353" si="94">I353/(I353+I354)*100</f>
        <v>96.09375</v>
      </c>
      <c r="N353" s="22">
        <f>I355/I353*100</f>
        <v>0</v>
      </c>
      <c r="O353" s="23">
        <f t="shared" ref="O353" si="95">3.32*(LOG(L353)-LOG(K353))</f>
        <v>1.0350228187051038</v>
      </c>
      <c r="P353" s="23">
        <f t="shared" ref="P353" si="96">IF(O353&lt;0,P350,P350+O353)</f>
        <v>120.26748704861807</v>
      </c>
      <c r="Q353" s="38"/>
      <c r="R353" s="38"/>
      <c r="S353" s="39"/>
    </row>
    <row r="354" spans="1:19" ht="15.75" customHeight="1" x14ac:dyDescent="0.35">
      <c r="A354" s="20"/>
      <c r="B354" s="92"/>
      <c r="C354" s="101"/>
      <c r="D354" s="92" t="s">
        <v>66</v>
      </c>
      <c r="E354" s="42">
        <v>1</v>
      </c>
      <c r="F354" s="42">
        <v>3</v>
      </c>
      <c r="G354" s="42">
        <v>0</v>
      </c>
      <c r="H354" s="42">
        <v>6</v>
      </c>
      <c r="I354" s="43">
        <f t="shared" si="83"/>
        <v>2.5</v>
      </c>
      <c r="J354" s="20"/>
      <c r="K354" s="20"/>
      <c r="L354" s="20"/>
      <c r="M354" s="20"/>
      <c r="N354" s="20"/>
      <c r="O354" s="20"/>
      <c r="P354" s="20"/>
      <c r="Q354" s="24"/>
      <c r="R354" s="24"/>
      <c r="S354" s="24"/>
    </row>
    <row r="355" spans="1:19" ht="15.75" customHeight="1" x14ac:dyDescent="0.35">
      <c r="A355" s="20"/>
      <c r="B355" s="92"/>
      <c r="C355" s="101"/>
      <c r="D355" s="92" t="s">
        <v>67</v>
      </c>
      <c r="E355" s="42">
        <v>0</v>
      </c>
      <c r="F355" s="42">
        <v>0</v>
      </c>
      <c r="G355" s="42">
        <v>0</v>
      </c>
      <c r="H355" s="42">
        <v>0</v>
      </c>
      <c r="I355" s="43">
        <f t="shared" si="83"/>
        <v>0</v>
      </c>
      <c r="J355" s="20"/>
      <c r="K355" s="20"/>
      <c r="L355" s="20"/>
      <c r="M355" s="20"/>
      <c r="N355" s="20"/>
      <c r="O355" s="20"/>
      <c r="P355" s="20"/>
      <c r="Q355" s="24"/>
      <c r="R355" s="24"/>
      <c r="S355" s="24"/>
    </row>
    <row r="356" spans="1:19" ht="15.75" customHeight="1" x14ac:dyDescent="0.35">
      <c r="A356" s="30">
        <f t="shared" ref="A356" si="97">A353+7</f>
        <v>45166</v>
      </c>
      <c r="B356" s="92">
        <f t="shared" ref="B356" si="98">B353+7</f>
        <v>815</v>
      </c>
      <c r="C356" s="101" t="str">
        <f t="shared" si="82"/>
        <v>5% FBS R2</v>
      </c>
      <c r="D356" s="91" t="s">
        <v>65</v>
      </c>
      <c r="E356" s="42">
        <v>98</v>
      </c>
      <c r="F356" s="42">
        <v>81</v>
      </c>
      <c r="G356" s="42">
        <v>84</v>
      </c>
      <c r="H356" s="42">
        <v>72</v>
      </c>
      <c r="I356" s="43">
        <f t="shared" si="83"/>
        <v>83.75</v>
      </c>
      <c r="J356" s="20">
        <f t="shared" ref="J356" si="99">I356*2*10000</f>
        <v>1675000</v>
      </c>
      <c r="K356" s="20">
        <f t="shared" si="85"/>
        <v>3000000</v>
      </c>
      <c r="L356" s="20">
        <f t="shared" ref="L356" si="100">J356*5</f>
        <v>8375000</v>
      </c>
      <c r="M356" s="22">
        <f t="shared" ref="M356" si="101">I356/(I356+I357)*100</f>
        <v>95.714285714285722</v>
      </c>
      <c r="N356" s="22">
        <f>I358/I356*100</f>
        <v>0</v>
      </c>
      <c r="O356" s="23">
        <f t="shared" ref="O356" si="102">3.32*(LOG(L356)-LOG(K356))</f>
        <v>1.480267022484212</v>
      </c>
      <c r="P356" s="23">
        <f t="shared" ref="P356" si="103">IF(O356&lt;0,P353,P353+O356)</f>
        <v>121.74775407110228</v>
      </c>
      <c r="Q356" s="38"/>
      <c r="R356" s="38"/>
      <c r="S356" s="39"/>
    </row>
    <row r="357" spans="1:19" ht="15.75" customHeight="1" x14ac:dyDescent="0.35">
      <c r="A357" s="20"/>
      <c r="B357" s="92"/>
      <c r="C357" s="101"/>
      <c r="D357" s="92" t="s">
        <v>66</v>
      </c>
      <c r="E357" s="42">
        <v>4</v>
      </c>
      <c r="F357" s="42">
        <v>6</v>
      </c>
      <c r="G357" s="42">
        <v>4</v>
      </c>
      <c r="H357" s="42">
        <v>1</v>
      </c>
      <c r="I357" s="43">
        <f t="shared" si="83"/>
        <v>3.75</v>
      </c>
      <c r="J357" s="20"/>
      <c r="K357" s="20"/>
      <c r="L357" s="20"/>
      <c r="M357" s="20"/>
      <c r="N357" s="20"/>
      <c r="O357" s="20"/>
      <c r="P357" s="20"/>
      <c r="Q357" s="24"/>
      <c r="R357" s="24"/>
      <c r="S357" s="24"/>
    </row>
    <row r="358" spans="1:19" ht="15.75" customHeight="1" x14ac:dyDescent="0.35">
      <c r="A358" s="20"/>
      <c r="B358" s="92"/>
      <c r="C358" s="101"/>
      <c r="D358" s="92" t="s">
        <v>67</v>
      </c>
      <c r="E358" s="42">
        <v>0</v>
      </c>
      <c r="F358" s="42">
        <v>0</v>
      </c>
      <c r="G358" s="42">
        <v>0</v>
      </c>
      <c r="H358" s="42">
        <v>0</v>
      </c>
      <c r="I358" s="43">
        <f t="shared" si="83"/>
        <v>0</v>
      </c>
      <c r="J358" s="20"/>
      <c r="K358" s="20"/>
      <c r="L358" s="20"/>
      <c r="M358" s="20"/>
      <c r="N358" s="20"/>
      <c r="O358" s="20"/>
      <c r="P358" s="20"/>
      <c r="Q358" s="24"/>
      <c r="R358" s="24"/>
      <c r="S358" s="24"/>
    </row>
    <row r="359" spans="1:19" ht="15.75" customHeight="1" x14ac:dyDescent="0.35">
      <c r="A359" s="30">
        <f>A356+8</f>
        <v>45174</v>
      </c>
      <c r="B359" s="92">
        <f>B356+8</f>
        <v>823</v>
      </c>
      <c r="C359" s="101" t="str">
        <f t="shared" si="82"/>
        <v>5% FBS R2</v>
      </c>
      <c r="D359" s="91" t="s">
        <v>65</v>
      </c>
      <c r="E359" s="42">
        <v>48</v>
      </c>
      <c r="F359" s="42">
        <v>49</v>
      </c>
      <c r="G359" s="42">
        <v>52</v>
      </c>
      <c r="H359" s="42">
        <v>59</v>
      </c>
      <c r="I359" s="43">
        <f t="shared" si="83"/>
        <v>52</v>
      </c>
      <c r="J359" s="20">
        <f t="shared" ref="J359" si="104">I359*2*10000</f>
        <v>1040000</v>
      </c>
      <c r="K359" s="20">
        <f t="shared" si="85"/>
        <v>3000000</v>
      </c>
      <c r="L359" s="20">
        <f t="shared" ref="L359" si="105">J359*5</f>
        <v>5200000</v>
      </c>
      <c r="M359" s="22">
        <f t="shared" ref="M359" si="106">I359/(I359+I360)*100</f>
        <v>95.412844036697251</v>
      </c>
      <c r="N359" s="22">
        <f>I361/I359*100</f>
        <v>0</v>
      </c>
      <c r="O359" s="23">
        <f t="shared" ref="O359" si="107">3.32*(LOG(L359)-LOG(K359))</f>
        <v>0.79308853519825429</v>
      </c>
      <c r="P359" s="23">
        <f t="shared" ref="P359" si="108">IF(O359&lt;0,P356,P356+O359)</f>
        <v>122.54084260630053</v>
      </c>
      <c r="Q359" s="38"/>
      <c r="R359" s="38"/>
      <c r="S359" s="39"/>
    </row>
    <row r="360" spans="1:19" ht="15.75" customHeight="1" x14ac:dyDescent="0.35">
      <c r="A360" s="20"/>
      <c r="B360" s="92"/>
      <c r="C360" s="101"/>
      <c r="D360" s="92" t="s">
        <v>66</v>
      </c>
      <c r="E360" s="42">
        <v>2</v>
      </c>
      <c r="F360" s="42">
        <v>4</v>
      </c>
      <c r="G360" s="42">
        <v>0</v>
      </c>
      <c r="H360" s="42">
        <v>4</v>
      </c>
      <c r="I360" s="43">
        <f t="shared" si="83"/>
        <v>2.5</v>
      </c>
      <c r="J360" s="20"/>
      <c r="K360" s="20"/>
      <c r="L360" s="20"/>
      <c r="M360" s="20"/>
      <c r="N360" s="20"/>
      <c r="O360" s="20"/>
      <c r="P360" s="20"/>
      <c r="Q360" s="24"/>
      <c r="R360" s="24"/>
      <c r="S360" s="24"/>
    </row>
    <row r="361" spans="1:19" ht="15.75" customHeight="1" x14ac:dyDescent="0.35">
      <c r="A361" s="20"/>
      <c r="B361" s="92"/>
      <c r="C361" s="101"/>
      <c r="D361" s="92" t="s">
        <v>67</v>
      </c>
      <c r="E361" s="42">
        <v>0</v>
      </c>
      <c r="F361" s="42">
        <v>0</v>
      </c>
      <c r="G361" s="42">
        <v>0</v>
      </c>
      <c r="H361" s="42">
        <v>0</v>
      </c>
      <c r="I361" s="43">
        <f t="shared" si="83"/>
        <v>0</v>
      </c>
      <c r="J361" s="20"/>
      <c r="K361" s="20"/>
      <c r="L361" s="20"/>
      <c r="M361" s="20"/>
      <c r="N361" s="20"/>
      <c r="O361" s="20"/>
      <c r="P361" s="20"/>
      <c r="Q361" s="24"/>
      <c r="R361" s="24"/>
      <c r="S361" s="24"/>
    </row>
    <row r="362" spans="1:19" ht="15.75" customHeight="1" x14ac:dyDescent="0.35">
      <c r="A362" s="30">
        <f>A359+6</f>
        <v>45180</v>
      </c>
      <c r="B362" s="92">
        <f>B359+6</f>
        <v>829</v>
      </c>
      <c r="C362" s="101" t="str">
        <f t="shared" ref="C362:C374" si="109">$C$125</f>
        <v>5% FBS R2</v>
      </c>
      <c r="D362" s="91" t="s">
        <v>65</v>
      </c>
      <c r="E362" s="42">
        <v>20</v>
      </c>
      <c r="F362" s="42">
        <v>21</v>
      </c>
      <c r="G362" s="42">
        <v>25</v>
      </c>
      <c r="H362" s="42">
        <v>32</v>
      </c>
      <c r="I362" s="43">
        <f t="shared" ref="I362:I376" si="110">AVERAGE(E362:H362)</f>
        <v>24.5</v>
      </c>
      <c r="J362" s="20">
        <f t="shared" ref="J362" si="111">I362*2*10000</f>
        <v>490000</v>
      </c>
      <c r="K362" s="20">
        <f t="shared" ref="K362:K374" si="112">$K$125</f>
        <v>3000000</v>
      </c>
      <c r="L362" s="20">
        <f t="shared" ref="L362" si="113">J362*5</f>
        <v>2450000</v>
      </c>
      <c r="M362" s="22">
        <f t="shared" ref="M362" si="114">I362/(I362+I363)*100</f>
        <v>94.230769230769226</v>
      </c>
      <c r="N362" s="22">
        <f>I364/I362*100</f>
        <v>0</v>
      </c>
      <c r="O362" s="23">
        <f t="shared" ref="O362" si="115">3.32*(LOG(L362)-LOG(K362))</f>
        <v>-0.29201116557903162</v>
      </c>
      <c r="P362" s="23">
        <f t="shared" ref="P362" si="116">IF(O362&lt;0,P359,P359+O362)</f>
        <v>122.54084260630053</v>
      </c>
      <c r="Q362" s="38"/>
      <c r="R362" s="38"/>
      <c r="S362" s="39"/>
    </row>
    <row r="363" spans="1:19" ht="15.75" customHeight="1" x14ac:dyDescent="0.35">
      <c r="A363" s="20"/>
      <c r="B363" s="92"/>
      <c r="C363" s="101"/>
      <c r="D363" s="92" t="s">
        <v>66</v>
      </c>
      <c r="E363" s="42">
        <v>1</v>
      </c>
      <c r="F363" s="42">
        <v>2</v>
      </c>
      <c r="G363" s="42">
        <v>0</v>
      </c>
      <c r="H363" s="42">
        <v>3</v>
      </c>
      <c r="I363" s="43">
        <f t="shared" si="110"/>
        <v>1.5</v>
      </c>
      <c r="J363" s="20"/>
      <c r="K363" s="20"/>
      <c r="L363" s="20"/>
      <c r="M363" s="20"/>
      <c r="N363" s="20"/>
      <c r="O363" s="20"/>
      <c r="P363" s="20"/>
      <c r="Q363" s="24"/>
      <c r="R363" s="24"/>
      <c r="S363" s="24"/>
    </row>
    <row r="364" spans="1:19" ht="15.75" customHeight="1" x14ac:dyDescent="0.35">
      <c r="A364" s="20"/>
      <c r="B364" s="92"/>
      <c r="C364" s="101"/>
      <c r="D364" s="92" t="s">
        <v>67</v>
      </c>
      <c r="E364" s="42">
        <v>0</v>
      </c>
      <c r="F364" s="42">
        <v>0</v>
      </c>
      <c r="G364" s="42">
        <v>0</v>
      </c>
      <c r="H364" s="42">
        <v>0</v>
      </c>
      <c r="I364" s="43">
        <f t="shared" si="110"/>
        <v>0</v>
      </c>
      <c r="J364" s="20"/>
      <c r="K364" s="20"/>
      <c r="L364" s="20"/>
      <c r="M364" s="20"/>
      <c r="N364" s="20"/>
      <c r="O364" s="20"/>
      <c r="P364" s="20"/>
      <c r="Q364" s="24"/>
      <c r="R364" s="24"/>
      <c r="S364" s="24"/>
    </row>
    <row r="365" spans="1:19" ht="15.75" customHeight="1" x14ac:dyDescent="0.35">
      <c r="A365" s="30">
        <f t="shared" ref="A365" si="117">A362+7</f>
        <v>45187</v>
      </c>
      <c r="B365" s="92">
        <f t="shared" ref="B365" si="118">B362+7</f>
        <v>836</v>
      </c>
      <c r="C365" s="101" t="str">
        <f t="shared" si="109"/>
        <v>5% FBS R2</v>
      </c>
      <c r="D365" s="91" t="s">
        <v>65</v>
      </c>
      <c r="E365" s="42">
        <v>30</v>
      </c>
      <c r="F365" s="42">
        <v>31</v>
      </c>
      <c r="G365" s="42">
        <v>40</v>
      </c>
      <c r="H365" s="42">
        <v>38</v>
      </c>
      <c r="I365" s="43">
        <f t="shared" si="110"/>
        <v>34.75</v>
      </c>
      <c r="J365" s="20">
        <f t="shared" ref="J365" si="119">I365*2*10000</f>
        <v>695000</v>
      </c>
      <c r="K365" s="20">
        <v>2450000</v>
      </c>
      <c r="L365" s="20">
        <f t="shared" ref="L365" si="120">J365*5</f>
        <v>3475000</v>
      </c>
      <c r="M365" s="22">
        <f t="shared" ref="M365" si="121">I365/(I365+I366)*100</f>
        <v>95.862068965517238</v>
      </c>
      <c r="N365" s="22">
        <f>I367/I365*100</f>
        <v>0</v>
      </c>
      <c r="O365" s="23">
        <f t="shared" ref="O365" si="122">3.32*(LOG(L365)-LOG(K365))</f>
        <v>0.50393856554451155</v>
      </c>
      <c r="P365" s="23">
        <f t="shared" ref="P365" si="123">IF(O365&lt;0,P362,P362+O365)</f>
        <v>123.04478117184505</v>
      </c>
      <c r="Q365" s="38"/>
      <c r="R365" s="38"/>
      <c r="S365" s="39"/>
    </row>
    <row r="366" spans="1:19" ht="15.75" customHeight="1" x14ac:dyDescent="0.35">
      <c r="A366" s="20"/>
      <c r="B366" s="92"/>
      <c r="C366" s="101"/>
      <c r="D366" s="92" t="s">
        <v>66</v>
      </c>
      <c r="E366" s="42">
        <v>1</v>
      </c>
      <c r="F366" s="42">
        <v>2</v>
      </c>
      <c r="G366" s="42">
        <v>0</v>
      </c>
      <c r="H366" s="42">
        <v>3</v>
      </c>
      <c r="I366" s="43">
        <f t="shared" si="110"/>
        <v>1.5</v>
      </c>
      <c r="J366" s="20"/>
      <c r="K366" s="20"/>
      <c r="L366" s="20"/>
      <c r="M366" s="20"/>
      <c r="N366" s="20"/>
      <c r="O366" s="20"/>
      <c r="P366" s="20"/>
      <c r="Q366" s="24"/>
      <c r="R366" s="24"/>
      <c r="S366" s="24"/>
    </row>
    <row r="367" spans="1:19" ht="15.75" customHeight="1" x14ac:dyDescent="0.35">
      <c r="A367" s="20"/>
      <c r="B367" s="92"/>
      <c r="C367" s="101"/>
      <c r="D367" s="92" t="s">
        <v>67</v>
      </c>
      <c r="E367" s="42">
        <v>0</v>
      </c>
      <c r="F367" s="42">
        <v>0</v>
      </c>
      <c r="G367" s="42">
        <v>0</v>
      </c>
      <c r="H367" s="42">
        <v>0</v>
      </c>
      <c r="I367" s="43">
        <f t="shared" si="110"/>
        <v>0</v>
      </c>
      <c r="J367" s="20"/>
      <c r="K367" s="20"/>
      <c r="L367" s="20"/>
      <c r="M367" s="20"/>
      <c r="N367" s="20"/>
      <c r="O367" s="20"/>
      <c r="P367" s="20"/>
      <c r="Q367" s="24"/>
      <c r="R367" s="24"/>
      <c r="S367" s="24"/>
    </row>
    <row r="368" spans="1:19" ht="15.75" customHeight="1" x14ac:dyDescent="0.35">
      <c r="A368" s="30">
        <f t="shared" ref="A368" si="124">A365+7</f>
        <v>45194</v>
      </c>
      <c r="B368" s="92">
        <f t="shared" ref="B368" si="125">B365+7</f>
        <v>843</v>
      </c>
      <c r="C368" s="101" t="str">
        <f t="shared" si="109"/>
        <v>5% FBS R2</v>
      </c>
      <c r="D368" s="91" t="s">
        <v>65</v>
      </c>
      <c r="E368" s="42">
        <v>20</v>
      </c>
      <c r="F368" s="42">
        <v>23</v>
      </c>
      <c r="G368" s="42">
        <v>33</v>
      </c>
      <c r="H368" s="42">
        <v>32</v>
      </c>
      <c r="I368" s="43">
        <f t="shared" si="110"/>
        <v>27</v>
      </c>
      <c r="J368" s="20">
        <f t="shared" ref="J368" si="126">I368*2*10000</f>
        <v>540000</v>
      </c>
      <c r="K368" s="20">
        <f t="shared" si="112"/>
        <v>3000000</v>
      </c>
      <c r="L368" s="20">
        <f t="shared" ref="L368" si="127">J368*5</f>
        <v>2700000</v>
      </c>
      <c r="M368" s="22">
        <f t="shared" ref="M368" si="128">I368/(I368+I369)*100</f>
        <v>90.756302521008408</v>
      </c>
      <c r="N368" s="22">
        <f>I370/I368*100</f>
        <v>0</v>
      </c>
      <c r="O368" s="23">
        <f t="shared" ref="O368" si="129">3.32*(LOG(L368)-LOG(K368))</f>
        <v>-0.15191486866144327</v>
      </c>
      <c r="P368" s="23">
        <f t="shared" ref="P368" si="130">IF(O368&lt;0,P365,P365+O368)</f>
        <v>123.04478117184505</v>
      </c>
      <c r="Q368" s="38"/>
      <c r="R368" s="38"/>
      <c r="S368" s="39"/>
    </row>
    <row r="369" spans="1:19" ht="15.75" customHeight="1" x14ac:dyDescent="0.35">
      <c r="A369" s="20"/>
      <c r="B369" s="92"/>
      <c r="C369" s="101"/>
      <c r="D369" s="92" t="s">
        <v>66</v>
      </c>
      <c r="E369" s="42">
        <v>3</v>
      </c>
      <c r="F369" s="42">
        <v>2</v>
      </c>
      <c r="G369" s="42">
        <v>2</v>
      </c>
      <c r="H369" s="42">
        <v>4</v>
      </c>
      <c r="I369" s="43">
        <f t="shared" si="110"/>
        <v>2.75</v>
      </c>
      <c r="J369" s="20"/>
      <c r="K369" s="20"/>
      <c r="L369" s="20"/>
      <c r="M369" s="20"/>
      <c r="N369" s="20"/>
      <c r="O369" s="20"/>
      <c r="P369" s="20"/>
      <c r="Q369" s="24"/>
      <c r="R369" s="24"/>
      <c r="S369" s="24"/>
    </row>
    <row r="370" spans="1:19" ht="15.75" customHeight="1" x14ac:dyDescent="0.35">
      <c r="A370" s="20"/>
      <c r="B370" s="92"/>
      <c r="C370" s="101"/>
      <c r="D370" s="92" t="s">
        <v>67</v>
      </c>
      <c r="E370" s="42">
        <v>0</v>
      </c>
      <c r="F370" s="42">
        <v>0</v>
      </c>
      <c r="G370" s="42">
        <v>0</v>
      </c>
      <c r="H370" s="42">
        <v>0</v>
      </c>
      <c r="I370" s="43">
        <f t="shared" si="110"/>
        <v>0</v>
      </c>
      <c r="J370" s="20"/>
      <c r="K370" s="20"/>
      <c r="L370" s="20"/>
      <c r="M370" s="20"/>
      <c r="N370" s="20"/>
      <c r="O370" s="20"/>
      <c r="P370" s="20"/>
      <c r="Q370" s="24"/>
      <c r="R370" s="24"/>
      <c r="S370" s="24"/>
    </row>
    <row r="371" spans="1:19" ht="15.75" customHeight="1" x14ac:dyDescent="0.35">
      <c r="A371" s="30">
        <f t="shared" ref="A371" si="131">A368+7</f>
        <v>45201</v>
      </c>
      <c r="B371" s="92">
        <f t="shared" ref="B371" si="132">B368+7</f>
        <v>850</v>
      </c>
      <c r="C371" s="101" t="str">
        <f t="shared" si="109"/>
        <v>5% FBS R2</v>
      </c>
      <c r="D371" s="91" t="s">
        <v>65</v>
      </c>
      <c r="E371" s="42">
        <v>29</v>
      </c>
      <c r="F371" s="42">
        <v>40</v>
      </c>
      <c r="G371" s="42">
        <v>35</v>
      </c>
      <c r="H371" s="42">
        <v>41</v>
      </c>
      <c r="I371" s="43">
        <f t="shared" si="110"/>
        <v>36.25</v>
      </c>
      <c r="J371" s="20">
        <f t="shared" ref="J371" si="133">I371*2*10000</f>
        <v>725000</v>
      </c>
      <c r="K371" s="20">
        <v>2700000</v>
      </c>
      <c r="L371" s="20">
        <f t="shared" ref="L371" si="134">J371*5</f>
        <v>3625000</v>
      </c>
      <c r="M371" s="22">
        <f t="shared" ref="M371" si="135">I371/(I371+I372)*100</f>
        <v>96.666666666666671</v>
      </c>
      <c r="N371" s="22">
        <f>I373/I371*100</f>
        <v>0</v>
      </c>
      <c r="O371" s="23">
        <f t="shared" ref="O371" si="136">3.32*(LOG(L371)-LOG(K371))</f>
        <v>0.4247748992034458</v>
      </c>
      <c r="P371" s="23">
        <f t="shared" ref="P371" si="137">IF(O371&lt;0,P368,P368+O371)</f>
        <v>123.46955607104849</v>
      </c>
      <c r="Q371" s="38"/>
      <c r="R371" s="38"/>
      <c r="S371" s="39"/>
    </row>
    <row r="372" spans="1:19" ht="15.75" customHeight="1" x14ac:dyDescent="0.35">
      <c r="A372" s="20"/>
      <c r="B372" s="92"/>
      <c r="C372" s="101"/>
      <c r="D372" s="92" t="s">
        <v>66</v>
      </c>
      <c r="E372" s="42">
        <v>1</v>
      </c>
      <c r="F372" s="42">
        <v>1</v>
      </c>
      <c r="G372" s="42">
        <v>2</v>
      </c>
      <c r="H372" s="42">
        <v>1</v>
      </c>
      <c r="I372" s="43">
        <f t="shared" si="110"/>
        <v>1.25</v>
      </c>
      <c r="J372" s="20"/>
      <c r="K372" s="20"/>
      <c r="L372" s="20"/>
      <c r="M372" s="20"/>
      <c r="N372" s="20"/>
      <c r="O372" s="20"/>
      <c r="P372" s="20"/>
      <c r="Q372" s="24"/>
      <c r="R372" s="24"/>
      <c r="S372" s="24"/>
    </row>
    <row r="373" spans="1:19" ht="15.75" customHeight="1" x14ac:dyDescent="0.35">
      <c r="A373" s="20"/>
      <c r="B373" s="92"/>
      <c r="C373" s="101"/>
      <c r="D373" s="92" t="s">
        <v>67</v>
      </c>
      <c r="E373" s="42">
        <v>0</v>
      </c>
      <c r="F373" s="42">
        <v>0</v>
      </c>
      <c r="G373" s="42">
        <v>0</v>
      </c>
      <c r="H373" s="42">
        <v>0</v>
      </c>
      <c r="I373" s="43">
        <f t="shared" si="110"/>
        <v>0</v>
      </c>
      <c r="J373" s="20"/>
      <c r="K373" s="20"/>
      <c r="L373" s="20"/>
      <c r="M373" s="20"/>
      <c r="N373" s="20"/>
      <c r="O373" s="20"/>
      <c r="P373" s="20"/>
      <c r="Q373" s="24"/>
      <c r="R373" s="24"/>
      <c r="S373" s="24"/>
    </row>
    <row r="374" spans="1:19" ht="15.75" customHeight="1" x14ac:dyDescent="0.35">
      <c r="A374" s="30">
        <f t="shared" ref="A374" si="138">A371+7</f>
        <v>45208</v>
      </c>
      <c r="B374" s="92">
        <f t="shared" ref="B374" si="139">B371+7</f>
        <v>857</v>
      </c>
      <c r="C374" s="101" t="str">
        <f t="shared" si="109"/>
        <v>5% FBS R2</v>
      </c>
      <c r="D374" s="91" t="s">
        <v>65</v>
      </c>
      <c r="E374" s="42">
        <v>62</v>
      </c>
      <c r="F374" s="42">
        <v>71</v>
      </c>
      <c r="G374" s="42">
        <v>83</v>
      </c>
      <c r="H374" s="42">
        <v>76</v>
      </c>
      <c r="I374" s="43">
        <f t="shared" si="110"/>
        <v>73</v>
      </c>
      <c r="J374" s="20">
        <f t="shared" ref="J374" si="140">I374*2*10000</f>
        <v>1460000</v>
      </c>
      <c r="K374" s="20">
        <f t="shared" si="112"/>
        <v>3000000</v>
      </c>
      <c r="L374" s="20">
        <f t="shared" ref="L374" si="141">J374*5</f>
        <v>7300000</v>
      </c>
      <c r="M374" s="22">
        <f t="shared" ref="M374" si="142">I374/(I374+I375)*100</f>
        <v>96.688741721854313</v>
      </c>
      <c r="N374" s="22">
        <f>I376/I374*100</f>
        <v>0</v>
      </c>
      <c r="O374" s="23">
        <f t="shared" ref="O374" si="143">3.32*(LOG(L374)-LOG(K374))</f>
        <v>1.2821893299306337</v>
      </c>
      <c r="P374" s="23">
        <f t="shared" ref="P374" si="144">IF(O374&lt;0,P371,P371+O374)</f>
        <v>124.75174540097912</v>
      </c>
      <c r="Q374" s="38"/>
      <c r="R374" s="38"/>
      <c r="S374" s="39"/>
    </row>
    <row r="375" spans="1:19" ht="15.75" customHeight="1" x14ac:dyDescent="0.35">
      <c r="A375" s="20"/>
      <c r="B375" s="92"/>
      <c r="C375" s="101"/>
      <c r="D375" s="92" t="s">
        <v>66</v>
      </c>
      <c r="E375" s="42">
        <v>2</v>
      </c>
      <c r="F375" s="42">
        <v>3</v>
      </c>
      <c r="G375" s="42">
        <v>2</v>
      </c>
      <c r="H375" s="42">
        <v>3</v>
      </c>
      <c r="I375" s="43">
        <f t="shared" si="110"/>
        <v>2.5</v>
      </c>
      <c r="J375" s="20"/>
      <c r="K375" s="20"/>
      <c r="L375" s="20"/>
      <c r="M375" s="20"/>
      <c r="N375" s="20"/>
      <c r="O375" s="20"/>
      <c r="P375" s="20"/>
      <c r="Q375" s="24"/>
      <c r="R375" s="24"/>
      <c r="S375" s="24"/>
    </row>
    <row r="376" spans="1:19" ht="15.75" customHeight="1" x14ac:dyDescent="0.35">
      <c r="A376" s="20"/>
      <c r="B376" s="92"/>
      <c r="C376" s="101"/>
      <c r="D376" s="92" t="s">
        <v>67</v>
      </c>
      <c r="E376" s="42">
        <v>0</v>
      </c>
      <c r="F376" s="42">
        <v>0</v>
      </c>
      <c r="G376" s="42">
        <v>0</v>
      </c>
      <c r="H376" s="42">
        <v>0</v>
      </c>
      <c r="I376" s="43">
        <f t="shared" si="110"/>
        <v>0</v>
      </c>
      <c r="J376" s="20"/>
      <c r="K376" s="20"/>
      <c r="L376" s="20"/>
      <c r="M376" s="20"/>
      <c r="N376" s="20"/>
      <c r="O376" s="20"/>
      <c r="P376" s="20"/>
      <c r="Q376" s="24"/>
      <c r="R376" s="24"/>
      <c r="S376" s="24"/>
    </row>
    <row r="377" spans="1:19" ht="15.75" customHeight="1" x14ac:dyDescent="0.35">
      <c r="A377" s="30">
        <f t="shared" ref="A377" si="145">A374+7</f>
        <v>45215</v>
      </c>
      <c r="B377" s="92">
        <f t="shared" ref="B377" si="146">B374+7</f>
        <v>864</v>
      </c>
      <c r="C377" s="101" t="str">
        <f t="shared" ref="C377:C383" si="147">$C$125</f>
        <v>5% FBS R2</v>
      </c>
      <c r="D377" s="91" t="s">
        <v>65</v>
      </c>
      <c r="E377" s="42">
        <v>61</v>
      </c>
      <c r="F377" s="42">
        <v>36</v>
      </c>
      <c r="G377" s="42">
        <v>50</v>
      </c>
      <c r="H377" s="42">
        <v>49</v>
      </c>
      <c r="I377" s="43">
        <f t="shared" ref="I377:I385" si="148">AVERAGE(E377:H377)</f>
        <v>49</v>
      </c>
      <c r="J377" s="20">
        <f t="shared" ref="J377" si="149">I377*2*10000</f>
        <v>980000</v>
      </c>
      <c r="K377" s="20">
        <f t="shared" ref="K377:K383" si="150">$K$125</f>
        <v>3000000</v>
      </c>
      <c r="L377" s="20">
        <f t="shared" ref="L377" si="151">J377*5</f>
        <v>4900000</v>
      </c>
      <c r="M377" s="22">
        <f t="shared" ref="M377" si="152">I377/(I377+I378)*100</f>
        <v>97.029702970297024</v>
      </c>
      <c r="N377" s="22">
        <f>I379/I377*100</f>
        <v>0</v>
      </c>
      <c r="O377" s="23">
        <f t="shared" ref="O377" si="153">3.32*(LOG(L377)-LOG(K377))</f>
        <v>0.70740842002538606</v>
      </c>
      <c r="P377" s="23">
        <f t="shared" ref="P377" si="154">IF(O377&lt;0,P374,P374+O377)</f>
        <v>125.45915382100451</v>
      </c>
      <c r="Q377" s="38"/>
      <c r="R377" s="38"/>
      <c r="S377" s="39"/>
    </row>
    <row r="378" spans="1:19" ht="15.75" customHeight="1" x14ac:dyDescent="0.35">
      <c r="A378" s="20"/>
      <c r="B378" s="92"/>
      <c r="C378" s="101"/>
      <c r="D378" s="92" t="s">
        <v>66</v>
      </c>
      <c r="E378" s="42">
        <v>2</v>
      </c>
      <c r="F378" s="42">
        <v>1</v>
      </c>
      <c r="G378" s="42">
        <v>2</v>
      </c>
      <c r="H378" s="42">
        <v>1</v>
      </c>
      <c r="I378" s="43">
        <f t="shared" si="148"/>
        <v>1.5</v>
      </c>
      <c r="J378" s="20"/>
      <c r="K378" s="20"/>
      <c r="L378" s="20"/>
      <c r="M378" s="20"/>
      <c r="N378" s="20"/>
      <c r="O378" s="20"/>
      <c r="P378" s="20"/>
      <c r="Q378" s="24"/>
      <c r="R378" s="24"/>
      <c r="S378" s="24"/>
    </row>
    <row r="379" spans="1:19" ht="15.75" customHeight="1" x14ac:dyDescent="0.35">
      <c r="A379" s="20"/>
      <c r="B379" s="92"/>
      <c r="C379" s="101"/>
      <c r="D379" s="92" t="s">
        <v>67</v>
      </c>
      <c r="E379" s="42">
        <v>0</v>
      </c>
      <c r="F379" s="42">
        <v>0</v>
      </c>
      <c r="G379" s="42">
        <v>0</v>
      </c>
      <c r="H379" s="42">
        <v>0</v>
      </c>
      <c r="I379" s="43">
        <f t="shared" si="148"/>
        <v>0</v>
      </c>
      <c r="J379" s="20"/>
      <c r="K379" s="20"/>
      <c r="L379" s="20"/>
      <c r="M379" s="20"/>
      <c r="N379" s="20"/>
      <c r="O379" s="20"/>
      <c r="P379" s="20"/>
      <c r="Q379" s="24"/>
      <c r="R379" s="24"/>
      <c r="S379" s="24"/>
    </row>
    <row r="380" spans="1:19" ht="15.75" customHeight="1" x14ac:dyDescent="0.35">
      <c r="A380" s="30">
        <f t="shared" ref="A380" si="155">A377+7</f>
        <v>45222</v>
      </c>
      <c r="B380" s="92">
        <f t="shared" ref="B380" si="156">B377+7</f>
        <v>871</v>
      </c>
      <c r="C380" s="101" t="str">
        <f t="shared" si="147"/>
        <v>5% FBS R2</v>
      </c>
      <c r="D380" s="91" t="s">
        <v>65</v>
      </c>
      <c r="E380" s="42">
        <v>91</v>
      </c>
      <c r="F380" s="42">
        <v>86</v>
      </c>
      <c r="G380" s="42">
        <v>80</v>
      </c>
      <c r="H380" s="42">
        <v>93</v>
      </c>
      <c r="I380" s="43">
        <f t="shared" si="148"/>
        <v>87.5</v>
      </c>
      <c r="J380" s="20">
        <f t="shared" ref="J380" si="157">I380*2*10000</f>
        <v>1750000</v>
      </c>
      <c r="K380" s="20">
        <f t="shared" si="150"/>
        <v>3000000</v>
      </c>
      <c r="L380" s="20">
        <f t="shared" ref="L380" si="158">J380*5</f>
        <v>8750000</v>
      </c>
      <c r="M380" s="22">
        <f t="shared" ref="M380" si="159">I380/(I380+I381)*100</f>
        <v>98.591549295774655</v>
      </c>
      <c r="N380" s="22">
        <f>I382/I380*100</f>
        <v>0</v>
      </c>
      <c r="O380" s="23">
        <f t="shared" ref="O380" si="160">3.32*(LOG(L380)-LOG(K380))</f>
        <v>1.5434241703647997</v>
      </c>
      <c r="P380" s="23">
        <f t="shared" ref="P380" si="161">IF(O380&lt;0,P377,P377+O380)</f>
        <v>127.00257799136931</v>
      </c>
      <c r="Q380" s="38"/>
      <c r="R380" s="38"/>
      <c r="S380" s="39"/>
    </row>
    <row r="381" spans="1:19" ht="15.75" customHeight="1" x14ac:dyDescent="0.35">
      <c r="A381" s="20"/>
      <c r="B381" s="92"/>
      <c r="C381" s="101"/>
      <c r="D381" s="92" t="s">
        <v>66</v>
      </c>
      <c r="E381" s="42">
        <v>1</v>
      </c>
      <c r="F381" s="42">
        <v>2</v>
      </c>
      <c r="G381" s="42">
        <v>0</v>
      </c>
      <c r="H381" s="42">
        <v>2</v>
      </c>
      <c r="I381" s="43">
        <f t="shared" si="148"/>
        <v>1.25</v>
      </c>
      <c r="J381" s="20"/>
      <c r="K381" s="20"/>
      <c r="L381" s="20"/>
      <c r="M381" s="20"/>
      <c r="N381" s="20"/>
      <c r="O381" s="20"/>
      <c r="P381" s="20"/>
      <c r="Q381" s="24"/>
      <c r="R381" s="24"/>
      <c r="S381" s="24"/>
    </row>
    <row r="382" spans="1:19" ht="15.75" customHeight="1" x14ac:dyDescent="0.35">
      <c r="A382" s="20"/>
      <c r="B382" s="92"/>
      <c r="C382" s="101"/>
      <c r="D382" s="92" t="s">
        <v>67</v>
      </c>
      <c r="E382" s="42">
        <v>0</v>
      </c>
      <c r="F382" s="42">
        <v>0</v>
      </c>
      <c r="G382" s="42">
        <v>0</v>
      </c>
      <c r="H382" s="42">
        <v>0</v>
      </c>
      <c r="I382" s="43">
        <f t="shared" si="148"/>
        <v>0</v>
      </c>
      <c r="J382" s="20"/>
      <c r="K382" s="20"/>
      <c r="L382" s="20"/>
      <c r="M382" s="20"/>
      <c r="N382" s="20"/>
      <c r="O382" s="20"/>
      <c r="P382" s="20"/>
      <c r="Q382" s="24"/>
      <c r="R382" s="24"/>
      <c r="S382" s="24"/>
    </row>
    <row r="383" spans="1:19" ht="15.75" customHeight="1" x14ac:dyDescent="0.35">
      <c r="A383" s="30">
        <f t="shared" ref="A383" si="162">A380+7</f>
        <v>45229</v>
      </c>
      <c r="B383" s="92">
        <f t="shared" ref="B383" si="163">B380+7</f>
        <v>878</v>
      </c>
      <c r="C383" s="101" t="str">
        <f t="shared" si="147"/>
        <v>5% FBS R2</v>
      </c>
      <c r="D383" s="91" t="s">
        <v>65</v>
      </c>
      <c r="E383" s="21">
        <v>92</v>
      </c>
      <c r="F383" s="21">
        <v>78</v>
      </c>
      <c r="G383" s="21">
        <v>85</v>
      </c>
      <c r="H383" s="21">
        <v>89</v>
      </c>
      <c r="I383" s="43">
        <f t="shared" si="148"/>
        <v>86</v>
      </c>
      <c r="J383" s="20">
        <f t="shared" ref="J383" si="164">I383*2*10000</f>
        <v>1720000</v>
      </c>
      <c r="K383" s="20">
        <f t="shared" si="150"/>
        <v>3000000</v>
      </c>
      <c r="L383" s="20">
        <f t="shared" ref="L383" si="165">J383*5</f>
        <v>8600000</v>
      </c>
      <c r="M383" s="22">
        <f t="shared" ref="M383" si="166">I383/(I383+I384)*100</f>
        <v>97.175141242937855</v>
      </c>
      <c r="N383" s="22">
        <f>I385/I383*100</f>
        <v>0</v>
      </c>
      <c r="O383" s="23">
        <f t="shared" ref="O383" si="167">3.32*(LOG(L383)-LOG(K383))</f>
        <v>1.518492292459364</v>
      </c>
      <c r="P383" s="23">
        <f t="shared" ref="P383" si="168">IF(O383&lt;0,P380,P380+O383)</f>
        <v>128.52107028382866</v>
      </c>
      <c r="Q383" s="38"/>
      <c r="R383" s="38"/>
      <c r="S383" s="39"/>
    </row>
    <row r="384" spans="1:19" ht="15.75" customHeight="1" x14ac:dyDescent="0.35">
      <c r="A384" s="20"/>
      <c r="B384" s="92"/>
      <c r="C384" s="101"/>
      <c r="D384" s="92" t="s">
        <v>66</v>
      </c>
      <c r="E384" s="21">
        <v>3</v>
      </c>
      <c r="F384" s="21">
        <v>1</v>
      </c>
      <c r="G384" s="21">
        <v>4</v>
      </c>
      <c r="H384" s="21">
        <v>2</v>
      </c>
      <c r="I384" s="43">
        <f t="shared" si="148"/>
        <v>2.5</v>
      </c>
      <c r="J384" s="20"/>
      <c r="K384" s="20"/>
      <c r="L384" s="20"/>
      <c r="M384" s="20"/>
      <c r="N384" s="20"/>
      <c r="O384" s="20"/>
      <c r="P384" s="20"/>
      <c r="Q384" s="24"/>
      <c r="R384" s="24"/>
      <c r="S384" s="24"/>
    </row>
    <row r="385" spans="1:19" ht="15.75" customHeight="1" x14ac:dyDescent="0.35">
      <c r="A385" s="20"/>
      <c r="B385" s="92"/>
      <c r="C385" s="101"/>
      <c r="D385" s="92" t="s">
        <v>67</v>
      </c>
      <c r="E385" s="21">
        <v>0</v>
      </c>
      <c r="F385" s="21">
        <v>0</v>
      </c>
      <c r="G385" s="21">
        <v>0</v>
      </c>
      <c r="H385" s="21">
        <v>0</v>
      </c>
      <c r="I385" s="43">
        <f t="shared" si="148"/>
        <v>0</v>
      </c>
      <c r="J385" s="20"/>
      <c r="K385" s="20"/>
      <c r="L385" s="20"/>
      <c r="M385" s="20"/>
      <c r="N385" s="20"/>
      <c r="O385" s="20"/>
      <c r="P385" s="20"/>
      <c r="Q385" s="24"/>
      <c r="R385" s="24"/>
      <c r="S385" s="24"/>
    </row>
    <row r="386" spans="1:19" ht="15.75" customHeight="1" x14ac:dyDescent="0.35">
      <c r="A386" s="30">
        <f t="shared" ref="A386" si="169">A383+7</f>
        <v>45236</v>
      </c>
      <c r="B386" s="92">
        <f t="shared" ref="B386" si="170">B383+7</f>
        <v>885</v>
      </c>
      <c r="C386" s="101" t="str">
        <f t="shared" ref="C386:C392" si="171">$C$125</f>
        <v>5% FBS R2</v>
      </c>
      <c r="D386" s="91" t="s">
        <v>65</v>
      </c>
      <c r="E386" s="21">
        <v>49</v>
      </c>
      <c r="F386" s="21">
        <v>57</v>
      </c>
      <c r="G386" s="21">
        <v>72</v>
      </c>
      <c r="H386" s="21">
        <v>58</v>
      </c>
      <c r="I386" s="43">
        <f t="shared" ref="I386:I394" si="172">AVERAGE(E386:H386)</f>
        <v>59</v>
      </c>
      <c r="J386" s="20">
        <f t="shared" ref="J386" si="173">I386*2*10000</f>
        <v>1180000</v>
      </c>
      <c r="K386" s="20">
        <f t="shared" ref="K386:K392" si="174">$K$125</f>
        <v>3000000</v>
      </c>
      <c r="L386" s="20">
        <f t="shared" ref="L386" si="175">J386*5</f>
        <v>5900000</v>
      </c>
      <c r="M386" s="22">
        <f t="shared" ref="M386" si="176">I386/(I386+I387)*100</f>
        <v>96.721311475409834</v>
      </c>
      <c r="N386" s="22">
        <f>I388/I386*100</f>
        <v>0</v>
      </c>
      <c r="O386" s="23">
        <f t="shared" ref="O386" si="177">3.32*(LOG(L386)-LOG(K386))</f>
        <v>0.97518611298263747</v>
      </c>
      <c r="P386" s="23">
        <f t="shared" ref="P386" si="178">IF(O386&lt;0,P383,P383+O386)</f>
        <v>129.4962563968113</v>
      </c>
      <c r="Q386" s="38"/>
      <c r="R386" s="38"/>
      <c r="S386" s="39"/>
    </row>
    <row r="387" spans="1:19" ht="15.75" customHeight="1" x14ac:dyDescent="0.35">
      <c r="A387" s="20"/>
      <c r="B387" s="92"/>
      <c r="C387" s="101"/>
      <c r="D387" s="92" t="s">
        <v>66</v>
      </c>
      <c r="E387" s="21">
        <v>2</v>
      </c>
      <c r="F387" s="21">
        <v>3</v>
      </c>
      <c r="G387" s="21">
        <v>2</v>
      </c>
      <c r="H387" s="21">
        <v>1</v>
      </c>
      <c r="I387" s="43">
        <f t="shared" si="172"/>
        <v>2</v>
      </c>
      <c r="J387" s="20"/>
      <c r="K387" s="20"/>
      <c r="L387" s="20"/>
      <c r="M387" s="20"/>
      <c r="N387" s="20"/>
      <c r="O387" s="20"/>
      <c r="P387" s="20"/>
      <c r="Q387" s="24"/>
      <c r="R387" s="24"/>
      <c r="S387" s="24"/>
    </row>
    <row r="388" spans="1:19" ht="15.75" customHeight="1" x14ac:dyDescent="0.35">
      <c r="A388" s="20"/>
      <c r="B388" s="92"/>
      <c r="C388" s="101"/>
      <c r="D388" s="92" t="s">
        <v>67</v>
      </c>
      <c r="E388" s="21">
        <v>0</v>
      </c>
      <c r="F388" s="21">
        <v>0</v>
      </c>
      <c r="G388" s="21">
        <v>0</v>
      </c>
      <c r="H388" s="21">
        <v>0</v>
      </c>
      <c r="I388" s="43">
        <f t="shared" si="172"/>
        <v>0</v>
      </c>
      <c r="J388" s="20"/>
      <c r="K388" s="20"/>
      <c r="L388" s="20"/>
      <c r="M388" s="20"/>
      <c r="N388" s="20"/>
      <c r="O388" s="20"/>
      <c r="P388" s="20"/>
      <c r="Q388" s="24"/>
      <c r="R388" s="24"/>
      <c r="S388" s="24"/>
    </row>
    <row r="389" spans="1:19" ht="15.75" customHeight="1" x14ac:dyDescent="0.35">
      <c r="A389" s="30">
        <f t="shared" ref="A389" si="179">A386+7</f>
        <v>45243</v>
      </c>
      <c r="B389" s="92">
        <f t="shared" ref="B389" si="180">B386+7</f>
        <v>892</v>
      </c>
      <c r="C389" s="101" t="str">
        <f t="shared" si="171"/>
        <v>5% FBS R2</v>
      </c>
      <c r="D389" s="91" t="s">
        <v>65</v>
      </c>
      <c r="E389" s="21">
        <v>78</v>
      </c>
      <c r="F389" s="21">
        <v>92</v>
      </c>
      <c r="G389" s="21">
        <v>86</v>
      </c>
      <c r="H389" s="21">
        <v>94</v>
      </c>
      <c r="I389" s="43">
        <f t="shared" si="172"/>
        <v>87.5</v>
      </c>
      <c r="J389" s="20">
        <f t="shared" ref="J389" si="181">I389*2*10000</f>
        <v>1750000</v>
      </c>
      <c r="K389" s="20">
        <f t="shared" si="174"/>
        <v>3000000</v>
      </c>
      <c r="L389" s="20">
        <f t="shared" ref="L389" si="182">J389*5</f>
        <v>8750000</v>
      </c>
      <c r="M389" s="22">
        <f t="shared" ref="M389" si="183">I389/(I389+I390)*100</f>
        <v>97.493036211699163</v>
      </c>
      <c r="N389" s="22">
        <f>I391/I389*100</f>
        <v>0</v>
      </c>
      <c r="O389" s="23">
        <f t="shared" ref="O389" si="184">3.32*(LOG(L389)-LOG(K389))</f>
        <v>1.5434241703647997</v>
      </c>
      <c r="P389" s="23">
        <f t="shared" ref="P389" si="185">IF(O389&lt;0,P386,P386+O389)</f>
        <v>131.03968056717611</v>
      </c>
      <c r="Q389" s="38"/>
      <c r="R389" s="38"/>
      <c r="S389" s="39"/>
    </row>
    <row r="390" spans="1:19" ht="15.75" customHeight="1" x14ac:dyDescent="0.35">
      <c r="A390" s="20"/>
      <c r="B390" s="92"/>
      <c r="C390" s="101"/>
      <c r="D390" s="92" t="s">
        <v>66</v>
      </c>
      <c r="E390" s="21">
        <v>3</v>
      </c>
      <c r="F390" s="21">
        <v>1</v>
      </c>
      <c r="G390" s="21">
        <v>2</v>
      </c>
      <c r="H390" s="21">
        <v>3</v>
      </c>
      <c r="I390" s="43">
        <f t="shared" si="172"/>
        <v>2.25</v>
      </c>
      <c r="J390" s="20"/>
      <c r="K390" s="20"/>
      <c r="L390" s="20"/>
      <c r="M390" s="20"/>
      <c r="N390" s="20"/>
      <c r="O390" s="20"/>
      <c r="P390" s="20"/>
      <c r="Q390" s="24"/>
      <c r="R390" s="24"/>
      <c r="S390" s="24"/>
    </row>
    <row r="391" spans="1:19" ht="15.75" customHeight="1" x14ac:dyDescent="0.35">
      <c r="A391" s="20"/>
      <c r="B391" s="92"/>
      <c r="C391" s="101"/>
      <c r="D391" s="92" t="s">
        <v>67</v>
      </c>
      <c r="E391" s="21">
        <v>0</v>
      </c>
      <c r="F391" s="21">
        <v>0</v>
      </c>
      <c r="G391" s="21">
        <v>0</v>
      </c>
      <c r="H391" s="21">
        <v>0</v>
      </c>
      <c r="I391" s="43">
        <f t="shared" si="172"/>
        <v>0</v>
      </c>
      <c r="J391" s="20"/>
      <c r="K391" s="20"/>
      <c r="L391" s="20"/>
      <c r="M391" s="20"/>
      <c r="N391" s="20"/>
      <c r="O391" s="20"/>
      <c r="P391" s="20"/>
      <c r="Q391" s="24"/>
      <c r="R391" s="24"/>
      <c r="S391" s="24"/>
    </row>
    <row r="392" spans="1:19" ht="15.75" customHeight="1" x14ac:dyDescent="0.35">
      <c r="A392" s="30">
        <f t="shared" ref="A392" si="186">A389+7</f>
        <v>45250</v>
      </c>
      <c r="B392" s="92">
        <f t="shared" ref="B392" si="187">B389+7</f>
        <v>899</v>
      </c>
      <c r="C392" s="101" t="str">
        <f t="shared" si="171"/>
        <v>5% FBS R2</v>
      </c>
      <c r="D392" s="91" t="s">
        <v>65</v>
      </c>
      <c r="E392" s="21">
        <v>85</v>
      </c>
      <c r="F392" s="21">
        <v>73</v>
      </c>
      <c r="G392" s="21">
        <v>72</v>
      </c>
      <c r="H392" s="21">
        <v>79</v>
      </c>
      <c r="I392" s="43">
        <f t="shared" si="172"/>
        <v>77.25</v>
      </c>
      <c r="J392" s="20">
        <f t="shared" ref="J392" si="188">I392*2*10000</f>
        <v>1545000</v>
      </c>
      <c r="K392" s="20">
        <f t="shared" si="174"/>
        <v>3000000</v>
      </c>
      <c r="L392" s="20">
        <f t="shared" ref="L392" si="189">J392*5</f>
        <v>7725000</v>
      </c>
      <c r="M392" s="22">
        <f t="shared" ref="M392" si="190">I392/(I392+I393)*100</f>
        <v>97.169811320754718</v>
      </c>
      <c r="N392" s="22">
        <f>I394/I392*100</f>
        <v>0</v>
      </c>
      <c r="O392" s="23">
        <f t="shared" ref="O392" si="191">3.32*(LOG(L392)-LOG(K392))</f>
        <v>1.3637804148123356</v>
      </c>
      <c r="P392" s="23">
        <f t="shared" ref="P392" si="192">IF(O392&lt;0,P389,P389+O392)</f>
        <v>132.40346098198845</v>
      </c>
      <c r="Q392" s="38"/>
      <c r="R392" s="38"/>
      <c r="S392" s="39"/>
    </row>
    <row r="393" spans="1:19" ht="15.75" customHeight="1" x14ac:dyDescent="0.35">
      <c r="A393" s="20"/>
      <c r="B393" s="92"/>
      <c r="C393" s="101"/>
      <c r="D393" s="92" t="s">
        <v>66</v>
      </c>
      <c r="E393" s="21">
        <v>4</v>
      </c>
      <c r="F393" s="21">
        <v>2</v>
      </c>
      <c r="G393" s="21">
        <v>2</v>
      </c>
      <c r="H393" s="21">
        <v>1</v>
      </c>
      <c r="I393" s="43">
        <f t="shared" si="172"/>
        <v>2.25</v>
      </c>
      <c r="J393" s="20"/>
      <c r="K393" s="20"/>
      <c r="L393" s="20"/>
      <c r="M393" s="20"/>
      <c r="N393" s="20"/>
      <c r="O393" s="20"/>
      <c r="P393" s="20"/>
      <c r="Q393" s="24"/>
      <c r="R393" s="24"/>
      <c r="S393" s="24"/>
    </row>
    <row r="394" spans="1:19" ht="15.75" customHeight="1" x14ac:dyDescent="0.35">
      <c r="A394" s="20"/>
      <c r="B394" s="92"/>
      <c r="C394" s="101"/>
      <c r="D394" s="92" t="s">
        <v>67</v>
      </c>
      <c r="E394" s="21">
        <v>0</v>
      </c>
      <c r="F394" s="21">
        <v>0</v>
      </c>
      <c r="G394" s="21">
        <v>0</v>
      </c>
      <c r="H394" s="21">
        <v>0</v>
      </c>
      <c r="I394" s="43">
        <f t="shared" si="172"/>
        <v>0</v>
      </c>
      <c r="J394" s="20"/>
      <c r="K394" s="20"/>
      <c r="L394" s="20"/>
      <c r="M394" s="20"/>
      <c r="N394" s="20"/>
      <c r="O394" s="20"/>
      <c r="P394" s="20"/>
      <c r="Q394" s="24"/>
      <c r="R394" s="24"/>
      <c r="S394" s="24"/>
    </row>
    <row r="395" spans="1:19" ht="15.75" customHeight="1" x14ac:dyDescent="0.35">
      <c r="A395" s="30">
        <f t="shared" ref="A395" si="193">A392+7</f>
        <v>45257</v>
      </c>
      <c r="B395" s="92">
        <f t="shared" ref="B395" si="194">B392+7</f>
        <v>906</v>
      </c>
      <c r="C395" s="101" t="str">
        <f t="shared" ref="C395:C401" si="195">$C$125</f>
        <v>5% FBS R2</v>
      </c>
      <c r="D395" s="91" t="s">
        <v>65</v>
      </c>
      <c r="E395" s="21">
        <v>77</v>
      </c>
      <c r="F395" s="21">
        <v>83</v>
      </c>
      <c r="G395" s="21">
        <v>82</v>
      </c>
      <c r="H395" s="21">
        <v>88</v>
      </c>
      <c r="I395" s="43">
        <f t="shared" ref="I395:I403" si="196">AVERAGE(E395:H395)</f>
        <v>82.5</v>
      </c>
      <c r="J395" s="20">
        <f t="shared" ref="J395" si="197">I395*2*10000</f>
        <v>1650000</v>
      </c>
      <c r="K395" s="20">
        <f t="shared" ref="K395:K401" si="198">$K$125</f>
        <v>3000000</v>
      </c>
      <c r="L395" s="20">
        <f t="shared" ref="L395" si="199">J395*5</f>
        <v>8250000</v>
      </c>
      <c r="M395" s="22">
        <f t="shared" ref="M395" si="200">I395/(I395+I396)*100</f>
        <v>97.633136094674555</v>
      </c>
      <c r="N395" s="22">
        <f>I397/I395*100</f>
        <v>0</v>
      </c>
      <c r="O395" s="23">
        <f t="shared" ref="O395" si="201">3.32*(LOG(L395)-LOG(K395))</f>
        <v>1.4585845435164726</v>
      </c>
      <c r="P395" s="23">
        <f t="shared" ref="P395" si="202">IF(O395&lt;0,P392,P392+O395)</f>
        <v>133.86204552550493</v>
      </c>
      <c r="Q395" s="38"/>
      <c r="R395" s="38"/>
      <c r="S395" s="39"/>
    </row>
    <row r="396" spans="1:19" ht="15.75" customHeight="1" x14ac:dyDescent="0.35">
      <c r="A396" s="20"/>
      <c r="B396" s="92"/>
      <c r="C396" s="101"/>
      <c r="D396" s="92" t="s">
        <v>66</v>
      </c>
      <c r="E396" s="21">
        <v>2</v>
      </c>
      <c r="F396" s="21">
        <v>3</v>
      </c>
      <c r="G396" s="21">
        <v>1</v>
      </c>
      <c r="H396" s="21">
        <v>2</v>
      </c>
      <c r="I396" s="43">
        <f t="shared" si="196"/>
        <v>2</v>
      </c>
      <c r="J396" s="20"/>
      <c r="K396" s="20"/>
      <c r="L396" s="20"/>
      <c r="M396" s="20"/>
      <c r="N396" s="20"/>
      <c r="O396" s="20"/>
      <c r="P396" s="20"/>
      <c r="Q396" s="24"/>
      <c r="R396" s="24"/>
      <c r="S396" s="24"/>
    </row>
    <row r="397" spans="1:19" ht="15.75" customHeight="1" x14ac:dyDescent="0.35">
      <c r="A397" s="20"/>
      <c r="B397" s="92"/>
      <c r="C397" s="101"/>
      <c r="D397" s="92" t="s">
        <v>67</v>
      </c>
      <c r="E397" s="21">
        <v>0</v>
      </c>
      <c r="F397" s="21">
        <v>0</v>
      </c>
      <c r="G397" s="21">
        <v>0</v>
      </c>
      <c r="H397" s="21">
        <v>0</v>
      </c>
      <c r="I397" s="43">
        <f t="shared" si="196"/>
        <v>0</v>
      </c>
      <c r="J397" s="20"/>
      <c r="K397" s="20"/>
      <c r="L397" s="20"/>
      <c r="M397" s="20"/>
      <c r="N397" s="20"/>
      <c r="O397" s="20"/>
      <c r="P397" s="20"/>
      <c r="Q397" s="24"/>
      <c r="R397" s="24"/>
      <c r="S397" s="24"/>
    </row>
    <row r="398" spans="1:19" ht="15.75" customHeight="1" x14ac:dyDescent="0.35">
      <c r="A398" s="30">
        <f>A395+8</f>
        <v>45265</v>
      </c>
      <c r="B398" s="92">
        <f>B395+8</f>
        <v>914</v>
      </c>
      <c r="C398" s="101" t="str">
        <f t="shared" si="195"/>
        <v>5% FBS R2</v>
      </c>
      <c r="D398" s="91" t="s">
        <v>65</v>
      </c>
      <c r="E398" s="21">
        <v>132</v>
      </c>
      <c r="F398" s="21">
        <v>119</v>
      </c>
      <c r="G398" s="21">
        <v>126</v>
      </c>
      <c r="H398" s="21">
        <v>120</v>
      </c>
      <c r="I398" s="43">
        <f t="shared" si="196"/>
        <v>124.25</v>
      </c>
      <c r="J398" s="20">
        <f t="shared" ref="J398" si="203">I398*2*10000</f>
        <v>2485000</v>
      </c>
      <c r="K398" s="20">
        <f t="shared" si="198"/>
        <v>3000000</v>
      </c>
      <c r="L398" s="20">
        <f t="shared" ref="L398" si="204">J398*5</f>
        <v>12425000</v>
      </c>
      <c r="M398" s="22">
        <f t="shared" ref="M398" si="205">I398/(I398+I399)*100</f>
        <v>97.834645669291348</v>
      </c>
      <c r="N398" s="22">
        <f>I400/I398*100</f>
        <v>0</v>
      </c>
      <c r="O398" s="23">
        <f t="shared" ref="O398" si="206">3.32*(LOG(L398)-LOG(K398))</f>
        <v>2.049021473716548</v>
      </c>
      <c r="P398" s="23">
        <f t="shared" ref="P398" si="207">IF(O398&lt;0,P395,P395+O398)</f>
        <v>135.91106699922148</v>
      </c>
      <c r="Q398" s="38"/>
      <c r="R398" s="38"/>
      <c r="S398" s="39"/>
    </row>
    <row r="399" spans="1:19" ht="15.75" customHeight="1" x14ac:dyDescent="0.35">
      <c r="A399" s="20"/>
      <c r="B399" s="92"/>
      <c r="C399" s="101"/>
      <c r="D399" s="92" t="s">
        <v>66</v>
      </c>
      <c r="E399" s="21">
        <v>3</v>
      </c>
      <c r="F399" s="21">
        <v>5</v>
      </c>
      <c r="G399" s="21">
        <v>2</v>
      </c>
      <c r="H399" s="21">
        <v>1</v>
      </c>
      <c r="I399" s="43">
        <f t="shared" si="196"/>
        <v>2.75</v>
      </c>
      <c r="J399" s="20"/>
      <c r="K399" s="20"/>
      <c r="L399" s="20"/>
      <c r="M399" s="20"/>
      <c r="N399" s="20"/>
      <c r="O399" s="20"/>
      <c r="P399" s="20"/>
      <c r="Q399" s="24"/>
      <c r="R399" s="24"/>
      <c r="S399" s="24"/>
    </row>
    <row r="400" spans="1:19" ht="15.75" customHeight="1" x14ac:dyDescent="0.35">
      <c r="A400" s="20"/>
      <c r="B400" s="92"/>
      <c r="C400" s="101"/>
      <c r="D400" s="92" t="s">
        <v>67</v>
      </c>
      <c r="E400" s="21">
        <v>0</v>
      </c>
      <c r="F400" s="21">
        <v>0</v>
      </c>
      <c r="G400" s="21">
        <v>0</v>
      </c>
      <c r="H400" s="21">
        <v>0</v>
      </c>
      <c r="I400" s="43">
        <f t="shared" si="196"/>
        <v>0</v>
      </c>
      <c r="J400" s="20"/>
      <c r="K400" s="20"/>
      <c r="L400" s="20"/>
      <c r="M400" s="20"/>
      <c r="N400" s="20"/>
      <c r="O400" s="20"/>
      <c r="P400" s="20"/>
      <c r="Q400" s="24"/>
      <c r="R400" s="24"/>
      <c r="S400" s="24"/>
    </row>
    <row r="401" spans="1:19" ht="15.75" customHeight="1" x14ac:dyDescent="0.35">
      <c r="A401" s="30">
        <f>A398+7</f>
        <v>45272</v>
      </c>
      <c r="B401" s="92">
        <f t="shared" ref="B401" si="208">B398+7</f>
        <v>921</v>
      </c>
      <c r="C401" s="101" t="str">
        <f t="shared" si="195"/>
        <v>5% FBS R2</v>
      </c>
      <c r="D401" s="91" t="s">
        <v>65</v>
      </c>
      <c r="E401" s="21">
        <v>102</v>
      </c>
      <c r="F401" s="21">
        <v>82</v>
      </c>
      <c r="G401" s="21">
        <v>70</v>
      </c>
      <c r="H401" s="21">
        <v>103</v>
      </c>
      <c r="I401" s="43">
        <f t="shared" si="196"/>
        <v>89.25</v>
      </c>
      <c r="J401" s="20">
        <f t="shared" ref="J401" si="209">I401*2*10000</f>
        <v>1785000</v>
      </c>
      <c r="K401" s="20">
        <f t="shared" si="198"/>
        <v>3000000</v>
      </c>
      <c r="L401" s="20">
        <f t="shared" ref="L401" si="210">J401*5</f>
        <v>8925000</v>
      </c>
      <c r="M401" s="22">
        <f t="shared" ref="M401" si="211">I401/(I401+I402)*100</f>
        <v>97.275204359673026</v>
      </c>
      <c r="N401" s="22">
        <f>I403/I401*100</f>
        <v>0</v>
      </c>
      <c r="O401" s="23">
        <f t="shared" ref="O401" si="212">3.32*(LOG(L401)-LOG(K401))</f>
        <v>1.5719767406143674</v>
      </c>
      <c r="P401" s="23">
        <f t="shared" ref="P401" si="213">IF(O401&lt;0,P398,P398+O401)</f>
        <v>137.48304373983584</v>
      </c>
      <c r="Q401" s="38"/>
      <c r="R401" s="38"/>
      <c r="S401" s="39"/>
    </row>
    <row r="402" spans="1:19" ht="15.75" customHeight="1" x14ac:dyDescent="0.35">
      <c r="A402" s="20"/>
      <c r="B402" s="92"/>
      <c r="C402" s="101"/>
      <c r="D402" s="92" t="s">
        <v>66</v>
      </c>
      <c r="E402" s="21">
        <v>2</v>
      </c>
      <c r="F402" s="21">
        <v>3</v>
      </c>
      <c r="G402" s="21">
        <v>3</v>
      </c>
      <c r="H402" s="21">
        <v>2</v>
      </c>
      <c r="I402" s="43">
        <f t="shared" si="196"/>
        <v>2.5</v>
      </c>
      <c r="J402" s="20"/>
      <c r="K402" s="20"/>
      <c r="L402" s="20"/>
      <c r="M402" s="20"/>
      <c r="N402" s="20"/>
      <c r="O402" s="20"/>
      <c r="P402" s="20"/>
      <c r="Q402" s="24"/>
      <c r="R402" s="24"/>
      <c r="S402" s="24"/>
    </row>
    <row r="403" spans="1:19" ht="15.75" customHeight="1" x14ac:dyDescent="0.35">
      <c r="A403" s="20"/>
      <c r="B403" s="92"/>
      <c r="C403" s="101"/>
      <c r="D403" s="92" t="s">
        <v>67</v>
      </c>
      <c r="E403" s="21">
        <v>0</v>
      </c>
      <c r="F403" s="21">
        <v>0</v>
      </c>
      <c r="G403" s="21">
        <v>0</v>
      </c>
      <c r="H403" s="21">
        <v>0</v>
      </c>
      <c r="I403" s="43">
        <f t="shared" si="196"/>
        <v>0</v>
      </c>
      <c r="J403" s="20"/>
      <c r="K403" s="20"/>
      <c r="L403" s="20"/>
      <c r="M403" s="20"/>
      <c r="N403" s="20"/>
      <c r="O403" s="20"/>
      <c r="P403" s="20"/>
      <c r="Q403" s="24"/>
      <c r="R403" s="24"/>
      <c r="S403" s="24"/>
    </row>
    <row r="404" spans="1:19" ht="15.75" customHeight="1" x14ac:dyDescent="0.35">
      <c r="A404" s="30">
        <f>A401+7</f>
        <v>45279</v>
      </c>
      <c r="B404" s="92">
        <f>B401+7</f>
        <v>928</v>
      </c>
      <c r="C404" s="101" t="str">
        <f t="shared" ref="C404:C410" si="214">$C$125</f>
        <v>5% FBS R2</v>
      </c>
      <c r="D404" s="91" t="s">
        <v>65</v>
      </c>
      <c r="E404" s="21">
        <v>74</v>
      </c>
      <c r="F404" s="21">
        <v>69</v>
      </c>
      <c r="G404" s="21">
        <v>82</v>
      </c>
      <c r="H404" s="21">
        <v>79</v>
      </c>
      <c r="I404" s="43">
        <f t="shared" ref="I404:I412" si="215">AVERAGE(E404:H404)</f>
        <v>76</v>
      </c>
      <c r="J404" s="20">
        <f t="shared" ref="J404" si="216">I404*2*10000</f>
        <v>1520000</v>
      </c>
      <c r="K404" s="20">
        <f t="shared" ref="K404:K410" si="217">$K$125</f>
        <v>3000000</v>
      </c>
      <c r="L404" s="20">
        <f t="shared" ref="L404" si="218">J404*5</f>
        <v>7600000</v>
      </c>
      <c r="M404" s="22">
        <f t="shared" ref="M404" si="219">I404/(I404+I405)*100</f>
        <v>98.064516129032256</v>
      </c>
      <c r="N404" s="22">
        <f>I406/I404*100</f>
        <v>0</v>
      </c>
      <c r="O404" s="23">
        <f t="shared" ref="O404" si="220">3.32*(LOG(L404)-LOG(K404))</f>
        <v>1.3402585607029474</v>
      </c>
      <c r="P404" s="23">
        <f t="shared" ref="P404" si="221">IF(O404&lt;0,P401,P401+O404)</f>
        <v>138.82330230053878</v>
      </c>
      <c r="Q404" s="38"/>
      <c r="R404" s="38"/>
      <c r="S404" s="39"/>
    </row>
    <row r="405" spans="1:19" ht="15.75" customHeight="1" x14ac:dyDescent="0.35">
      <c r="A405" s="20"/>
      <c r="B405" s="92"/>
      <c r="C405" s="101"/>
      <c r="D405" s="92" t="s">
        <v>66</v>
      </c>
      <c r="E405" s="21">
        <v>1</v>
      </c>
      <c r="F405" s="21">
        <v>2</v>
      </c>
      <c r="G405" s="21">
        <v>2</v>
      </c>
      <c r="H405" s="21">
        <v>1</v>
      </c>
      <c r="I405" s="43">
        <f t="shared" si="215"/>
        <v>1.5</v>
      </c>
      <c r="J405" s="20"/>
      <c r="K405" s="20"/>
      <c r="L405" s="20"/>
      <c r="M405" s="20"/>
      <c r="N405" s="20"/>
      <c r="O405" s="20"/>
      <c r="P405" s="20"/>
      <c r="Q405" s="24"/>
      <c r="R405" s="24"/>
      <c r="S405" s="24"/>
    </row>
    <row r="406" spans="1:19" ht="15.75" customHeight="1" x14ac:dyDescent="0.35">
      <c r="A406" s="20"/>
      <c r="B406" s="92"/>
      <c r="C406" s="101"/>
      <c r="D406" s="92" t="s">
        <v>67</v>
      </c>
      <c r="E406" s="21">
        <v>0</v>
      </c>
      <c r="F406" s="21">
        <v>0</v>
      </c>
      <c r="G406" s="21">
        <v>0</v>
      </c>
      <c r="H406" s="21">
        <v>0</v>
      </c>
      <c r="I406" s="43">
        <f t="shared" si="215"/>
        <v>0</v>
      </c>
      <c r="J406" s="20"/>
      <c r="K406" s="20"/>
      <c r="L406" s="20"/>
      <c r="M406" s="20"/>
      <c r="N406" s="20"/>
      <c r="O406" s="20"/>
      <c r="P406" s="20"/>
      <c r="Q406" s="24"/>
      <c r="R406" s="24"/>
      <c r="S406" s="24"/>
    </row>
    <row r="407" spans="1:19" ht="15.75" customHeight="1" x14ac:dyDescent="0.35">
      <c r="A407" s="30">
        <f>A404+7</f>
        <v>45286</v>
      </c>
      <c r="B407" s="92">
        <f t="shared" ref="B407" si="222">B404+7</f>
        <v>935</v>
      </c>
      <c r="C407" s="101" t="str">
        <f t="shared" si="214"/>
        <v>5% FBS R2</v>
      </c>
      <c r="D407" s="91" t="s">
        <v>65</v>
      </c>
      <c r="E407" s="21">
        <v>28</v>
      </c>
      <c r="F407" s="21">
        <v>47</v>
      </c>
      <c r="G407" s="21">
        <v>35</v>
      </c>
      <c r="H407" s="21">
        <v>35</v>
      </c>
      <c r="I407" s="43">
        <f t="shared" si="215"/>
        <v>36.25</v>
      </c>
      <c r="J407" s="20">
        <f t="shared" ref="J407" si="223">I407*2*10000</f>
        <v>725000</v>
      </c>
      <c r="K407" s="20">
        <f t="shared" si="217"/>
        <v>3000000</v>
      </c>
      <c r="L407" s="20">
        <f t="shared" ref="L407" si="224">J407*5</f>
        <v>3625000</v>
      </c>
      <c r="M407" s="22">
        <f t="shared" ref="M407" si="225">I407/(I407+I408)*100</f>
        <v>96.666666666666671</v>
      </c>
      <c r="N407" s="22">
        <f>I409/I407*100</f>
        <v>0</v>
      </c>
      <c r="O407" s="23">
        <f t="shared" ref="O407" si="226">3.32*(LOG(L407)-LOG(K407))</f>
        <v>0.27286003054200253</v>
      </c>
      <c r="P407" s="23">
        <f t="shared" ref="P407" si="227">IF(O407&lt;0,P404,P404+O407)</f>
        <v>139.09616233108079</v>
      </c>
      <c r="Q407" s="38"/>
      <c r="R407" s="38"/>
      <c r="S407" s="39"/>
    </row>
    <row r="408" spans="1:19" ht="15.75" customHeight="1" x14ac:dyDescent="0.35">
      <c r="A408" s="20"/>
      <c r="B408" s="92"/>
      <c r="C408" s="101"/>
      <c r="D408" s="92" t="s">
        <v>66</v>
      </c>
      <c r="E408" s="21">
        <v>0</v>
      </c>
      <c r="F408" s="21">
        <v>2</v>
      </c>
      <c r="G408" s="21">
        <v>1</v>
      </c>
      <c r="H408" s="21">
        <v>2</v>
      </c>
      <c r="I408" s="43">
        <f t="shared" si="215"/>
        <v>1.25</v>
      </c>
      <c r="J408" s="20"/>
      <c r="K408" s="20"/>
      <c r="L408" s="20"/>
      <c r="M408" s="20"/>
      <c r="N408" s="20"/>
      <c r="O408" s="20"/>
      <c r="P408" s="20"/>
      <c r="Q408" s="24"/>
      <c r="R408" s="24"/>
      <c r="S408" s="24"/>
    </row>
    <row r="409" spans="1:19" ht="15.75" customHeight="1" x14ac:dyDescent="0.35">
      <c r="A409" s="20"/>
      <c r="B409" s="92"/>
      <c r="C409" s="101"/>
      <c r="D409" s="92" t="s">
        <v>67</v>
      </c>
      <c r="E409" s="21">
        <v>0</v>
      </c>
      <c r="F409" s="21">
        <v>0</v>
      </c>
      <c r="G409" s="21">
        <v>0</v>
      </c>
      <c r="H409" s="21">
        <v>0</v>
      </c>
      <c r="I409" s="43">
        <f t="shared" si="215"/>
        <v>0</v>
      </c>
      <c r="J409" s="20"/>
      <c r="K409" s="20"/>
      <c r="L409" s="20"/>
      <c r="M409" s="20"/>
      <c r="N409" s="20"/>
      <c r="O409" s="20"/>
      <c r="P409" s="20"/>
      <c r="Q409" s="24"/>
      <c r="R409" s="24"/>
      <c r="S409" s="24"/>
    </row>
    <row r="410" spans="1:19" ht="15.75" customHeight="1" x14ac:dyDescent="0.35">
      <c r="A410" s="30">
        <f t="shared" ref="A410" si="228">A407+7</f>
        <v>45293</v>
      </c>
      <c r="B410" s="92">
        <f t="shared" ref="B410" si="229">B407+7</f>
        <v>942</v>
      </c>
      <c r="C410" s="101" t="str">
        <f t="shared" si="214"/>
        <v>5% FBS R2</v>
      </c>
      <c r="D410" s="91" t="s">
        <v>65</v>
      </c>
      <c r="E410" s="21">
        <v>72</v>
      </c>
      <c r="F410" s="21">
        <v>48</v>
      </c>
      <c r="G410" s="21">
        <v>57</v>
      </c>
      <c r="H410" s="21">
        <v>55</v>
      </c>
      <c r="I410" s="43">
        <f t="shared" si="215"/>
        <v>58</v>
      </c>
      <c r="J410" s="20">
        <f t="shared" ref="J410" si="230">I410*2*10000</f>
        <v>1160000</v>
      </c>
      <c r="K410" s="20">
        <f t="shared" si="217"/>
        <v>3000000</v>
      </c>
      <c r="L410" s="20">
        <f t="shared" ref="L410" si="231">J410*5</f>
        <v>5800000</v>
      </c>
      <c r="M410" s="22">
        <f t="shared" ref="M410" si="232">I410/(I410+I411)*100</f>
        <v>97.890295358649794</v>
      </c>
      <c r="N410" s="22">
        <f>I412/I410*100</f>
        <v>0</v>
      </c>
      <c r="O410" s="23">
        <f t="shared" ref="O410" si="233">3.32*(LOG(L410)-LOG(K410))</f>
        <v>0.95053837295967059</v>
      </c>
      <c r="P410" s="23">
        <f t="shared" ref="P410" si="234">IF(O410&lt;0,P407,P407+O410)</f>
        <v>140.04670070404046</v>
      </c>
      <c r="Q410" s="38"/>
      <c r="R410" s="38"/>
      <c r="S410" s="39"/>
    </row>
    <row r="411" spans="1:19" ht="15.75" customHeight="1" x14ac:dyDescent="0.35">
      <c r="A411" s="20"/>
      <c r="B411" s="92"/>
      <c r="C411" s="101"/>
      <c r="D411" s="92" t="s">
        <v>66</v>
      </c>
      <c r="E411" s="21">
        <v>2</v>
      </c>
      <c r="F411" s="21">
        <v>0</v>
      </c>
      <c r="G411" s="21">
        <v>1</v>
      </c>
      <c r="H411" s="21">
        <v>2</v>
      </c>
      <c r="I411" s="43">
        <f t="shared" si="215"/>
        <v>1.25</v>
      </c>
      <c r="J411" s="20"/>
      <c r="K411" s="20"/>
      <c r="L411" s="20"/>
      <c r="M411" s="20"/>
      <c r="N411" s="20"/>
      <c r="O411" s="20"/>
      <c r="P411" s="20"/>
      <c r="Q411" s="24"/>
      <c r="R411" s="24"/>
      <c r="S411" s="24"/>
    </row>
    <row r="412" spans="1:19" ht="15.75" customHeight="1" x14ac:dyDescent="0.35">
      <c r="A412" s="20"/>
      <c r="B412" s="92"/>
      <c r="C412" s="101"/>
      <c r="D412" s="92" t="s">
        <v>67</v>
      </c>
      <c r="E412" s="21">
        <v>0</v>
      </c>
      <c r="F412" s="21">
        <v>0</v>
      </c>
      <c r="G412" s="21">
        <v>0</v>
      </c>
      <c r="H412" s="21">
        <v>0</v>
      </c>
      <c r="I412" s="43">
        <f t="shared" si="215"/>
        <v>0</v>
      </c>
      <c r="J412" s="20"/>
      <c r="K412" s="20"/>
      <c r="L412" s="20"/>
      <c r="M412" s="20"/>
      <c r="N412" s="20"/>
      <c r="O412" s="20"/>
      <c r="P412" s="20"/>
      <c r="Q412" s="24"/>
      <c r="R412" s="24"/>
      <c r="S412" s="24"/>
    </row>
    <row r="413" spans="1:19" ht="15.75" customHeight="1" x14ac:dyDescent="0.35">
      <c r="A413" s="30">
        <f t="shared" ref="A413" si="235">A410+7</f>
        <v>45300</v>
      </c>
      <c r="B413" s="92">
        <f t="shared" ref="B413" si="236">B410+7</f>
        <v>949</v>
      </c>
      <c r="C413" s="101" t="str">
        <f t="shared" ref="C413:C419" si="237">$C$125</f>
        <v>5% FBS R2</v>
      </c>
      <c r="D413" s="91" t="s">
        <v>65</v>
      </c>
      <c r="E413" s="21">
        <v>73</v>
      </c>
      <c r="F413" s="21">
        <v>78</v>
      </c>
      <c r="G413" s="21">
        <v>81</v>
      </c>
      <c r="H413" s="21">
        <v>94</v>
      </c>
      <c r="I413" s="43">
        <f t="shared" ref="I413:I421" si="238">AVERAGE(E413:H413)</f>
        <v>81.5</v>
      </c>
      <c r="J413" s="20">
        <f t="shared" ref="J413" si="239">I413*2*10000</f>
        <v>1630000</v>
      </c>
      <c r="K413" s="20">
        <f t="shared" ref="K413:K419" si="240">$K$125</f>
        <v>3000000</v>
      </c>
      <c r="L413" s="20">
        <f t="shared" ref="L413" si="241">J413*5</f>
        <v>8150000</v>
      </c>
      <c r="M413" s="22">
        <f t="shared" ref="M413" si="242">I413/(I413+I414)*100</f>
        <v>93.409742120343836</v>
      </c>
      <c r="N413" s="22">
        <f>I415/I413*100</f>
        <v>0</v>
      </c>
      <c r="O413" s="23">
        <f t="shared" ref="O413" si="243">3.32*(LOG(L413)-LOG(K413))</f>
        <v>1.4410006953474432</v>
      </c>
      <c r="P413" s="23">
        <f t="shared" ref="P413" si="244">IF(O413&lt;0,P410,P410+O413)</f>
        <v>141.4877013993879</v>
      </c>
      <c r="Q413" s="38"/>
      <c r="R413" s="38"/>
      <c r="S413" s="39"/>
    </row>
    <row r="414" spans="1:19" ht="15.75" customHeight="1" x14ac:dyDescent="0.35">
      <c r="A414" s="20"/>
      <c r="B414" s="92"/>
      <c r="C414" s="101"/>
      <c r="D414" s="92" t="s">
        <v>66</v>
      </c>
      <c r="E414" s="21">
        <v>5</v>
      </c>
      <c r="F414" s="21">
        <v>4</v>
      </c>
      <c r="G414" s="21">
        <v>4</v>
      </c>
      <c r="H414" s="21">
        <v>10</v>
      </c>
      <c r="I414" s="43">
        <f t="shared" si="238"/>
        <v>5.75</v>
      </c>
      <c r="J414" s="20"/>
      <c r="K414" s="20"/>
      <c r="L414" s="20"/>
      <c r="M414" s="20"/>
      <c r="N414" s="20"/>
      <c r="O414" s="20"/>
      <c r="P414" s="20"/>
      <c r="Q414" s="24"/>
      <c r="R414" s="24"/>
      <c r="S414" s="24"/>
    </row>
    <row r="415" spans="1:19" ht="15.75" customHeight="1" x14ac:dyDescent="0.35">
      <c r="A415" s="20"/>
      <c r="B415" s="92"/>
      <c r="C415" s="101"/>
      <c r="D415" s="92" t="s">
        <v>67</v>
      </c>
      <c r="E415" s="21">
        <v>0</v>
      </c>
      <c r="F415" s="21">
        <v>0</v>
      </c>
      <c r="G415" s="21">
        <v>0</v>
      </c>
      <c r="H415" s="21">
        <v>0</v>
      </c>
      <c r="I415" s="43">
        <f t="shared" si="238"/>
        <v>0</v>
      </c>
      <c r="J415" s="20"/>
      <c r="K415" s="20"/>
      <c r="L415" s="20"/>
      <c r="M415" s="20"/>
      <c r="N415" s="20"/>
      <c r="O415" s="20"/>
      <c r="P415" s="20"/>
      <c r="Q415" s="24"/>
      <c r="R415" s="24"/>
      <c r="S415" s="24"/>
    </row>
    <row r="416" spans="1:19" ht="15.75" customHeight="1" x14ac:dyDescent="0.35">
      <c r="A416" s="30">
        <f t="shared" ref="A416" si="245">A413+7</f>
        <v>45307</v>
      </c>
      <c r="B416" s="92">
        <f t="shared" ref="B416" si="246">B413+7</f>
        <v>956</v>
      </c>
      <c r="C416" s="101" t="str">
        <f t="shared" si="237"/>
        <v>5% FBS R2</v>
      </c>
      <c r="D416" s="91" t="s">
        <v>65</v>
      </c>
      <c r="E416" s="21">
        <v>128</v>
      </c>
      <c r="F416" s="21">
        <v>143</v>
      </c>
      <c r="G416" s="21">
        <v>108</v>
      </c>
      <c r="H416" s="21">
        <v>129</v>
      </c>
      <c r="I416" s="43">
        <f t="shared" si="238"/>
        <v>127</v>
      </c>
      <c r="J416" s="20">
        <f t="shared" ref="J416" si="247">I416*2*10000</f>
        <v>2540000</v>
      </c>
      <c r="K416" s="20">
        <f t="shared" si="240"/>
        <v>3000000</v>
      </c>
      <c r="L416" s="20">
        <f t="shared" ref="L416" si="248">J416*5</f>
        <v>12700000</v>
      </c>
      <c r="M416" s="22">
        <f t="shared" ref="M416" si="249">I416/(I416+I417)*100</f>
        <v>96.394686907020883</v>
      </c>
      <c r="N416" s="22">
        <f>I418/I416*100</f>
        <v>0</v>
      </c>
      <c r="O416" s="23">
        <f t="shared" ref="O416" si="250">3.32*(LOG(L416)-LOG(K416))</f>
        <v>2.0805857879044982</v>
      </c>
      <c r="P416" s="23">
        <f t="shared" ref="P416" si="251">IF(O416&lt;0,P413,P413+O416)</f>
        <v>143.56828718729241</v>
      </c>
      <c r="Q416" s="38"/>
      <c r="R416" s="38"/>
      <c r="S416" s="39"/>
    </row>
    <row r="417" spans="1:19" ht="15.75" customHeight="1" x14ac:dyDescent="0.35">
      <c r="A417" s="20"/>
      <c r="B417" s="92"/>
      <c r="C417" s="101"/>
      <c r="D417" s="92" t="s">
        <v>66</v>
      </c>
      <c r="E417" s="21">
        <v>5</v>
      </c>
      <c r="F417" s="21">
        <v>4</v>
      </c>
      <c r="G417" s="21">
        <v>7</v>
      </c>
      <c r="H417" s="21">
        <v>3</v>
      </c>
      <c r="I417" s="43">
        <f t="shared" si="238"/>
        <v>4.75</v>
      </c>
      <c r="J417" s="20"/>
      <c r="K417" s="20"/>
      <c r="L417" s="20"/>
      <c r="M417" s="20"/>
      <c r="N417" s="20"/>
      <c r="O417" s="20"/>
      <c r="P417" s="20"/>
      <c r="Q417" s="24"/>
      <c r="R417" s="24"/>
      <c r="S417" s="24"/>
    </row>
    <row r="418" spans="1:19" ht="15.75" customHeight="1" x14ac:dyDescent="0.35">
      <c r="A418" s="20"/>
      <c r="B418" s="92"/>
      <c r="C418" s="101"/>
      <c r="D418" s="92" t="s">
        <v>67</v>
      </c>
      <c r="E418" s="21">
        <v>0</v>
      </c>
      <c r="F418" s="21">
        <v>0</v>
      </c>
      <c r="G418" s="21">
        <v>0</v>
      </c>
      <c r="H418" s="21">
        <v>0</v>
      </c>
      <c r="I418" s="43">
        <f t="shared" si="238"/>
        <v>0</v>
      </c>
      <c r="J418" s="20"/>
      <c r="K418" s="20"/>
      <c r="L418" s="20"/>
      <c r="M418" s="20"/>
      <c r="N418" s="20"/>
      <c r="O418" s="20"/>
      <c r="P418" s="20"/>
      <c r="Q418" s="24"/>
      <c r="R418" s="24"/>
      <c r="S418" s="24"/>
    </row>
    <row r="419" spans="1:19" ht="15.75" customHeight="1" x14ac:dyDescent="0.35">
      <c r="A419" s="30">
        <f t="shared" ref="A419" si="252">A416+7</f>
        <v>45314</v>
      </c>
      <c r="B419" s="92">
        <f t="shared" ref="B419" si="253">B416+7</f>
        <v>963</v>
      </c>
      <c r="C419" s="101" t="str">
        <f t="shared" si="237"/>
        <v>5% FBS R2</v>
      </c>
      <c r="D419" s="91" t="s">
        <v>65</v>
      </c>
      <c r="E419" s="21">
        <v>82</v>
      </c>
      <c r="F419" s="21">
        <v>90</v>
      </c>
      <c r="G419" s="21">
        <v>87</v>
      </c>
      <c r="H419" s="21">
        <v>95</v>
      </c>
      <c r="I419" s="43">
        <f t="shared" si="238"/>
        <v>88.5</v>
      </c>
      <c r="J419" s="20">
        <f t="shared" ref="J419" si="254">I419*2*10000</f>
        <v>1770000</v>
      </c>
      <c r="K419" s="20">
        <f t="shared" si="240"/>
        <v>3000000</v>
      </c>
      <c r="L419" s="20">
        <f t="shared" ref="L419" si="255">J419*5</f>
        <v>8850000</v>
      </c>
      <c r="M419" s="22">
        <f t="shared" ref="M419" si="256">I419/(I419+I420)*100</f>
        <v>96.457765667574932</v>
      </c>
      <c r="N419" s="22">
        <f>I421/I419*100</f>
        <v>0</v>
      </c>
      <c r="O419" s="23">
        <f t="shared" ref="O419" si="257">3.32*(LOG(L419)-LOG(K419))</f>
        <v>1.5598090930474995</v>
      </c>
      <c r="P419" s="23">
        <f t="shared" ref="P419" si="258">IF(O419&lt;0,P416,P416+O419)</f>
        <v>145.12809628033992</v>
      </c>
      <c r="Q419" s="38"/>
      <c r="R419" s="38"/>
      <c r="S419" s="39"/>
    </row>
    <row r="420" spans="1:19" ht="15.75" customHeight="1" x14ac:dyDescent="0.35">
      <c r="A420" s="20"/>
      <c r="B420" s="92"/>
      <c r="C420" s="101"/>
      <c r="D420" s="92" t="s">
        <v>66</v>
      </c>
      <c r="E420" s="21">
        <v>2</v>
      </c>
      <c r="F420" s="21">
        <v>2</v>
      </c>
      <c r="G420" s="21">
        <v>5</v>
      </c>
      <c r="H420" s="21">
        <v>4</v>
      </c>
      <c r="I420" s="43">
        <f t="shared" si="238"/>
        <v>3.25</v>
      </c>
      <c r="J420" s="20"/>
      <c r="K420" s="20"/>
      <c r="L420" s="20"/>
      <c r="M420" s="20"/>
      <c r="N420" s="20"/>
      <c r="O420" s="20"/>
      <c r="P420" s="20"/>
      <c r="Q420" s="24"/>
      <c r="R420" s="24"/>
      <c r="S420" s="24"/>
    </row>
    <row r="421" spans="1:19" ht="15.75" customHeight="1" x14ac:dyDescent="0.35">
      <c r="A421" s="20"/>
      <c r="B421" s="92"/>
      <c r="C421" s="101"/>
      <c r="D421" s="92" t="s">
        <v>67</v>
      </c>
      <c r="E421" s="21">
        <v>0</v>
      </c>
      <c r="F421" s="21">
        <v>0</v>
      </c>
      <c r="G421" s="21">
        <v>0</v>
      </c>
      <c r="H421" s="21">
        <v>0</v>
      </c>
      <c r="I421" s="43">
        <f t="shared" si="238"/>
        <v>0</v>
      </c>
      <c r="J421" s="20"/>
      <c r="K421" s="20"/>
      <c r="L421" s="20"/>
      <c r="M421" s="20"/>
      <c r="N421" s="20"/>
      <c r="O421" s="20"/>
      <c r="P421" s="20"/>
      <c r="Q421" s="24"/>
      <c r="R421" s="24"/>
      <c r="S421" s="24"/>
    </row>
    <row r="422" spans="1:19" ht="15.75" customHeight="1" x14ac:dyDescent="0.35">
      <c r="A422" s="30">
        <f t="shared" ref="A422" si="259">A419+7</f>
        <v>45321</v>
      </c>
      <c r="B422" s="92">
        <f t="shared" ref="B422" si="260">B419+7</f>
        <v>970</v>
      </c>
      <c r="C422" s="101" t="str">
        <f t="shared" ref="C422:C428" si="261">$C$125</f>
        <v>5% FBS R2</v>
      </c>
      <c r="D422" s="91" t="s">
        <v>65</v>
      </c>
      <c r="E422" s="21">
        <v>56</v>
      </c>
      <c r="F422" s="21">
        <v>53</v>
      </c>
      <c r="G422" s="21">
        <v>60</v>
      </c>
      <c r="H422" s="21">
        <v>62</v>
      </c>
      <c r="I422" s="43">
        <f t="shared" ref="I422:I430" si="262">AVERAGE(E422:H422)</f>
        <v>57.75</v>
      </c>
      <c r="J422" s="20">
        <f t="shared" ref="J422" si="263">I422*2*10000</f>
        <v>1155000</v>
      </c>
      <c r="K422" s="20">
        <f t="shared" ref="K422:K428" si="264">$K$125</f>
        <v>3000000</v>
      </c>
      <c r="L422" s="20">
        <f t="shared" ref="L422" si="265">J422*5</f>
        <v>5775000</v>
      </c>
      <c r="M422" s="22">
        <f t="shared" ref="M422" si="266">I422/(I422+I423)*100</f>
        <v>96.652719665271974</v>
      </c>
      <c r="N422" s="22">
        <f>I424/I422*100</f>
        <v>0</v>
      </c>
      <c r="O422" s="23">
        <f t="shared" ref="O422" si="267">3.32*(LOG(L422)-LOG(K422))</f>
        <v>0.94431003636380262</v>
      </c>
      <c r="P422" s="23">
        <f t="shared" ref="P422" si="268">IF(O422&lt;0,P419,P419+O422)</f>
        <v>146.07240631670373</v>
      </c>
      <c r="Q422" s="38"/>
      <c r="R422" s="38"/>
      <c r="S422" s="39"/>
    </row>
    <row r="423" spans="1:19" ht="15.75" customHeight="1" x14ac:dyDescent="0.35">
      <c r="A423" s="20"/>
      <c r="B423" s="92"/>
      <c r="C423" s="101"/>
      <c r="D423" s="92" t="s">
        <v>66</v>
      </c>
      <c r="E423" s="21">
        <v>1</v>
      </c>
      <c r="F423" s="21">
        <v>2</v>
      </c>
      <c r="G423" s="21">
        <v>3</v>
      </c>
      <c r="H423" s="21">
        <v>2</v>
      </c>
      <c r="I423" s="43">
        <f t="shared" si="262"/>
        <v>2</v>
      </c>
      <c r="J423" s="20"/>
      <c r="K423" s="20"/>
      <c r="L423" s="20"/>
      <c r="M423" s="20"/>
      <c r="N423" s="20"/>
      <c r="O423" s="20"/>
      <c r="P423" s="20"/>
      <c r="Q423" s="24"/>
      <c r="R423" s="24"/>
      <c r="S423" s="24"/>
    </row>
    <row r="424" spans="1:19" ht="15.75" customHeight="1" x14ac:dyDescent="0.35">
      <c r="A424" s="20"/>
      <c r="B424" s="92"/>
      <c r="C424" s="101"/>
      <c r="D424" s="92" t="s">
        <v>67</v>
      </c>
      <c r="E424" s="21">
        <v>0</v>
      </c>
      <c r="F424" s="21">
        <v>0</v>
      </c>
      <c r="G424" s="21">
        <v>0</v>
      </c>
      <c r="H424" s="21">
        <v>0</v>
      </c>
      <c r="I424" s="43">
        <f t="shared" si="262"/>
        <v>0</v>
      </c>
      <c r="J424" s="20"/>
      <c r="K424" s="20"/>
      <c r="L424" s="20"/>
      <c r="M424" s="20"/>
      <c r="N424" s="20"/>
      <c r="O424" s="20"/>
      <c r="P424" s="20"/>
      <c r="Q424" s="24"/>
      <c r="R424" s="24"/>
      <c r="S424" s="24"/>
    </row>
    <row r="425" spans="1:19" ht="15.75" customHeight="1" x14ac:dyDescent="0.35">
      <c r="A425" s="30">
        <f t="shared" ref="A425" si="269">A422+7</f>
        <v>45328</v>
      </c>
      <c r="B425" s="92">
        <f t="shared" ref="B425" si="270">B422+7</f>
        <v>977</v>
      </c>
      <c r="C425" s="101" t="str">
        <f t="shared" si="261"/>
        <v>5% FBS R2</v>
      </c>
      <c r="D425" s="91" t="s">
        <v>65</v>
      </c>
      <c r="E425" s="21">
        <v>97</v>
      </c>
      <c r="F425" s="21">
        <v>96</v>
      </c>
      <c r="G425" s="21">
        <v>83</v>
      </c>
      <c r="H425" s="21">
        <v>102</v>
      </c>
      <c r="I425" s="43">
        <f t="shared" si="262"/>
        <v>94.5</v>
      </c>
      <c r="J425" s="20">
        <f t="shared" ref="J425" si="271">I425*2*10000</f>
        <v>1890000</v>
      </c>
      <c r="K425" s="20">
        <f t="shared" si="264"/>
        <v>3000000</v>
      </c>
      <c r="L425" s="20">
        <f t="shared" ref="L425" si="272">J425*5</f>
        <v>9450000</v>
      </c>
      <c r="M425" s="22">
        <f t="shared" ref="M425" si="273">I425/(I425+I426)*100</f>
        <v>96.92307692307692</v>
      </c>
      <c r="N425" s="22">
        <f>I427/I425*100</f>
        <v>0</v>
      </c>
      <c r="O425" s="23">
        <f t="shared" ref="O425" si="274">3.32*(LOG(L425)-LOG(K425))</f>
        <v>1.654391038581472</v>
      </c>
      <c r="P425" s="23">
        <f t="shared" ref="P425" si="275">IF(O425&lt;0,P422,P422+O425)</f>
        <v>147.72679735528521</v>
      </c>
      <c r="Q425" s="38"/>
      <c r="R425" s="38"/>
      <c r="S425" s="39"/>
    </row>
    <row r="426" spans="1:19" ht="15.75" customHeight="1" x14ac:dyDescent="0.35">
      <c r="A426" s="20"/>
      <c r="B426" s="92"/>
      <c r="C426" s="101"/>
      <c r="D426" s="92" t="s">
        <v>66</v>
      </c>
      <c r="E426" s="21">
        <v>3</v>
      </c>
      <c r="F426" s="21">
        <v>3</v>
      </c>
      <c r="G426" s="21">
        <v>4</v>
      </c>
      <c r="H426" s="21">
        <v>2</v>
      </c>
      <c r="I426" s="43">
        <f t="shared" si="262"/>
        <v>3</v>
      </c>
      <c r="J426" s="20"/>
      <c r="K426" s="20"/>
      <c r="L426" s="20"/>
      <c r="M426" s="20"/>
      <c r="N426" s="20"/>
      <c r="O426" s="20"/>
      <c r="P426" s="20"/>
      <c r="Q426" s="24"/>
      <c r="R426" s="24"/>
      <c r="S426" s="24"/>
    </row>
    <row r="427" spans="1:19" ht="15.75" customHeight="1" x14ac:dyDescent="0.35">
      <c r="A427" s="20"/>
      <c r="B427" s="92"/>
      <c r="C427" s="101"/>
      <c r="D427" s="92" t="s">
        <v>67</v>
      </c>
      <c r="E427" s="21">
        <v>0</v>
      </c>
      <c r="F427" s="21">
        <v>0</v>
      </c>
      <c r="G427" s="21">
        <v>0</v>
      </c>
      <c r="H427" s="21">
        <v>0</v>
      </c>
      <c r="I427" s="43">
        <f t="shared" si="262"/>
        <v>0</v>
      </c>
      <c r="J427" s="20"/>
      <c r="K427" s="20"/>
      <c r="L427" s="20"/>
      <c r="M427" s="20"/>
      <c r="N427" s="20"/>
      <c r="O427" s="20"/>
      <c r="P427" s="20"/>
      <c r="Q427" s="24"/>
      <c r="R427" s="24"/>
      <c r="S427" s="24"/>
    </row>
    <row r="428" spans="1:19" ht="15.75" customHeight="1" x14ac:dyDescent="0.35">
      <c r="A428" s="30">
        <f t="shared" ref="A428" si="276">A425+7</f>
        <v>45335</v>
      </c>
      <c r="B428" s="92">
        <f t="shared" ref="B428" si="277">B425+7</f>
        <v>984</v>
      </c>
      <c r="C428" s="101" t="str">
        <f t="shared" si="261"/>
        <v>5% FBS R2</v>
      </c>
      <c r="D428" s="91" t="s">
        <v>65</v>
      </c>
      <c r="E428" s="21">
        <v>159</v>
      </c>
      <c r="F428" s="21">
        <v>139</v>
      </c>
      <c r="G428" s="21">
        <v>142</v>
      </c>
      <c r="H428" s="21">
        <v>135</v>
      </c>
      <c r="I428" s="43">
        <f t="shared" si="262"/>
        <v>143.75</v>
      </c>
      <c r="J428" s="20">
        <f t="shared" ref="J428" si="278">I428*2*10000</f>
        <v>2875000</v>
      </c>
      <c r="K428" s="20">
        <f t="shared" si="264"/>
        <v>3000000</v>
      </c>
      <c r="L428" s="20">
        <f t="shared" ref="L428" si="279">J428*5</f>
        <v>14375000</v>
      </c>
      <c r="M428" s="22">
        <f t="shared" ref="M428" si="280">I428/(I428+I429)*100</f>
        <v>96.964586846543</v>
      </c>
      <c r="N428" s="22">
        <f>I430/I428*100</f>
        <v>0</v>
      </c>
      <c r="O428" s="23">
        <f t="shared" ref="O428" si="281">3.32*(LOG(L428)-LOG(K428))</f>
        <v>2.2592155074914579</v>
      </c>
      <c r="P428" s="23">
        <f t="shared" ref="P428" si="282">IF(O428&lt;0,P425,P425+O428)</f>
        <v>149.98601286277668</v>
      </c>
      <c r="Q428" s="38"/>
      <c r="R428" s="38"/>
      <c r="S428" s="39"/>
    </row>
    <row r="429" spans="1:19" ht="15.75" customHeight="1" x14ac:dyDescent="0.35">
      <c r="A429" s="20"/>
      <c r="B429" s="92"/>
      <c r="C429" s="101"/>
      <c r="D429" s="92" t="s">
        <v>66</v>
      </c>
      <c r="E429" s="21">
        <v>2</v>
      </c>
      <c r="F429" s="21">
        <v>4</v>
      </c>
      <c r="G429" s="21">
        <v>6</v>
      </c>
      <c r="H429" s="21">
        <v>6</v>
      </c>
      <c r="I429" s="43">
        <f t="shared" si="262"/>
        <v>4.5</v>
      </c>
      <c r="J429" s="20"/>
      <c r="K429" s="20"/>
      <c r="L429" s="20"/>
      <c r="M429" s="20"/>
      <c r="N429" s="20"/>
      <c r="O429" s="20"/>
      <c r="P429" s="20"/>
      <c r="Q429" s="24"/>
      <c r="R429" s="24"/>
      <c r="S429" s="24"/>
    </row>
    <row r="430" spans="1:19" ht="15.75" customHeight="1" x14ac:dyDescent="0.35">
      <c r="A430" s="20"/>
      <c r="B430" s="92"/>
      <c r="C430" s="101"/>
      <c r="D430" s="92" t="s">
        <v>67</v>
      </c>
      <c r="E430" s="21">
        <v>0</v>
      </c>
      <c r="F430" s="21">
        <v>0</v>
      </c>
      <c r="G430" s="21">
        <v>0</v>
      </c>
      <c r="H430" s="21">
        <v>0</v>
      </c>
      <c r="I430" s="43">
        <f t="shared" si="262"/>
        <v>0</v>
      </c>
      <c r="J430" s="20"/>
      <c r="K430" s="20"/>
      <c r="L430" s="20"/>
      <c r="M430" s="20"/>
      <c r="N430" s="20"/>
      <c r="O430" s="20"/>
      <c r="P430" s="20"/>
      <c r="Q430" s="24"/>
      <c r="R430" s="24"/>
      <c r="S430" s="24"/>
    </row>
    <row r="431" spans="1:19" ht="15.75" customHeight="1" x14ac:dyDescent="0.35">
      <c r="A431" s="30">
        <f t="shared" ref="A431" si="283">A428+7</f>
        <v>45342</v>
      </c>
      <c r="B431" s="92">
        <f t="shared" ref="B431" si="284">B428+7</f>
        <v>991</v>
      </c>
      <c r="C431" s="101" t="str">
        <f t="shared" ref="C431" si="285">$C$125</f>
        <v>5% FBS R2</v>
      </c>
      <c r="D431" s="91" t="s">
        <v>65</v>
      </c>
      <c r="E431" s="21">
        <v>110</v>
      </c>
      <c r="F431" s="21">
        <v>131</v>
      </c>
      <c r="G431" s="21">
        <v>107</v>
      </c>
      <c r="H431" s="21">
        <v>112</v>
      </c>
      <c r="I431" s="43">
        <f t="shared" ref="I431:I494" si="286">AVERAGE(E431:H431)</f>
        <v>115</v>
      </c>
      <c r="J431" s="20">
        <f t="shared" ref="J431" si="287">I431*2*10000</f>
        <v>2300000</v>
      </c>
      <c r="K431" s="20">
        <f t="shared" ref="K431" si="288">$K$125</f>
        <v>3000000</v>
      </c>
      <c r="L431" s="20">
        <f t="shared" ref="L431" si="289">J431*5</f>
        <v>11500000</v>
      </c>
      <c r="M431" s="22">
        <f t="shared" ref="M431" si="290">I431/(I431+I432)*100</f>
        <v>97.25158562367865</v>
      </c>
      <c r="N431" s="22">
        <f>I433/I431*100</f>
        <v>0</v>
      </c>
      <c r="O431" s="23">
        <f t="shared" ref="O431" si="291">3.32*(LOG(L431)-LOG(K431))</f>
        <v>1.9374742643047114</v>
      </c>
      <c r="P431" s="23">
        <f t="shared" ref="P431" si="292">IF(O431&lt;0,P428,P428+O431)</f>
        <v>151.92348712708139</v>
      </c>
      <c r="Q431" s="38"/>
      <c r="R431" s="38"/>
      <c r="S431" s="39"/>
    </row>
    <row r="432" spans="1:19" ht="15.75" customHeight="1" x14ac:dyDescent="0.35">
      <c r="A432" s="20"/>
      <c r="B432" s="92"/>
      <c r="C432" s="101"/>
      <c r="D432" s="92" t="s">
        <v>66</v>
      </c>
      <c r="E432" s="21">
        <v>6</v>
      </c>
      <c r="F432" s="21">
        <v>2</v>
      </c>
      <c r="G432" s="21">
        <v>3</v>
      </c>
      <c r="H432" s="21">
        <v>2</v>
      </c>
      <c r="I432" s="43">
        <f t="shared" si="286"/>
        <v>3.25</v>
      </c>
      <c r="J432" s="20"/>
      <c r="K432" s="20"/>
      <c r="L432" s="20"/>
      <c r="M432" s="20"/>
      <c r="N432" s="20"/>
      <c r="O432" s="20"/>
      <c r="P432" s="20"/>
      <c r="Q432" s="24"/>
      <c r="R432" s="24"/>
      <c r="S432" s="24"/>
    </row>
    <row r="433" spans="1:22" ht="15.75" customHeight="1" x14ac:dyDescent="0.35">
      <c r="A433" s="20"/>
      <c r="B433" s="92"/>
      <c r="C433" s="101"/>
      <c r="D433" s="92" t="s">
        <v>67</v>
      </c>
      <c r="E433" s="21">
        <v>0</v>
      </c>
      <c r="F433" s="21">
        <v>0</v>
      </c>
      <c r="G433" s="21">
        <v>0</v>
      </c>
      <c r="H433" s="21">
        <v>0</v>
      </c>
      <c r="I433" s="43">
        <f t="shared" si="286"/>
        <v>0</v>
      </c>
      <c r="J433" s="20"/>
      <c r="K433" s="20"/>
      <c r="L433" s="20"/>
      <c r="M433" s="20"/>
      <c r="N433" s="20"/>
      <c r="O433" s="20"/>
      <c r="P433" s="20"/>
      <c r="Q433" s="24"/>
      <c r="R433" s="24"/>
      <c r="S433" s="24"/>
      <c r="T433" s="36"/>
      <c r="U433" s="36"/>
      <c r="V433" s="36"/>
    </row>
    <row r="434" spans="1:22" ht="15.75" customHeight="1" x14ac:dyDescent="0.35">
      <c r="A434" s="30">
        <f t="shared" ref="A434:B434" si="293">A431+7</f>
        <v>45349</v>
      </c>
      <c r="B434" s="92">
        <f t="shared" si="293"/>
        <v>998</v>
      </c>
      <c r="C434" s="101" t="str">
        <f t="shared" ref="C434" si="294">$C$155</f>
        <v>5% FBS R2</v>
      </c>
      <c r="D434" s="91" t="s">
        <v>65</v>
      </c>
      <c r="E434" s="54">
        <v>183</v>
      </c>
      <c r="F434" s="54">
        <v>176</v>
      </c>
      <c r="G434" s="54">
        <v>233</v>
      </c>
      <c r="H434" s="54">
        <v>243</v>
      </c>
      <c r="I434" s="20">
        <f t="shared" si="286"/>
        <v>208.75</v>
      </c>
      <c r="J434" s="20">
        <f t="shared" ref="J434" si="295">I434*2*10000</f>
        <v>4175000</v>
      </c>
      <c r="K434" s="20">
        <f t="shared" ref="K434" si="296">$K$155</f>
        <v>3000000</v>
      </c>
      <c r="L434" s="20">
        <f t="shared" ref="L434" si="297">J434*5</f>
        <v>20875000</v>
      </c>
      <c r="M434" s="22">
        <f t="shared" ref="M434" si="298">I434/(I434+I435)*100</f>
        <v>93.191964285714292</v>
      </c>
      <c r="N434" s="22">
        <f>I436/I434*100</f>
        <v>0</v>
      </c>
      <c r="O434" s="23">
        <f>3.32*(LOG(L434)-LOG(K434))</f>
        <v>2.7971173617274432</v>
      </c>
      <c r="P434" s="23">
        <f t="shared" ref="P434" si="299">IF(O434&lt;0,P431,P431+O434)</f>
        <v>154.72060448880882</v>
      </c>
      <c r="Q434" s="38"/>
      <c r="R434" s="38"/>
      <c r="S434" s="39"/>
      <c r="T434" s="38"/>
      <c r="U434" s="36"/>
      <c r="V434" s="36"/>
    </row>
    <row r="435" spans="1:22" ht="15.75" customHeight="1" x14ac:dyDescent="0.35">
      <c r="A435" s="20"/>
      <c r="B435" s="92"/>
      <c r="C435" s="101"/>
      <c r="D435" s="92" t="s">
        <v>66</v>
      </c>
      <c r="E435" s="54">
        <v>9</v>
      </c>
      <c r="F435" s="54">
        <v>15</v>
      </c>
      <c r="G435" s="54">
        <v>19</v>
      </c>
      <c r="H435" s="54">
        <v>18</v>
      </c>
      <c r="I435" s="20">
        <f t="shared" si="286"/>
        <v>15.25</v>
      </c>
      <c r="J435" s="20"/>
      <c r="K435" s="20"/>
      <c r="L435" s="20"/>
      <c r="M435" s="20"/>
      <c r="N435" s="20"/>
      <c r="O435" s="20"/>
      <c r="P435" s="20"/>
      <c r="Q435" s="24"/>
      <c r="R435" s="24"/>
      <c r="S435" s="24"/>
      <c r="T435" s="67"/>
      <c r="U435" s="67"/>
      <c r="V435" s="36"/>
    </row>
    <row r="436" spans="1:22" ht="15.75" customHeight="1" x14ac:dyDescent="0.35">
      <c r="A436" s="20"/>
      <c r="B436" s="92"/>
      <c r="C436" s="101"/>
      <c r="D436" s="92" t="s">
        <v>67</v>
      </c>
      <c r="E436" s="54">
        <v>0</v>
      </c>
      <c r="F436" s="54">
        <v>0</v>
      </c>
      <c r="G436" s="54">
        <v>0</v>
      </c>
      <c r="H436" s="54">
        <v>0</v>
      </c>
      <c r="I436" s="20">
        <f t="shared" si="286"/>
        <v>0</v>
      </c>
      <c r="J436" s="20"/>
      <c r="K436" s="20"/>
      <c r="L436" s="20"/>
      <c r="M436" s="20"/>
      <c r="N436" s="20"/>
      <c r="O436" s="20"/>
      <c r="P436" s="20"/>
      <c r="Q436" s="24"/>
      <c r="R436" s="24"/>
      <c r="S436" s="24"/>
      <c r="T436" s="67"/>
      <c r="U436" s="67"/>
      <c r="V436" s="36"/>
    </row>
    <row r="437" spans="1:22" ht="15.75" customHeight="1" x14ac:dyDescent="0.35">
      <c r="A437" s="30">
        <f t="shared" ref="A437" si="300">A434+7</f>
        <v>45356</v>
      </c>
      <c r="B437" s="120">
        <f>B434+7</f>
        <v>1005</v>
      </c>
      <c r="C437" s="105" t="str">
        <f>$C$155</f>
        <v>5% FBS R2</v>
      </c>
      <c r="D437" s="91" t="s">
        <v>65</v>
      </c>
      <c r="E437" s="58">
        <v>131</v>
      </c>
      <c r="F437" s="58">
        <v>126</v>
      </c>
      <c r="G437" s="58">
        <v>133</v>
      </c>
      <c r="H437" s="58">
        <v>128</v>
      </c>
      <c r="I437" s="64">
        <f t="shared" si="286"/>
        <v>129.5</v>
      </c>
      <c r="J437" s="64">
        <f>I437*2*10000</f>
        <v>2590000</v>
      </c>
      <c r="K437" s="64">
        <f>$K$155</f>
        <v>3000000</v>
      </c>
      <c r="L437" s="64">
        <f>J437*5</f>
        <v>12950000</v>
      </c>
      <c r="M437" s="65">
        <f>I437/(I437+I438)*100</f>
        <v>96.103896103896105</v>
      </c>
      <c r="N437" s="22">
        <f>I439/I437*100</f>
        <v>0</v>
      </c>
      <c r="O437" s="66">
        <f>3.32*(LOG(L437)-LOG(K437))</f>
        <v>2.1086930654760585</v>
      </c>
      <c r="P437" s="66">
        <f>IF(O437&lt;0,P434,P434+O437)</f>
        <v>156.82929755428486</v>
      </c>
      <c r="Q437" s="68"/>
      <c r="R437" s="68"/>
      <c r="S437" s="69"/>
      <c r="T437" s="68"/>
      <c r="U437" s="36"/>
      <c r="V437" s="36"/>
    </row>
    <row r="438" spans="1:22" ht="15.75" customHeight="1" x14ac:dyDescent="0.35">
      <c r="A438" s="20"/>
      <c r="B438" s="120"/>
      <c r="C438" s="105"/>
      <c r="D438" s="92" t="s">
        <v>66</v>
      </c>
      <c r="E438" s="58">
        <v>3</v>
      </c>
      <c r="F438" s="58">
        <v>7</v>
      </c>
      <c r="G438" s="58">
        <v>5</v>
      </c>
      <c r="H438" s="58">
        <v>6</v>
      </c>
      <c r="I438" s="64">
        <f t="shared" si="286"/>
        <v>5.25</v>
      </c>
      <c r="J438" s="64"/>
      <c r="K438" s="64"/>
      <c r="L438" s="64"/>
      <c r="M438" s="64"/>
      <c r="N438" s="20"/>
      <c r="O438" s="64"/>
      <c r="P438" s="64"/>
      <c r="Q438" s="70"/>
      <c r="R438" s="70"/>
      <c r="S438" s="70"/>
      <c r="T438" s="71"/>
      <c r="U438" s="71"/>
      <c r="V438" s="36"/>
    </row>
    <row r="439" spans="1:22" ht="15.75" customHeight="1" x14ac:dyDescent="0.35">
      <c r="A439" s="20"/>
      <c r="B439" s="120"/>
      <c r="C439" s="105"/>
      <c r="D439" s="92" t="s">
        <v>67</v>
      </c>
      <c r="E439" s="58">
        <v>0</v>
      </c>
      <c r="F439" s="58">
        <v>0</v>
      </c>
      <c r="G439" s="58">
        <v>0</v>
      </c>
      <c r="H439" s="58">
        <v>0</v>
      </c>
      <c r="I439" s="64">
        <f t="shared" si="286"/>
        <v>0</v>
      </c>
      <c r="J439" s="64"/>
      <c r="K439" s="64"/>
      <c r="L439" s="64"/>
      <c r="M439" s="64"/>
      <c r="N439" s="20"/>
      <c r="O439" s="64"/>
      <c r="P439" s="64"/>
      <c r="Q439" s="70"/>
      <c r="R439" s="70"/>
      <c r="S439" s="70"/>
      <c r="T439" s="71"/>
      <c r="U439" s="71"/>
      <c r="V439" s="36"/>
    </row>
    <row r="440" spans="1:22" ht="15.75" customHeight="1" x14ac:dyDescent="0.35">
      <c r="A440" s="30">
        <f t="shared" ref="A440" si="301">A437+7</f>
        <v>45363</v>
      </c>
      <c r="B440" s="120">
        <f>B437+7</f>
        <v>1012</v>
      </c>
      <c r="C440" s="105" t="str">
        <f>$C$155</f>
        <v>5% FBS R2</v>
      </c>
      <c r="D440" s="91" t="s">
        <v>65</v>
      </c>
      <c r="E440" s="58">
        <v>80</v>
      </c>
      <c r="F440" s="58">
        <v>75</v>
      </c>
      <c r="G440" s="58">
        <v>79</v>
      </c>
      <c r="H440" s="58">
        <v>75</v>
      </c>
      <c r="I440" s="64">
        <f t="shared" si="286"/>
        <v>77.25</v>
      </c>
      <c r="J440" s="64">
        <f>I440*2*10000</f>
        <v>1545000</v>
      </c>
      <c r="K440" s="64">
        <f>$K$155</f>
        <v>3000000</v>
      </c>
      <c r="L440" s="64">
        <f>J440*5</f>
        <v>7725000</v>
      </c>
      <c r="M440" s="65">
        <f>I440/(I440+I441)*100</f>
        <v>97.476340694006311</v>
      </c>
      <c r="N440" s="22">
        <f>I442/I440*100</f>
        <v>0</v>
      </c>
      <c r="O440" s="66">
        <f>3.32*(LOG(L440)-LOG(K440))</f>
        <v>1.3637804148123356</v>
      </c>
      <c r="P440" s="66">
        <f>IF(O440&lt;0,P437,P437+O440)</f>
        <v>158.1930779690972</v>
      </c>
      <c r="Q440" s="68"/>
      <c r="R440" s="68"/>
      <c r="S440" s="69"/>
      <c r="T440" s="68"/>
      <c r="U440" s="72"/>
      <c r="V440" s="72"/>
    </row>
    <row r="441" spans="1:22" ht="15.75" customHeight="1" x14ac:dyDescent="0.35">
      <c r="A441" s="20"/>
      <c r="B441" s="120"/>
      <c r="C441" s="105"/>
      <c r="D441" s="92" t="s">
        <v>66</v>
      </c>
      <c r="E441" s="58">
        <v>2</v>
      </c>
      <c r="F441" s="58">
        <v>2</v>
      </c>
      <c r="G441" s="58">
        <v>3</v>
      </c>
      <c r="H441" s="58">
        <v>1</v>
      </c>
      <c r="I441" s="64">
        <f t="shared" si="286"/>
        <v>2</v>
      </c>
      <c r="J441" s="64"/>
      <c r="K441" s="64"/>
      <c r="L441" s="64"/>
      <c r="M441" s="64"/>
      <c r="N441" s="20"/>
      <c r="O441" s="64"/>
      <c r="P441" s="64"/>
      <c r="Q441" s="70"/>
      <c r="R441" s="70"/>
      <c r="S441" s="70"/>
      <c r="T441" s="71"/>
      <c r="U441" s="71"/>
      <c r="V441" s="36"/>
    </row>
    <row r="442" spans="1:22" ht="15.75" customHeight="1" x14ac:dyDescent="0.35">
      <c r="A442" s="20"/>
      <c r="B442" s="120"/>
      <c r="C442" s="105"/>
      <c r="D442" s="92" t="s">
        <v>67</v>
      </c>
      <c r="E442" s="58">
        <v>0</v>
      </c>
      <c r="F442" s="58">
        <v>0</v>
      </c>
      <c r="G442" s="58">
        <v>0</v>
      </c>
      <c r="H442" s="58">
        <v>0</v>
      </c>
      <c r="I442" s="64">
        <f t="shared" si="286"/>
        <v>0</v>
      </c>
      <c r="J442" s="64"/>
      <c r="K442" s="64"/>
      <c r="L442" s="64"/>
      <c r="M442" s="64"/>
      <c r="N442" s="20"/>
      <c r="O442" s="64"/>
      <c r="P442" s="64"/>
      <c r="Q442" s="70"/>
      <c r="R442" s="70"/>
      <c r="S442" s="70"/>
      <c r="T442" s="71"/>
      <c r="U442" s="71"/>
      <c r="V442" s="36"/>
    </row>
    <row r="443" spans="1:22" ht="15.75" customHeight="1" x14ac:dyDescent="0.35">
      <c r="A443" s="30">
        <f t="shared" ref="A443" si="302">A440+7</f>
        <v>45370</v>
      </c>
      <c r="B443" s="120">
        <f>B440+7</f>
        <v>1019</v>
      </c>
      <c r="C443" s="105" t="str">
        <f>$C$155</f>
        <v>5% FBS R2</v>
      </c>
      <c r="D443" s="91" t="s">
        <v>65</v>
      </c>
      <c r="E443" s="58">
        <v>85</v>
      </c>
      <c r="F443" s="58">
        <v>89</v>
      </c>
      <c r="G443" s="58">
        <v>92</v>
      </c>
      <c r="H443" s="58">
        <v>76</v>
      </c>
      <c r="I443" s="64">
        <f t="shared" si="286"/>
        <v>85.5</v>
      </c>
      <c r="J443" s="64">
        <f>I443*2*10000</f>
        <v>1710000</v>
      </c>
      <c r="K443" s="64">
        <f>$K$155</f>
        <v>3000000</v>
      </c>
      <c r="L443" s="64">
        <f>J443*5</f>
        <v>8550000</v>
      </c>
      <c r="M443" s="65">
        <f>I443/(I443+I444)*100</f>
        <v>97.714285714285708</v>
      </c>
      <c r="N443" s="22">
        <f>I445/I443*100</f>
        <v>0</v>
      </c>
      <c r="O443" s="66">
        <f>3.32*(LOG(L443)-LOG(K443))</f>
        <v>1.5100849352282539</v>
      </c>
      <c r="P443" s="66">
        <f>IF(O443&lt;0,P440,P440+O443)</f>
        <v>159.70316290432547</v>
      </c>
      <c r="Q443" s="68"/>
      <c r="R443" s="68"/>
      <c r="S443" s="69"/>
      <c r="T443" s="68"/>
      <c r="U443" s="36"/>
      <c r="V443" s="36"/>
    </row>
    <row r="444" spans="1:22" ht="15.75" customHeight="1" x14ac:dyDescent="0.35">
      <c r="A444" s="20"/>
      <c r="B444" s="120"/>
      <c r="C444" s="105"/>
      <c r="D444" s="92" t="s">
        <v>66</v>
      </c>
      <c r="E444" s="58">
        <v>2</v>
      </c>
      <c r="F444" s="58">
        <v>3</v>
      </c>
      <c r="G444" s="58">
        <v>1</v>
      </c>
      <c r="H444" s="58">
        <v>2</v>
      </c>
      <c r="I444" s="64">
        <f t="shared" si="286"/>
        <v>2</v>
      </c>
      <c r="J444" s="64"/>
      <c r="K444" s="64"/>
      <c r="L444" s="64"/>
      <c r="M444" s="64"/>
      <c r="N444" s="20"/>
      <c r="O444" s="64"/>
      <c r="P444" s="64"/>
      <c r="Q444" s="70"/>
      <c r="R444" s="70"/>
      <c r="S444" s="70"/>
      <c r="T444" s="71"/>
      <c r="U444" s="71"/>
      <c r="V444" s="36"/>
    </row>
    <row r="445" spans="1:22" ht="15.75" customHeight="1" x14ac:dyDescent="0.35">
      <c r="A445" s="20"/>
      <c r="B445" s="120"/>
      <c r="C445" s="105"/>
      <c r="D445" s="92" t="s">
        <v>67</v>
      </c>
      <c r="E445" s="58">
        <v>0</v>
      </c>
      <c r="F445" s="58">
        <v>0</v>
      </c>
      <c r="G445" s="58">
        <v>0</v>
      </c>
      <c r="H445" s="58">
        <v>0</v>
      </c>
      <c r="I445" s="64">
        <f t="shared" si="286"/>
        <v>0</v>
      </c>
      <c r="J445" s="64"/>
      <c r="K445" s="64"/>
      <c r="L445" s="64"/>
      <c r="M445" s="64"/>
      <c r="N445" s="20"/>
      <c r="O445" s="64"/>
      <c r="P445" s="64"/>
      <c r="Q445" s="70"/>
      <c r="R445" s="70"/>
      <c r="S445" s="70"/>
      <c r="T445" s="71"/>
      <c r="U445" s="71"/>
      <c r="V445" s="36"/>
    </row>
    <row r="446" spans="1:22" ht="15.75" customHeight="1" x14ac:dyDescent="0.35">
      <c r="A446" s="30">
        <f t="shared" ref="A446" si="303">A443+7</f>
        <v>45377</v>
      </c>
      <c r="B446" s="120">
        <f t="shared" ref="B446" si="304">B443+7</f>
        <v>1026</v>
      </c>
      <c r="C446" s="105" t="str">
        <f t="shared" ref="C446" si="305">$C$155</f>
        <v>5% FBS R2</v>
      </c>
      <c r="D446" s="91" t="s">
        <v>65</v>
      </c>
      <c r="E446" s="58">
        <v>120</v>
      </c>
      <c r="F446" s="58">
        <v>123</v>
      </c>
      <c r="G446" s="58">
        <v>120</v>
      </c>
      <c r="H446" s="58">
        <v>108</v>
      </c>
      <c r="I446" s="64">
        <f t="shared" si="286"/>
        <v>117.75</v>
      </c>
      <c r="J446" s="64">
        <f t="shared" ref="J446" si="306">I446*2*10000</f>
        <v>2355000</v>
      </c>
      <c r="K446" s="64">
        <f t="shared" ref="K446" si="307">$K$155</f>
        <v>3000000</v>
      </c>
      <c r="L446" s="64">
        <f t="shared" ref="L446" si="308">J446*5</f>
        <v>11775000</v>
      </c>
      <c r="M446" s="65">
        <f t="shared" ref="M446" si="309">I446/(I446+I447)*100</f>
        <v>97.515527950310556</v>
      </c>
      <c r="N446" s="22">
        <f>I448/I446*100</f>
        <v>0</v>
      </c>
      <c r="O446" s="66">
        <f>3.32*(LOG(L446)-LOG(K446))</f>
        <v>1.9715476747898213</v>
      </c>
      <c r="P446" s="66">
        <f t="shared" ref="P446" si="310">IF(O446&lt;0,P443,P443+O446)</f>
        <v>161.6747105791153</v>
      </c>
      <c r="Q446" s="68"/>
      <c r="R446" s="68"/>
      <c r="S446" s="69"/>
      <c r="T446" s="68"/>
      <c r="U446" s="36"/>
      <c r="V446" s="36"/>
    </row>
    <row r="447" spans="1:22" ht="15.75" customHeight="1" x14ac:dyDescent="0.35">
      <c r="A447" s="20"/>
      <c r="B447" s="120"/>
      <c r="C447" s="105"/>
      <c r="D447" s="92" t="s">
        <v>66</v>
      </c>
      <c r="E447" s="58">
        <v>5</v>
      </c>
      <c r="F447" s="58">
        <v>1</v>
      </c>
      <c r="G447" s="58">
        <v>4</v>
      </c>
      <c r="H447" s="58">
        <v>2</v>
      </c>
      <c r="I447" s="64">
        <f t="shared" si="286"/>
        <v>3</v>
      </c>
      <c r="J447" s="64"/>
      <c r="K447" s="64"/>
      <c r="L447" s="64"/>
      <c r="M447" s="64"/>
      <c r="N447" s="20"/>
      <c r="O447" s="64"/>
      <c r="P447" s="64"/>
      <c r="Q447" s="70"/>
      <c r="R447" s="70"/>
      <c r="S447" s="70"/>
      <c r="T447" s="71"/>
      <c r="U447" s="71"/>
      <c r="V447" s="36"/>
    </row>
    <row r="448" spans="1:22" ht="15.75" customHeight="1" x14ac:dyDescent="0.35">
      <c r="A448" s="20"/>
      <c r="B448" s="120"/>
      <c r="C448" s="105"/>
      <c r="D448" s="92" t="s">
        <v>67</v>
      </c>
      <c r="E448" s="58">
        <v>0</v>
      </c>
      <c r="F448" s="58">
        <v>0</v>
      </c>
      <c r="G448" s="58">
        <v>0</v>
      </c>
      <c r="H448" s="58">
        <v>0</v>
      </c>
      <c r="I448" s="64">
        <f t="shared" si="286"/>
        <v>0</v>
      </c>
      <c r="J448" s="64"/>
      <c r="K448" s="64"/>
      <c r="L448" s="64"/>
      <c r="M448" s="64"/>
      <c r="N448" s="20"/>
      <c r="O448" s="64"/>
      <c r="P448" s="64"/>
      <c r="Q448" s="70"/>
      <c r="R448" s="70"/>
      <c r="S448" s="70"/>
      <c r="T448" s="71"/>
      <c r="U448" s="71"/>
      <c r="V448" s="36"/>
    </row>
    <row r="449" spans="1:22" ht="15.75" customHeight="1" x14ac:dyDescent="0.35">
      <c r="A449" s="30">
        <f t="shared" ref="A449" si="311">A446+7</f>
        <v>45384</v>
      </c>
      <c r="B449" s="120">
        <f t="shared" ref="B449" si="312">B446+7</f>
        <v>1033</v>
      </c>
      <c r="C449" s="105" t="str">
        <f t="shared" ref="C449" si="313">$C$155</f>
        <v>5% FBS R2</v>
      </c>
      <c r="D449" s="91" t="s">
        <v>65</v>
      </c>
      <c r="E449" s="58">
        <v>156</v>
      </c>
      <c r="F449" s="58">
        <v>163</v>
      </c>
      <c r="G449" s="58">
        <v>168</v>
      </c>
      <c r="H449" s="58">
        <v>159</v>
      </c>
      <c r="I449" s="64">
        <f t="shared" si="286"/>
        <v>161.5</v>
      </c>
      <c r="J449" s="64">
        <f t="shared" ref="J449" si="314">I449*2*10000</f>
        <v>3230000</v>
      </c>
      <c r="K449" s="64">
        <f t="shared" ref="K449" si="315">$K$155</f>
        <v>3000000</v>
      </c>
      <c r="L449" s="64">
        <f t="shared" ref="L449" si="316">J449*5</f>
        <v>16150000</v>
      </c>
      <c r="M449" s="65">
        <f t="shared" ref="M449" si="317">I449/(I449+I450)*100</f>
        <v>97.142857142857139</v>
      </c>
      <c r="N449" s="22">
        <f>I451/I449*100</f>
        <v>0</v>
      </c>
      <c r="O449" s="66">
        <f>3.32*(LOG(L449)-LOG(K449))</f>
        <v>2.427090222865564</v>
      </c>
      <c r="P449" s="66">
        <f t="shared" ref="P449" si="318">IF(O449&lt;0,P446,P446+O449)</f>
        <v>164.10180080198086</v>
      </c>
      <c r="Q449" s="68"/>
      <c r="R449" s="68"/>
      <c r="S449" s="69"/>
      <c r="T449" s="68"/>
      <c r="U449" s="36"/>
      <c r="V449" s="36"/>
    </row>
    <row r="450" spans="1:22" ht="15.75" customHeight="1" x14ac:dyDescent="0.35">
      <c r="A450" s="20"/>
      <c r="B450" s="120"/>
      <c r="C450" s="105"/>
      <c r="D450" s="92" t="s">
        <v>66</v>
      </c>
      <c r="E450" s="58">
        <v>4</v>
      </c>
      <c r="F450" s="58">
        <v>5</v>
      </c>
      <c r="G450" s="58">
        <v>6</v>
      </c>
      <c r="H450" s="58">
        <v>4</v>
      </c>
      <c r="I450" s="64">
        <f t="shared" si="286"/>
        <v>4.75</v>
      </c>
      <c r="J450" s="64"/>
      <c r="K450" s="64"/>
      <c r="L450" s="64"/>
      <c r="M450" s="64"/>
      <c r="N450" s="20"/>
      <c r="O450" s="64"/>
      <c r="P450" s="64"/>
      <c r="Q450" s="70"/>
      <c r="R450" s="70"/>
      <c r="S450" s="70"/>
      <c r="T450" s="71"/>
      <c r="U450" s="71"/>
      <c r="V450" s="36"/>
    </row>
    <row r="451" spans="1:22" ht="15.75" customHeight="1" x14ac:dyDescent="0.35">
      <c r="A451" s="20"/>
      <c r="B451" s="120"/>
      <c r="C451" s="105"/>
      <c r="D451" s="92" t="s">
        <v>67</v>
      </c>
      <c r="E451" s="58">
        <v>0</v>
      </c>
      <c r="F451" s="58">
        <v>0</v>
      </c>
      <c r="G451" s="58">
        <v>0</v>
      </c>
      <c r="H451" s="58">
        <v>0</v>
      </c>
      <c r="I451" s="64">
        <f t="shared" si="286"/>
        <v>0</v>
      </c>
      <c r="J451" s="64"/>
      <c r="K451" s="64"/>
      <c r="L451" s="64"/>
      <c r="M451" s="64"/>
      <c r="N451" s="20"/>
      <c r="O451" s="64"/>
      <c r="P451" s="64"/>
      <c r="Q451" s="70"/>
      <c r="R451" s="70"/>
      <c r="S451" s="70"/>
      <c r="T451" s="71"/>
      <c r="U451" s="71"/>
      <c r="V451" s="36"/>
    </row>
    <row r="452" spans="1:22" ht="15.75" customHeight="1" x14ac:dyDescent="0.35">
      <c r="A452" s="30">
        <f t="shared" ref="A452" si="319">A449+7</f>
        <v>45391</v>
      </c>
      <c r="B452" s="120">
        <f t="shared" ref="B452" si="320">B449+7</f>
        <v>1040</v>
      </c>
      <c r="C452" s="105" t="str">
        <f t="shared" ref="C452" si="321">$C$155</f>
        <v>5% FBS R2</v>
      </c>
      <c r="D452" s="91" t="s">
        <v>65</v>
      </c>
      <c r="E452" s="58">
        <v>116</v>
      </c>
      <c r="F452" s="58">
        <v>117</v>
      </c>
      <c r="G452" s="58">
        <v>143</v>
      </c>
      <c r="H452" s="58">
        <v>116</v>
      </c>
      <c r="I452" s="64">
        <f t="shared" si="286"/>
        <v>123</v>
      </c>
      <c r="J452" s="64">
        <f t="shared" ref="J452" si="322">I452*2*10000</f>
        <v>2460000</v>
      </c>
      <c r="K452" s="64">
        <f t="shared" ref="K452" si="323">$K$155</f>
        <v>3000000</v>
      </c>
      <c r="L452" s="64">
        <f t="shared" ref="L452" si="324">J452*5</f>
        <v>12300000</v>
      </c>
      <c r="M452" s="65">
        <f t="shared" ref="M452" si="325">I452/(I452+I453)*100</f>
        <v>98.203592814371248</v>
      </c>
      <c r="N452" s="22">
        <f>I454/I452*100</f>
        <v>0</v>
      </c>
      <c r="O452" s="66">
        <f>3.32*(LOG(L452)-LOG(K452))</f>
        <v>2.0344424043095217</v>
      </c>
      <c r="P452" s="66">
        <f t="shared" ref="P452" si="326">IF(O452&lt;0,P449,P449+O452)</f>
        <v>166.13624320629037</v>
      </c>
      <c r="Q452" s="68"/>
      <c r="R452" s="68"/>
      <c r="S452" s="69"/>
      <c r="T452" s="68"/>
      <c r="U452" s="36"/>
      <c r="V452" s="36"/>
    </row>
    <row r="453" spans="1:22" ht="15.75" customHeight="1" x14ac:dyDescent="0.35">
      <c r="A453" s="20"/>
      <c r="B453" s="120"/>
      <c r="C453" s="105"/>
      <c r="D453" s="92" t="s">
        <v>66</v>
      </c>
      <c r="E453" s="58">
        <v>1</v>
      </c>
      <c r="F453" s="58">
        <v>3</v>
      </c>
      <c r="G453" s="58">
        <v>3</v>
      </c>
      <c r="H453" s="58">
        <v>2</v>
      </c>
      <c r="I453" s="64">
        <f t="shared" si="286"/>
        <v>2.25</v>
      </c>
      <c r="J453" s="64"/>
      <c r="K453" s="64"/>
      <c r="L453" s="64"/>
      <c r="M453" s="64"/>
      <c r="N453" s="20"/>
      <c r="O453" s="64"/>
      <c r="P453" s="64"/>
      <c r="Q453" s="70"/>
      <c r="R453" s="70"/>
      <c r="S453" s="70"/>
      <c r="T453" s="71"/>
      <c r="U453" s="71"/>
      <c r="V453" s="36"/>
    </row>
    <row r="454" spans="1:22" ht="15.75" customHeight="1" x14ac:dyDescent="0.35">
      <c r="A454" s="20"/>
      <c r="B454" s="120"/>
      <c r="C454" s="105"/>
      <c r="D454" s="92" t="s">
        <v>67</v>
      </c>
      <c r="E454" s="58">
        <v>0</v>
      </c>
      <c r="F454" s="58">
        <v>0</v>
      </c>
      <c r="G454" s="58">
        <v>0</v>
      </c>
      <c r="H454" s="58">
        <v>0</v>
      </c>
      <c r="I454" s="64">
        <f t="shared" si="286"/>
        <v>0</v>
      </c>
      <c r="J454" s="64"/>
      <c r="K454" s="64"/>
      <c r="L454" s="64"/>
      <c r="M454" s="64"/>
      <c r="N454" s="20"/>
      <c r="O454" s="64"/>
      <c r="P454" s="64"/>
      <c r="Q454" s="70"/>
      <c r="R454" s="70"/>
      <c r="S454" s="70"/>
      <c r="T454" s="71"/>
      <c r="U454" s="71"/>
      <c r="V454" s="36"/>
    </row>
    <row r="455" spans="1:22" ht="15.75" customHeight="1" x14ac:dyDescent="0.35">
      <c r="A455" s="30">
        <f t="shared" ref="A455" si="327">A452+7</f>
        <v>45398</v>
      </c>
      <c r="B455" s="120">
        <f t="shared" ref="B455" si="328">B452+7</f>
        <v>1047</v>
      </c>
      <c r="C455" s="105" t="str">
        <f t="shared" ref="C455:C470" si="329">$C$155</f>
        <v>5% FBS R2</v>
      </c>
      <c r="D455" s="91" t="s">
        <v>65</v>
      </c>
      <c r="E455" s="58">
        <v>99</v>
      </c>
      <c r="F455" s="58">
        <v>104</v>
      </c>
      <c r="G455" s="58">
        <v>92</v>
      </c>
      <c r="H455" s="58">
        <v>118</v>
      </c>
      <c r="I455" s="64">
        <f t="shared" si="286"/>
        <v>103.25</v>
      </c>
      <c r="J455" s="64">
        <f t="shared" ref="J455" si="330">I455*2*10000</f>
        <v>2065000</v>
      </c>
      <c r="K455" s="64">
        <f t="shared" ref="K455:K470" si="331">$K$155</f>
        <v>3000000</v>
      </c>
      <c r="L455" s="64">
        <f t="shared" ref="L455" si="332">J455*5</f>
        <v>10325000</v>
      </c>
      <c r="M455" s="65">
        <f t="shared" ref="M455" si="333">I455/(I455+I456)*100</f>
        <v>98.099762470308789</v>
      </c>
      <c r="N455" s="22">
        <f>I457/I455*100</f>
        <v>0</v>
      </c>
      <c r="O455" s="66">
        <f>3.32*(LOG(L455)-LOG(K455))</f>
        <v>1.782072434621135</v>
      </c>
      <c r="P455" s="66">
        <f t="shared" ref="P455" si="334">IF(O455&lt;0,P452,P452+O455)</f>
        <v>167.91831564091152</v>
      </c>
      <c r="Q455" s="68"/>
      <c r="R455" s="68"/>
      <c r="S455" s="69"/>
      <c r="T455" s="68"/>
      <c r="U455" s="36"/>
      <c r="V455" s="36"/>
    </row>
    <row r="456" spans="1:22" ht="15.75" customHeight="1" x14ac:dyDescent="0.35">
      <c r="A456" s="20"/>
      <c r="B456" s="120"/>
      <c r="C456" s="105"/>
      <c r="D456" s="92" t="s">
        <v>66</v>
      </c>
      <c r="E456" s="58">
        <v>1</v>
      </c>
      <c r="F456" s="58">
        <v>2</v>
      </c>
      <c r="G456" s="58">
        <v>3</v>
      </c>
      <c r="H456" s="58">
        <v>2</v>
      </c>
      <c r="I456" s="64">
        <f t="shared" si="286"/>
        <v>2</v>
      </c>
      <c r="J456" s="64"/>
      <c r="K456" s="64"/>
      <c r="L456" s="64"/>
      <c r="M456" s="64"/>
      <c r="N456" s="20"/>
      <c r="O456" s="64"/>
      <c r="P456" s="64"/>
      <c r="Q456" s="70"/>
      <c r="R456" s="70"/>
      <c r="S456" s="70"/>
      <c r="T456" s="71"/>
      <c r="U456" s="71"/>
      <c r="V456" s="36"/>
    </row>
    <row r="457" spans="1:22" ht="15.75" customHeight="1" x14ac:dyDescent="0.35">
      <c r="A457" s="20"/>
      <c r="B457" s="120"/>
      <c r="C457" s="105"/>
      <c r="D457" s="92" t="s">
        <v>67</v>
      </c>
      <c r="E457" s="58">
        <v>0</v>
      </c>
      <c r="F457" s="58">
        <v>0</v>
      </c>
      <c r="G457" s="58">
        <v>0</v>
      </c>
      <c r="H457" s="58">
        <v>0</v>
      </c>
      <c r="I457" s="64">
        <f t="shared" si="286"/>
        <v>0</v>
      </c>
      <c r="J457" s="64"/>
      <c r="K457" s="64"/>
      <c r="L457" s="64"/>
      <c r="M457" s="64"/>
      <c r="N457" s="20"/>
      <c r="O457" s="64"/>
      <c r="P457" s="64"/>
      <c r="Q457" s="70"/>
      <c r="R457" s="70"/>
      <c r="S457" s="70"/>
      <c r="T457" s="71"/>
      <c r="U457" s="71"/>
      <c r="V457" s="36"/>
    </row>
    <row r="458" spans="1:22" ht="15.75" customHeight="1" x14ac:dyDescent="0.35">
      <c r="A458" s="30">
        <f t="shared" ref="A458" si="335">A455+7</f>
        <v>45405</v>
      </c>
      <c r="B458" s="120">
        <f t="shared" ref="B458" si="336">B455+7</f>
        <v>1054</v>
      </c>
      <c r="C458" s="105" t="str">
        <f t="shared" si="329"/>
        <v>5% FBS R2</v>
      </c>
      <c r="D458" s="91" t="s">
        <v>65</v>
      </c>
      <c r="E458" s="58">
        <v>158</v>
      </c>
      <c r="F458" s="58">
        <v>184</v>
      </c>
      <c r="G458" s="58">
        <v>155</v>
      </c>
      <c r="H458" s="58">
        <v>162</v>
      </c>
      <c r="I458" s="64">
        <f t="shared" si="286"/>
        <v>164.75</v>
      </c>
      <c r="J458" s="64">
        <f t="shared" ref="J458" si="337">I458*2*10000</f>
        <v>3295000</v>
      </c>
      <c r="K458" s="64">
        <f t="shared" si="331"/>
        <v>3000000</v>
      </c>
      <c r="L458" s="64">
        <f t="shared" ref="L458" si="338">J458*5</f>
        <v>16475000</v>
      </c>
      <c r="M458" s="65">
        <f t="shared" ref="M458" si="339">I458/(I458+I459)*100</f>
        <v>97.485207100591722</v>
      </c>
      <c r="N458" s="22">
        <f>I460/I458*100</f>
        <v>0</v>
      </c>
      <c r="O458" s="66">
        <f>3.32*(LOG(L458)-LOG(K458))</f>
        <v>2.4558178395739967</v>
      </c>
      <c r="P458" s="66">
        <f t="shared" ref="P458" si="340">IF(O458&lt;0,P455,P455+O458)</f>
        <v>170.37413348048551</v>
      </c>
      <c r="Q458" s="68"/>
      <c r="R458" s="68"/>
      <c r="S458" s="69"/>
      <c r="T458" s="68"/>
      <c r="U458" s="36"/>
      <c r="V458" s="36"/>
    </row>
    <row r="459" spans="1:22" ht="15.75" customHeight="1" x14ac:dyDescent="0.35">
      <c r="A459" s="20"/>
      <c r="B459" s="120"/>
      <c r="C459" s="105"/>
      <c r="D459" s="92" t="s">
        <v>66</v>
      </c>
      <c r="E459" s="58">
        <v>2</v>
      </c>
      <c r="F459" s="58">
        <v>6</v>
      </c>
      <c r="G459" s="58">
        <v>5</v>
      </c>
      <c r="H459" s="58">
        <v>4</v>
      </c>
      <c r="I459" s="64">
        <f t="shared" si="286"/>
        <v>4.25</v>
      </c>
      <c r="J459" s="64"/>
      <c r="K459" s="64"/>
      <c r="L459" s="64"/>
      <c r="M459" s="64"/>
      <c r="N459" s="20"/>
      <c r="O459" s="64"/>
      <c r="P459" s="64"/>
      <c r="Q459" s="70"/>
      <c r="R459" s="70"/>
      <c r="S459" s="70"/>
      <c r="T459" s="71"/>
      <c r="U459" s="71"/>
      <c r="V459" s="36"/>
    </row>
    <row r="460" spans="1:22" ht="15.75" customHeight="1" x14ac:dyDescent="0.35">
      <c r="A460" s="20"/>
      <c r="B460" s="120"/>
      <c r="C460" s="105"/>
      <c r="D460" s="92" t="s">
        <v>67</v>
      </c>
      <c r="E460" s="58">
        <v>0</v>
      </c>
      <c r="F460" s="58">
        <v>0</v>
      </c>
      <c r="G460" s="58">
        <v>0</v>
      </c>
      <c r="H460" s="58">
        <v>0</v>
      </c>
      <c r="I460" s="64">
        <f t="shared" si="286"/>
        <v>0</v>
      </c>
      <c r="J460" s="64"/>
      <c r="K460" s="64"/>
      <c r="L460" s="64"/>
      <c r="M460" s="64"/>
      <c r="N460" s="20"/>
      <c r="O460" s="64"/>
      <c r="P460" s="64"/>
      <c r="Q460" s="70"/>
      <c r="R460" s="70"/>
      <c r="S460" s="70"/>
      <c r="T460" s="71"/>
      <c r="U460" s="71"/>
      <c r="V460" s="36"/>
    </row>
    <row r="461" spans="1:22" ht="15.75" customHeight="1" x14ac:dyDescent="0.35">
      <c r="A461" s="30">
        <f t="shared" ref="A461" si="341">A458+7</f>
        <v>45412</v>
      </c>
      <c r="B461" s="120">
        <f t="shared" ref="B461" si="342">B458+7</f>
        <v>1061</v>
      </c>
      <c r="C461" s="105" t="str">
        <f t="shared" si="329"/>
        <v>5% FBS R2</v>
      </c>
      <c r="D461" s="91" t="s">
        <v>65</v>
      </c>
      <c r="E461" s="58">
        <v>93</v>
      </c>
      <c r="F461" s="58">
        <v>80</v>
      </c>
      <c r="G461" s="58">
        <v>78</v>
      </c>
      <c r="H461" s="58">
        <v>96</v>
      </c>
      <c r="I461" s="64">
        <f t="shared" si="286"/>
        <v>86.75</v>
      </c>
      <c r="J461" s="64">
        <f t="shared" ref="J461" si="343">I461*2*10000</f>
        <v>1735000</v>
      </c>
      <c r="K461" s="64">
        <f t="shared" si="331"/>
        <v>3000000</v>
      </c>
      <c r="L461" s="64">
        <f t="shared" ref="L461" si="344">J461*5</f>
        <v>8675000</v>
      </c>
      <c r="M461" s="65">
        <f t="shared" ref="M461" si="345">I461/(I461+I462)*100</f>
        <v>96.927374301675968</v>
      </c>
      <c r="N461" s="22">
        <f>I463/I461*100</f>
        <v>0</v>
      </c>
      <c r="O461" s="66">
        <f>3.32*(LOG(L461)-LOG(K461))</f>
        <v>1.5310121194275863</v>
      </c>
      <c r="P461" s="66">
        <f t="shared" ref="P461" si="346">IF(O461&lt;0,P458,P458+O461)</f>
        <v>171.90514559991308</v>
      </c>
      <c r="Q461" s="68"/>
      <c r="R461" s="68"/>
      <c r="S461" s="69"/>
      <c r="T461" s="68"/>
      <c r="U461" s="36"/>
      <c r="V461" s="36"/>
    </row>
    <row r="462" spans="1:22" ht="15.75" customHeight="1" x14ac:dyDescent="0.35">
      <c r="A462" s="20"/>
      <c r="B462" s="120"/>
      <c r="C462" s="105"/>
      <c r="D462" s="92" t="s">
        <v>66</v>
      </c>
      <c r="E462" s="58">
        <v>4</v>
      </c>
      <c r="F462" s="58">
        <v>3</v>
      </c>
      <c r="G462" s="58">
        <v>2</v>
      </c>
      <c r="H462" s="58">
        <v>2</v>
      </c>
      <c r="I462" s="64">
        <f t="shared" si="286"/>
        <v>2.75</v>
      </c>
      <c r="J462" s="64"/>
      <c r="K462" s="64"/>
      <c r="L462" s="64"/>
      <c r="M462" s="64"/>
      <c r="N462" s="20"/>
      <c r="O462" s="64"/>
      <c r="P462" s="64"/>
      <c r="Q462" s="70"/>
      <c r="R462" s="70"/>
      <c r="S462" s="70"/>
      <c r="T462" s="71"/>
      <c r="U462" s="71"/>
      <c r="V462" s="36"/>
    </row>
    <row r="463" spans="1:22" ht="15.75" customHeight="1" x14ac:dyDescent="0.35">
      <c r="A463" s="20"/>
      <c r="B463" s="120"/>
      <c r="C463" s="105"/>
      <c r="D463" s="92" t="s">
        <v>67</v>
      </c>
      <c r="E463" s="58">
        <v>0</v>
      </c>
      <c r="F463" s="58">
        <v>0</v>
      </c>
      <c r="G463" s="58">
        <v>0</v>
      </c>
      <c r="H463" s="58">
        <v>0</v>
      </c>
      <c r="I463" s="64">
        <f t="shared" si="286"/>
        <v>0</v>
      </c>
      <c r="J463" s="64"/>
      <c r="K463" s="64"/>
      <c r="L463" s="64"/>
      <c r="M463" s="64"/>
      <c r="N463" s="20"/>
      <c r="O463" s="64"/>
      <c r="P463" s="64"/>
      <c r="Q463" s="70"/>
      <c r="R463" s="70"/>
      <c r="S463" s="70"/>
      <c r="T463" s="71"/>
      <c r="U463" s="71"/>
      <c r="V463" s="36"/>
    </row>
    <row r="464" spans="1:22" ht="15.75" customHeight="1" x14ac:dyDescent="0.35">
      <c r="A464" s="30">
        <f t="shared" ref="A464" si="347">A461+7</f>
        <v>45419</v>
      </c>
      <c r="B464" s="120">
        <f t="shared" ref="B464" si="348">B461+7</f>
        <v>1068</v>
      </c>
      <c r="C464" s="105" t="str">
        <f t="shared" si="329"/>
        <v>5% FBS R2</v>
      </c>
      <c r="D464" s="91" t="s">
        <v>65</v>
      </c>
      <c r="E464" s="58">
        <v>117</v>
      </c>
      <c r="F464" s="58">
        <v>128</v>
      </c>
      <c r="G464" s="58">
        <v>117</v>
      </c>
      <c r="H464" s="58">
        <v>119</v>
      </c>
      <c r="I464" s="64">
        <f t="shared" si="286"/>
        <v>120.25</v>
      </c>
      <c r="J464" s="64">
        <f t="shared" ref="J464" si="349">I464*2*10000</f>
        <v>2405000</v>
      </c>
      <c r="K464" s="64">
        <f t="shared" si="331"/>
        <v>3000000</v>
      </c>
      <c r="L464" s="64">
        <f t="shared" ref="L464" si="350">J464*5</f>
        <v>12025000</v>
      </c>
      <c r="M464" s="65">
        <f t="shared" ref="M464" si="351">I464/(I464+I465)*100</f>
        <v>97.171717171717177</v>
      </c>
      <c r="N464" s="22">
        <f>I466/I464*100</f>
        <v>0</v>
      </c>
      <c r="O464" s="66">
        <f>3.32*(LOG(L464)-LOG(K464))</f>
        <v>2.0018399166830068</v>
      </c>
      <c r="P464" s="66">
        <f t="shared" ref="P464" si="352">IF(O464&lt;0,P461,P461+O464)</f>
        <v>173.90698551659608</v>
      </c>
      <c r="Q464" s="68"/>
      <c r="R464" s="68"/>
      <c r="S464" s="69"/>
      <c r="T464" s="68"/>
      <c r="U464" s="36"/>
      <c r="V464" s="36"/>
    </row>
    <row r="465" spans="1:22" ht="15.75" customHeight="1" x14ac:dyDescent="0.35">
      <c r="A465" s="20"/>
      <c r="B465" s="120"/>
      <c r="C465" s="105"/>
      <c r="D465" s="92" t="s">
        <v>66</v>
      </c>
      <c r="E465" s="58">
        <v>4</v>
      </c>
      <c r="F465" s="58">
        <v>2</v>
      </c>
      <c r="G465" s="58">
        <v>3</v>
      </c>
      <c r="H465" s="58">
        <v>5</v>
      </c>
      <c r="I465" s="64">
        <f t="shared" si="286"/>
        <v>3.5</v>
      </c>
      <c r="J465" s="64"/>
      <c r="K465" s="64"/>
      <c r="L465" s="64"/>
      <c r="M465" s="64"/>
      <c r="N465" s="20"/>
      <c r="O465" s="64"/>
      <c r="P465" s="64"/>
      <c r="Q465" s="70"/>
      <c r="R465" s="70"/>
      <c r="S465" s="70"/>
      <c r="T465" s="71"/>
      <c r="U465" s="71"/>
      <c r="V465" s="36"/>
    </row>
    <row r="466" spans="1:22" ht="15.75" customHeight="1" x14ac:dyDescent="0.35">
      <c r="A466" s="20"/>
      <c r="B466" s="120"/>
      <c r="C466" s="105"/>
      <c r="D466" s="92" t="s">
        <v>67</v>
      </c>
      <c r="E466" s="58">
        <v>0</v>
      </c>
      <c r="F466" s="58">
        <v>0</v>
      </c>
      <c r="G466" s="58">
        <v>0</v>
      </c>
      <c r="H466" s="58">
        <v>0</v>
      </c>
      <c r="I466" s="64">
        <f t="shared" si="286"/>
        <v>0</v>
      </c>
      <c r="J466" s="64"/>
      <c r="K466" s="64"/>
      <c r="L466" s="64"/>
      <c r="M466" s="64"/>
      <c r="N466" s="20"/>
      <c r="O466" s="64"/>
      <c r="P466" s="64"/>
      <c r="Q466" s="70"/>
      <c r="R466" s="70"/>
      <c r="S466" s="70"/>
      <c r="T466" s="71"/>
      <c r="U466" s="71"/>
      <c r="V466" s="36"/>
    </row>
    <row r="467" spans="1:22" ht="15.75" customHeight="1" x14ac:dyDescent="0.35">
      <c r="A467" s="30">
        <f t="shared" ref="A467" si="353">A464+7</f>
        <v>45426</v>
      </c>
      <c r="B467" s="120">
        <f t="shared" ref="B467" si="354">B464+7</f>
        <v>1075</v>
      </c>
      <c r="C467" s="105" t="str">
        <f t="shared" si="329"/>
        <v>5% FBS R2</v>
      </c>
      <c r="D467" s="91" t="s">
        <v>65</v>
      </c>
      <c r="E467" s="58">
        <v>85</v>
      </c>
      <c r="F467" s="58">
        <v>74</v>
      </c>
      <c r="G467" s="58">
        <v>84</v>
      </c>
      <c r="H467" s="58">
        <v>92</v>
      </c>
      <c r="I467" s="64">
        <f t="shared" si="286"/>
        <v>83.75</v>
      </c>
      <c r="J467" s="64">
        <f t="shared" ref="J467" si="355">I467*2*10000</f>
        <v>1675000</v>
      </c>
      <c r="K467" s="64">
        <f t="shared" si="331"/>
        <v>3000000</v>
      </c>
      <c r="L467" s="64">
        <f t="shared" ref="L467" si="356">J467*5</f>
        <v>8375000</v>
      </c>
      <c r="M467" s="65">
        <f t="shared" ref="M467" si="357">I467/(I467+I468)*100</f>
        <v>97.383720930232556</v>
      </c>
      <c r="N467" s="22">
        <f>I469/I467*100</f>
        <v>0</v>
      </c>
      <c r="O467" s="66">
        <f>3.32*(LOG(L467)-LOG(K467))</f>
        <v>1.480267022484212</v>
      </c>
      <c r="P467" s="66">
        <f t="shared" ref="P467" si="358">IF(O467&lt;0,P464,P464+O467)</f>
        <v>175.38725253908029</v>
      </c>
      <c r="Q467" s="68"/>
      <c r="R467" s="68"/>
      <c r="S467" s="69"/>
      <c r="T467" s="68"/>
      <c r="U467" s="36"/>
      <c r="V467" s="36"/>
    </row>
    <row r="468" spans="1:22" ht="15.75" customHeight="1" x14ac:dyDescent="0.35">
      <c r="A468" s="20"/>
      <c r="B468" s="120"/>
      <c r="C468" s="105"/>
      <c r="D468" s="92" t="s">
        <v>66</v>
      </c>
      <c r="E468" s="58">
        <v>3</v>
      </c>
      <c r="F468" s="58">
        <v>1</v>
      </c>
      <c r="G468" s="58">
        <v>3</v>
      </c>
      <c r="H468" s="58">
        <v>2</v>
      </c>
      <c r="I468" s="64">
        <f t="shared" si="286"/>
        <v>2.25</v>
      </c>
      <c r="J468" s="64"/>
      <c r="K468" s="64"/>
      <c r="L468" s="64"/>
      <c r="M468" s="64"/>
      <c r="N468" s="20"/>
      <c r="O468" s="64"/>
      <c r="P468" s="64"/>
      <c r="Q468" s="70"/>
      <c r="R468" s="70"/>
      <c r="S468" s="70"/>
      <c r="T468" s="71"/>
      <c r="U468" s="71"/>
      <c r="V468" s="36"/>
    </row>
    <row r="469" spans="1:22" ht="15.75" customHeight="1" x14ac:dyDescent="0.35">
      <c r="A469" s="20"/>
      <c r="B469" s="120"/>
      <c r="C469" s="105"/>
      <c r="D469" s="92" t="s">
        <v>67</v>
      </c>
      <c r="E469" s="58">
        <v>0</v>
      </c>
      <c r="F469" s="58">
        <v>0</v>
      </c>
      <c r="G469" s="58">
        <v>0</v>
      </c>
      <c r="H469" s="58">
        <v>0</v>
      </c>
      <c r="I469" s="64">
        <f t="shared" si="286"/>
        <v>0</v>
      </c>
      <c r="J469" s="64"/>
      <c r="K469" s="64"/>
      <c r="L469" s="64"/>
      <c r="M469" s="64"/>
      <c r="N469" s="20"/>
      <c r="O469" s="64"/>
      <c r="P469" s="64"/>
      <c r="Q469" s="70"/>
      <c r="R469" s="70"/>
      <c r="S469" s="70"/>
      <c r="T469" s="71"/>
      <c r="U469" s="71"/>
      <c r="V469" s="36"/>
    </row>
    <row r="470" spans="1:22" ht="15.75" customHeight="1" x14ac:dyDescent="0.35">
      <c r="A470" s="30">
        <f t="shared" ref="A470" si="359">A467+7</f>
        <v>45433</v>
      </c>
      <c r="B470" s="120">
        <f t="shared" ref="B470" si="360">B467+7</f>
        <v>1082</v>
      </c>
      <c r="C470" s="105" t="str">
        <f t="shared" si="329"/>
        <v>5% FBS R2</v>
      </c>
      <c r="D470" s="91" t="s">
        <v>65</v>
      </c>
      <c r="E470" s="58">
        <v>110</v>
      </c>
      <c r="F470" s="58">
        <v>112</v>
      </c>
      <c r="G470" s="58">
        <v>126</v>
      </c>
      <c r="H470" s="58">
        <v>121</v>
      </c>
      <c r="I470" s="64">
        <f t="shared" si="286"/>
        <v>117.25</v>
      </c>
      <c r="J470" s="64">
        <f t="shared" ref="J470" si="361">I470*2*10000</f>
        <v>2345000</v>
      </c>
      <c r="K470" s="64">
        <f t="shared" si="331"/>
        <v>3000000</v>
      </c>
      <c r="L470" s="64">
        <f t="shared" ref="L470" si="362">J470*5</f>
        <v>11725000</v>
      </c>
      <c r="M470" s="65">
        <f t="shared" ref="M470" si="363">I470/(I470+I471)*100</f>
        <v>96.701030927835049</v>
      </c>
      <c r="N470" s="22">
        <f>I472/I470*100</f>
        <v>0</v>
      </c>
      <c r="O470" s="66">
        <f>3.32*(LOG(L470)-LOG(K470))</f>
        <v>1.9654121009359629</v>
      </c>
      <c r="P470" s="66">
        <f t="shared" ref="P470" si="364">IF(O470&lt;0,P467,P467+O470)</f>
        <v>177.35266464001626</v>
      </c>
      <c r="Q470" s="68"/>
      <c r="R470" s="68"/>
      <c r="S470" s="69"/>
      <c r="T470" s="68"/>
      <c r="U470" s="36"/>
      <c r="V470" s="36"/>
    </row>
    <row r="471" spans="1:22" ht="15.75" customHeight="1" x14ac:dyDescent="0.35">
      <c r="A471" s="20"/>
      <c r="B471" s="120"/>
      <c r="C471" s="105"/>
      <c r="D471" s="92" t="s">
        <v>66</v>
      </c>
      <c r="E471" s="58">
        <v>4</v>
      </c>
      <c r="F471" s="58">
        <v>3</v>
      </c>
      <c r="G471" s="58">
        <v>3</v>
      </c>
      <c r="H471" s="58">
        <v>6</v>
      </c>
      <c r="I471" s="64">
        <f t="shared" si="286"/>
        <v>4</v>
      </c>
      <c r="J471" s="64"/>
      <c r="K471" s="64"/>
      <c r="L471" s="64"/>
      <c r="M471" s="64"/>
      <c r="N471" s="20"/>
      <c r="O471" s="64"/>
      <c r="P471" s="64"/>
      <c r="Q471" s="70"/>
      <c r="R471" s="70"/>
      <c r="S471" s="70"/>
      <c r="T471" s="71"/>
      <c r="U471" s="71"/>
      <c r="V471" s="36"/>
    </row>
    <row r="472" spans="1:22" ht="15.75" customHeight="1" x14ac:dyDescent="0.35">
      <c r="A472" s="20"/>
      <c r="B472" s="120"/>
      <c r="C472" s="105"/>
      <c r="D472" s="92" t="s">
        <v>67</v>
      </c>
      <c r="E472" s="58">
        <v>0</v>
      </c>
      <c r="F472" s="58">
        <v>0</v>
      </c>
      <c r="G472" s="58">
        <v>0</v>
      </c>
      <c r="H472" s="58">
        <v>0</v>
      </c>
      <c r="I472" s="64">
        <f t="shared" si="286"/>
        <v>0</v>
      </c>
      <c r="J472" s="64"/>
      <c r="K472" s="64"/>
      <c r="L472" s="64"/>
      <c r="M472" s="64"/>
      <c r="N472" s="20"/>
      <c r="O472" s="64"/>
      <c r="P472" s="64"/>
      <c r="Q472" s="70"/>
      <c r="R472" s="70"/>
      <c r="S472" s="70"/>
      <c r="T472" s="71"/>
      <c r="U472" s="71"/>
      <c r="V472" s="36"/>
    </row>
    <row r="473" spans="1:22" ht="15.75" customHeight="1" x14ac:dyDescent="0.35">
      <c r="A473" s="30">
        <f t="shared" ref="A473" si="365">A470+7</f>
        <v>45440</v>
      </c>
      <c r="B473" s="120">
        <f t="shared" ref="B473" si="366">B470+7</f>
        <v>1089</v>
      </c>
      <c r="C473" s="105" t="str">
        <f t="shared" ref="C473:C476" si="367">$C$155</f>
        <v>5% FBS R2</v>
      </c>
      <c r="D473" s="91" t="s">
        <v>65</v>
      </c>
      <c r="E473" s="58">
        <v>121</v>
      </c>
      <c r="F473" s="58">
        <v>127</v>
      </c>
      <c r="G473" s="58">
        <v>118</v>
      </c>
      <c r="H473" s="58">
        <v>115</v>
      </c>
      <c r="I473" s="64">
        <f t="shared" si="286"/>
        <v>120.25</v>
      </c>
      <c r="J473" s="64">
        <f t="shared" ref="J473" si="368">I473*2*10000</f>
        <v>2405000</v>
      </c>
      <c r="K473" s="64">
        <f t="shared" ref="K473:K476" si="369">$K$155</f>
        <v>3000000</v>
      </c>
      <c r="L473" s="64">
        <f t="shared" ref="L473" si="370">J473*5</f>
        <v>12025000</v>
      </c>
      <c r="M473" s="65">
        <f t="shared" ref="M473" si="371">I473/(I473+I474)*100</f>
        <v>96.586345381526101</v>
      </c>
      <c r="N473" s="22">
        <f>I475/I473*100</f>
        <v>0</v>
      </c>
      <c r="O473" s="66">
        <f>3.32*(LOG(L473)-LOG(K473))</f>
        <v>2.0018399166830068</v>
      </c>
      <c r="P473" s="66">
        <f t="shared" ref="P473" si="372">IF(O473&lt;0,P470,P470+O473)</f>
        <v>179.35450455669925</v>
      </c>
      <c r="Q473" s="68"/>
      <c r="R473" s="68"/>
      <c r="S473" s="69"/>
      <c r="T473" s="68"/>
      <c r="U473" s="36"/>
      <c r="V473" s="36"/>
    </row>
    <row r="474" spans="1:22" ht="15.75" customHeight="1" x14ac:dyDescent="0.35">
      <c r="A474" s="20"/>
      <c r="B474" s="120"/>
      <c r="C474" s="105"/>
      <c r="D474" s="92" t="s">
        <v>66</v>
      </c>
      <c r="E474" s="58">
        <v>4</v>
      </c>
      <c r="F474" s="58">
        <v>5</v>
      </c>
      <c r="G474" s="58">
        <v>5</v>
      </c>
      <c r="H474" s="58">
        <v>3</v>
      </c>
      <c r="I474" s="64">
        <f t="shared" si="286"/>
        <v>4.25</v>
      </c>
      <c r="J474" s="64"/>
      <c r="K474" s="64"/>
      <c r="L474" s="64"/>
      <c r="M474" s="64"/>
      <c r="N474" s="20"/>
      <c r="O474" s="64"/>
      <c r="P474" s="64"/>
      <c r="Q474" s="70"/>
      <c r="R474" s="70"/>
      <c r="S474" s="70"/>
      <c r="T474" s="71"/>
      <c r="U474" s="71"/>
      <c r="V474" s="36"/>
    </row>
    <row r="475" spans="1:22" ht="15.75" customHeight="1" x14ac:dyDescent="0.35">
      <c r="A475" s="20"/>
      <c r="B475" s="120"/>
      <c r="C475" s="105"/>
      <c r="D475" s="92" t="s">
        <v>67</v>
      </c>
      <c r="E475" s="58">
        <v>0</v>
      </c>
      <c r="F475" s="58">
        <v>0</v>
      </c>
      <c r="G475" s="58">
        <v>0</v>
      </c>
      <c r="H475" s="58">
        <v>0</v>
      </c>
      <c r="I475" s="64">
        <f t="shared" si="286"/>
        <v>0</v>
      </c>
      <c r="J475" s="64"/>
      <c r="K475" s="64"/>
      <c r="L475" s="64"/>
      <c r="M475" s="64"/>
      <c r="N475" s="20"/>
      <c r="O475" s="64"/>
      <c r="P475" s="64"/>
      <c r="Q475" s="70"/>
      <c r="R475" s="70"/>
      <c r="S475" s="70"/>
      <c r="T475" s="71"/>
      <c r="U475" s="71"/>
      <c r="V475" s="36"/>
    </row>
    <row r="476" spans="1:22" ht="15.75" customHeight="1" x14ac:dyDescent="0.35">
      <c r="A476" s="30">
        <f t="shared" ref="A476" si="373">A473+7</f>
        <v>45447</v>
      </c>
      <c r="B476" s="120">
        <f t="shared" ref="B476" si="374">B473+7</f>
        <v>1096</v>
      </c>
      <c r="C476" s="105" t="str">
        <f t="shared" si="367"/>
        <v>5% FBS R2</v>
      </c>
      <c r="D476" s="91" t="s">
        <v>65</v>
      </c>
      <c r="E476" s="58">
        <v>142</v>
      </c>
      <c r="F476" s="58">
        <v>158</v>
      </c>
      <c r="G476" s="58">
        <v>125</v>
      </c>
      <c r="H476" s="58">
        <v>152</v>
      </c>
      <c r="I476" s="64">
        <f t="shared" si="286"/>
        <v>144.25</v>
      </c>
      <c r="J476" s="64">
        <f t="shared" ref="J476" si="375">I476*2*10000</f>
        <v>2885000</v>
      </c>
      <c r="K476" s="64">
        <f t="shared" si="369"/>
        <v>3000000</v>
      </c>
      <c r="L476" s="64">
        <f t="shared" ref="L476" si="376">J476*5</f>
        <v>14425000</v>
      </c>
      <c r="M476" s="65">
        <f t="shared" ref="M476" si="377">I476/(I476+I477)*100</f>
        <v>94.281045751633982</v>
      </c>
      <c r="N476" s="22">
        <f>I478/I476*100</f>
        <v>0</v>
      </c>
      <c r="O476" s="66">
        <f>3.32*(LOG(L476)-LOG(K476))</f>
        <v>2.264221962798914</v>
      </c>
      <c r="P476" s="66">
        <f t="shared" ref="P476" si="378">IF(O476&lt;0,P473,P473+O476)</f>
        <v>181.61872651949818</v>
      </c>
      <c r="Q476" s="68"/>
      <c r="R476" s="68"/>
      <c r="S476" s="69"/>
      <c r="T476" s="68"/>
      <c r="U476" s="36"/>
      <c r="V476" s="36"/>
    </row>
    <row r="477" spans="1:22" ht="15.75" customHeight="1" x14ac:dyDescent="0.35">
      <c r="A477" s="20"/>
      <c r="B477" s="120"/>
      <c r="C477" s="105"/>
      <c r="D477" s="92" t="s">
        <v>66</v>
      </c>
      <c r="E477" s="58">
        <v>13</v>
      </c>
      <c r="F477" s="58">
        <v>6</v>
      </c>
      <c r="G477" s="58">
        <v>10</v>
      </c>
      <c r="H477" s="58">
        <v>6</v>
      </c>
      <c r="I477" s="64">
        <f t="shared" si="286"/>
        <v>8.75</v>
      </c>
      <c r="J477" s="64"/>
      <c r="K477" s="64"/>
      <c r="L477" s="64"/>
      <c r="M477" s="64"/>
      <c r="N477" s="20"/>
      <c r="O477" s="64"/>
      <c r="P477" s="64"/>
      <c r="Q477" s="70"/>
      <c r="R477" s="70"/>
      <c r="S477" s="70"/>
      <c r="T477" s="71"/>
      <c r="U477" s="71"/>
      <c r="V477" s="36"/>
    </row>
    <row r="478" spans="1:22" ht="15.75" customHeight="1" x14ac:dyDescent="0.35">
      <c r="A478" s="20"/>
      <c r="B478" s="120"/>
      <c r="C478" s="105"/>
      <c r="D478" s="92" t="s">
        <v>67</v>
      </c>
      <c r="E478" s="58">
        <v>0</v>
      </c>
      <c r="F478" s="58">
        <v>0</v>
      </c>
      <c r="G478" s="58">
        <v>0</v>
      </c>
      <c r="H478" s="58">
        <v>0</v>
      </c>
      <c r="I478" s="64">
        <f t="shared" si="286"/>
        <v>0</v>
      </c>
      <c r="J478" s="64"/>
      <c r="K478" s="64"/>
      <c r="L478" s="64"/>
      <c r="M478" s="64"/>
      <c r="N478" s="20"/>
      <c r="O478" s="64"/>
      <c r="P478" s="64"/>
      <c r="Q478" s="70"/>
      <c r="R478" s="70"/>
      <c r="S478" s="70"/>
      <c r="T478" s="71"/>
      <c r="U478" s="71"/>
      <c r="V478" s="36"/>
    </row>
    <row r="479" spans="1:22" ht="15.75" customHeight="1" x14ac:dyDescent="0.35">
      <c r="A479" s="30">
        <f t="shared" ref="A479" si="379">A476+7</f>
        <v>45454</v>
      </c>
      <c r="B479" s="120">
        <f t="shared" ref="B479" si="380">B476+7</f>
        <v>1103</v>
      </c>
      <c r="C479" s="105" t="str">
        <f t="shared" ref="C479:C482" si="381">$C$155</f>
        <v>5% FBS R2</v>
      </c>
      <c r="D479" s="91" t="s">
        <v>65</v>
      </c>
      <c r="E479" s="58">
        <v>77</v>
      </c>
      <c r="F479" s="58">
        <v>86</v>
      </c>
      <c r="G479" s="58">
        <v>86</v>
      </c>
      <c r="H479" s="58">
        <v>83</v>
      </c>
      <c r="I479" s="64">
        <f t="shared" si="286"/>
        <v>83</v>
      </c>
      <c r="J479" s="64">
        <f t="shared" ref="J479" si="382">I479*2*10000</f>
        <v>1660000</v>
      </c>
      <c r="K479" s="64">
        <f t="shared" ref="K479:K482" si="383">$K$155</f>
        <v>3000000</v>
      </c>
      <c r="L479" s="64">
        <f t="shared" ref="L479" si="384">J479*5</f>
        <v>8300000</v>
      </c>
      <c r="M479" s="65">
        <f t="shared" ref="M479" si="385">I479/(I479+I480)*100</f>
        <v>94.318181818181827</v>
      </c>
      <c r="N479" s="22">
        <f>I481/I479*100</f>
        <v>0</v>
      </c>
      <c r="O479" s="66">
        <f>3.32*(LOG(L479)-LOG(K479))</f>
        <v>1.467296701019285</v>
      </c>
      <c r="P479" s="66">
        <f t="shared" ref="P479" si="386">IF(O479&lt;0,P476,P476+O479)</f>
        <v>183.08602322051746</v>
      </c>
      <c r="Q479" s="68"/>
      <c r="R479" s="68"/>
      <c r="S479" s="69"/>
      <c r="T479" s="68"/>
      <c r="U479" s="36"/>
      <c r="V479" s="36"/>
    </row>
    <row r="480" spans="1:22" ht="15.75" customHeight="1" x14ac:dyDescent="0.35">
      <c r="A480" s="20"/>
      <c r="B480" s="120"/>
      <c r="C480" s="105"/>
      <c r="D480" s="92" t="s">
        <v>66</v>
      </c>
      <c r="E480" s="58">
        <v>5</v>
      </c>
      <c r="F480" s="58">
        <v>4</v>
      </c>
      <c r="G480" s="58">
        <v>7</v>
      </c>
      <c r="H480" s="58">
        <v>4</v>
      </c>
      <c r="I480" s="64">
        <f t="shared" si="286"/>
        <v>5</v>
      </c>
      <c r="J480" s="64"/>
      <c r="K480" s="64"/>
      <c r="L480" s="64"/>
      <c r="M480" s="64"/>
      <c r="N480" s="20"/>
      <c r="O480" s="64"/>
      <c r="P480" s="64"/>
      <c r="Q480" s="70"/>
      <c r="R480" s="70"/>
      <c r="S480" s="70"/>
      <c r="T480" s="71"/>
      <c r="U480" s="71"/>
      <c r="V480" s="36"/>
    </row>
    <row r="481" spans="1:22" ht="15.75" customHeight="1" x14ac:dyDescent="0.35">
      <c r="A481" s="20"/>
      <c r="B481" s="120"/>
      <c r="C481" s="105"/>
      <c r="D481" s="92" t="s">
        <v>67</v>
      </c>
      <c r="E481" s="58">
        <v>0</v>
      </c>
      <c r="F481" s="58">
        <v>0</v>
      </c>
      <c r="G481" s="58">
        <v>0</v>
      </c>
      <c r="H481" s="58">
        <v>0</v>
      </c>
      <c r="I481" s="64">
        <f t="shared" si="286"/>
        <v>0</v>
      </c>
      <c r="J481" s="64"/>
      <c r="K481" s="64"/>
      <c r="L481" s="64"/>
      <c r="M481" s="64"/>
      <c r="N481" s="20"/>
      <c r="O481" s="64"/>
      <c r="P481" s="64"/>
      <c r="Q481" s="70"/>
      <c r="R481" s="70"/>
      <c r="S481" s="70"/>
      <c r="T481" s="71"/>
      <c r="U481" s="71"/>
      <c r="V481" s="36"/>
    </row>
    <row r="482" spans="1:22" ht="15.75" customHeight="1" x14ac:dyDescent="0.35">
      <c r="A482" s="30">
        <f t="shared" ref="A482" si="387">A479+7</f>
        <v>45461</v>
      </c>
      <c r="B482" s="120">
        <f t="shared" ref="B482" si="388">B479+7</f>
        <v>1110</v>
      </c>
      <c r="C482" s="105" t="str">
        <f t="shared" si="381"/>
        <v>5% FBS R2</v>
      </c>
      <c r="D482" s="91" t="s">
        <v>65</v>
      </c>
      <c r="E482" s="58">
        <v>79</v>
      </c>
      <c r="F482" s="58">
        <v>87</v>
      </c>
      <c r="G482" s="58">
        <v>72</v>
      </c>
      <c r="H482" s="58">
        <v>92</v>
      </c>
      <c r="I482" s="64">
        <f t="shared" si="286"/>
        <v>82.5</v>
      </c>
      <c r="J482" s="64">
        <f t="shared" ref="J482" si="389">I482*2*10000</f>
        <v>1650000</v>
      </c>
      <c r="K482" s="64">
        <f t="shared" si="383"/>
        <v>3000000</v>
      </c>
      <c r="L482" s="64">
        <f t="shared" ref="L482" si="390">J482*5</f>
        <v>8250000</v>
      </c>
      <c r="M482" s="65">
        <f t="shared" ref="M482" si="391">I482/(I482+I483)*100</f>
        <v>96.774193548387103</v>
      </c>
      <c r="N482" s="22">
        <f>I484/I482*100</f>
        <v>0</v>
      </c>
      <c r="O482" s="66">
        <f>3.32*(LOG(L482)-LOG(K482))</f>
        <v>1.4585845435164726</v>
      </c>
      <c r="P482" s="66">
        <f t="shared" ref="P482" si="392">IF(O482&lt;0,P479,P479+O482)</f>
        <v>184.54460776403394</v>
      </c>
      <c r="Q482" s="68"/>
      <c r="R482" s="68"/>
      <c r="S482" s="69"/>
      <c r="T482" s="68"/>
      <c r="U482" s="36"/>
      <c r="V482" s="36"/>
    </row>
    <row r="483" spans="1:22" ht="15.75" customHeight="1" x14ac:dyDescent="0.35">
      <c r="A483" s="20"/>
      <c r="B483" s="120"/>
      <c r="C483" s="105"/>
      <c r="D483" s="92" t="s">
        <v>66</v>
      </c>
      <c r="E483" s="58">
        <v>3</v>
      </c>
      <c r="F483" s="58">
        <v>2</v>
      </c>
      <c r="G483" s="58">
        <v>4</v>
      </c>
      <c r="H483" s="58">
        <v>2</v>
      </c>
      <c r="I483" s="64">
        <f t="shared" si="286"/>
        <v>2.75</v>
      </c>
      <c r="J483" s="64"/>
      <c r="K483" s="64"/>
      <c r="L483" s="64"/>
      <c r="M483" s="64"/>
      <c r="N483" s="20"/>
      <c r="O483" s="64"/>
      <c r="P483" s="64"/>
      <c r="Q483" s="70"/>
      <c r="R483" s="70"/>
      <c r="S483" s="70"/>
      <c r="T483" s="71"/>
      <c r="U483" s="71"/>
      <c r="V483" s="36"/>
    </row>
    <row r="484" spans="1:22" ht="15.75" customHeight="1" x14ac:dyDescent="0.35">
      <c r="A484" s="20"/>
      <c r="B484" s="120"/>
      <c r="C484" s="105"/>
      <c r="D484" s="92" t="s">
        <v>67</v>
      </c>
      <c r="E484" s="58">
        <v>0</v>
      </c>
      <c r="F484" s="58">
        <v>0</v>
      </c>
      <c r="G484" s="58">
        <v>0</v>
      </c>
      <c r="H484" s="58">
        <v>0</v>
      </c>
      <c r="I484" s="64">
        <f t="shared" si="286"/>
        <v>0</v>
      </c>
      <c r="J484" s="64"/>
      <c r="K484" s="64"/>
      <c r="L484" s="64"/>
      <c r="M484" s="64"/>
      <c r="N484" s="20"/>
      <c r="O484" s="64"/>
      <c r="P484" s="64"/>
      <c r="Q484" s="70"/>
      <c r="R484" s="70"/>
      <c r="S484" s="70"/>
      <c r="T484" s="71"/>
      <c r="U484" s="71"/>
      <c r="V484" s="36"/>
    </row>
    <row r="485" spans="1:22" ht="15.75" customHeight="1" x14ac:dyDescent="0.35">
      <c r="A485" s="30">
        <f t="shared" ref="A485" si="393">A482+7</f>
        <v>45468</v>
      </c>
      <c r="B485" s="120">
        <f t="shared" ref="B485" si="394">B482+7</f>
        <v>1117</v>
      </c>
      <c r="C485" s="105" t="str">
        <f t="shared" ref="C485" si="395">$C$155</f>
        <v>5% FBS R2</v>
      </c>
      <c r="D485" s="91" t="s">
        <v>65</v>
      </c>
      <c r="E485" s="58">
        <v>76</v>
      </c>
      <c r="F485" s="58">
        <v>67</v>
      </c>
      <c r="G485" s="58">
        <v>78</v>
      </c>
      <c r="H485" s="58">
        <v>80</v>
      </c>
      <c r="I485" s="64">
        <f t="shared" si="286"/>
        <v>75.25</v>
      </c>
      <c r="J485" s="64">
        <f t="shared" ref="J485" si="396">I485*2*10000</f>
        <v>1505000</v>
      </c>
      <c r="K485" s="64">
        <f t="shared" ref="K485" si="397">$K$155</f>
        <v>3000000</v>
      </c>
      <c r="L485" s="64">
        <f t="shared" ref="L485" si="398">J485*5</f>
        <v>7525000</v>
      </c>
      <c r="M485" s="65">
        <f t="shared" ref="M485" si="399">I485/(I485+I486)*100</f>
        <v>96.166134185303505</v>
      </c>
      <c r="N485" s="22">
        <f>I487/I485*100</f>
        <v>0</v>
      </c>
      <c r="O485" s="66">
        <f>3.32*(LOG(L485)-LOG(K485))</f>
        <v>1.3259590284934437</v>
      </c>
      <c r="P485" s="66">
        <f t="shared" ref="P485" si="400">IF(O485&lt;0,P482,P482+O485)</f>
        <v>185.8705667925274</v>
      </c>
      <c r="Q485" s="68"/>
      <c r="R485" s="68"/>
      <c r="S485" s="69"/>
      <c r="T485" s="68"/>
      <c r="U485" s="36"/>
      <c r="V485" s="36"/>
    </row>
    <row r="486" spans="1:22" ht="15.75" customHeight="1" x14ac:dyDescent="0.35">
      <c r="A486" s="20"/>
      <c r="B486" s="120"/>
      <c r="C486" s="105"/>
      <c r="D486" s="92" t="s">
        <v>66</v>
      </c>
      <c r="E486" s="58">
        <v>3</v>
      </c>
      <c r="F486" s="58">
        <v>3</v>
      </c>
      <c r="G486" s="58">
        <v>4</v>
      </c>
      <c r="H486" s="58">
        <v>2</v>
      </c>
      <c r="I486" s="64">
        <f t="shared" si="286"/>
        <v>3</v>
      </c>
      <c r="J486" s="64"/>
      <c r="K486" s="64"/>
      <c r="L486" s="64"/>
      <c r="M486" s="64"/>
      <c r="N486" s="20"/>
      <c r="O486" s="64"/>
      <c r="P486" s="64"/>
      <c r="Q486" s="70"/>
      <c r="R486" s="70"/>
      <c r="S486" s="70"/>
      <c r="T486" s="71"/>
      <c r="U486" s="71"/>
      <c r="V486" s="36"/>
    </row>
    <row r="487" spans="1:22" ht="15.75" customHeight="1" x14ac:dyDescent="0.35">
      <c r="A487" s="20"/>
      <c r="B487" s="120"/>
      <c r="C487" s="105"/>
      <c r="D487" s="92" t="s">
        <v>67</v>
      </c>
      <c r="E487" s="58">
        <v>0</v>
      </c>
      <c r="F487" s="58">
        <v>0</v>
      </c>
      <c r="G487" s="58">
        <v>0</v>
      </c>
      <c r="H487" s="58">
        <v>0</v>
      </c>
      <c r="I487" s="64">
        <f t="shared" si="286"/>
        <v>0</v>
      </c>
      <c r="J487" s="64"/>
      <c r="K487" s="64"/>
      <c r="L487" s="64"/>
      <c r="M487" s="64"/>
      <c r="N487" s="20"/>
      <c r="O487" s="64"/>
      <c r="P487" s="64"/>
      <c r="Q487" s="70"/>
      <c r="R487" s="70"/>
      <c r="S487" s="70"/>
      <c r="T487" s="71"/>
      <c r="U487" s="71"/>
      <c r="V487" s="36"/>
    </row>
    <row r="488" spans="1:22" ht="15.75" customHeight="1" x14ac:dyDescent="0.35">
      <c r="A488" s="30">
        <f t="shared" ref="A488" si="401">A485+7</f>
        <v>45475</v>
      </c>
      <c r="B488" s="120">
        <f t="shared" ref="B488" si="402">B485+7</f>
        <v>1124</v>
      </c>
      <c r="C488" s="105" t="str">
        <f t="shared" ref="C488" si="403">$C$155</f>
        <v>5% FBS R2</v>
      </c>
      <c r="D488" s="91" t="s">
        <v>65</v>
      </c>
      <c r="E488" s="58">
        <v>71</v>
      </c>
      <c r="F488" s="58">
        <v>71</v>
      </c>
      <c r="G488" s="58">
        <v>74</v>
      </c>
      <c r="H488" s="58">
        <v>69</v>
      </c>
      <c r="I488" s="64">
        <f t="shared" si="286"/>
        <v>71.25</v>
      </c>
      <c r="J488" s="64">
        <f t="shared" ref="J488" si="404">I488*2*10000</f>
        <v>1425000</v>
      </c>
      <c r="K488" s="64">
        <f t="shared" ref="K488" si="405">$K$155</f>
        <v>3000000</v>
      </c>
      <c r="L488" s="64">
        <f t="shared" ref="L488" si="406">J488*5</f>
        <v>7125000</v>
      </c>
      <c r="M488" s="65">
        <f t="shared" ref="M488" si="407">I488/(I488+I489)*100</f>
        <v>97.269624573378849</v>
      </c>
      <c r="N488" s="22">
        <f>I490/I488*100</f>
        <v>0</v>
      </c>
      <c r="O488" s="66">
        <f>3.32*(LOG(L488)-LOG(K488))</f>
        <v>1.2472031983501384</v>
      </c>
      <c r="P488" s="66">
        <f t="shared" ref="P488" si="408">IF(O488&lt;0,P485,P485+O488)</f>
        <v>187.11776999087755</v>
      </c>
      <c r="Q488" s="68"/>
      <c r="R488" s="68"/>
      <c r="S488" s="69"/>
      <c r="T488" s="68"/>
      <c r="U488" s="36"/>
      <c r="V488" s="36"/>
    </row>
    <row r="489" spans="1:22" ht="15.75" customHeight="1" x14ac:dyDescent="0.35">
      <c r="A489" s="20"/>
      <c r="B489" s="120"/>
      <c r="C489" s="105"/>
      <c r="D489" s="92" t="s">
        <v>66</v>
      </c>
      <c r="E489" s="58">
        <v>3</v>
      </c>
      <c r="F489" s="58">
        <v>2</v>
      </c>
      <c r="G489" s="58">
        <v>2</v>
      </c>
      <c r="H489" s="58">
        <v>1</v>
      </c>
      <c r="I489" s="64">
        <f t="shared" si="286"/>
        <v>2</v>
      </c>
      <c r="J489" s="64"/>
      <c r="K489" s="64"/>
      <c r="L489" s="64"/>
      <c r="M489" s="64"/>
      <c r="N489" s="20"/>
      <c r="O489" s="64"/>
      <c r="P489" s="64"/>
      <c r="Q489" s="70"/>
      <c r="R489" s="70"/>
      <c r="S489" s="70"/>
      <c r="T489" s="71"/>
      <c r="U489" s="71"/>
      <c r="V489" s="36"/>
    </row>
    <row r="490" spans="1:22" ht="15.75" customHeight="1" x14ac:dyDescent="0.35">
      <c r="A490" s="20"/>
      <c r="B490" s="120"/>
      <c r="C490" s="105"/>
      <c r="D490" s="92" t="s">
        <v>67</v>
      </c>
      <c r="E490" s="58">
        <v>0</v>
      </c>
      <c r="F490" s="58">
        <v>0</v>
      </c>
      <c r="G490" s="58">
        <v>0</v>
      </c>
      <c r="H490" s="58">
        <v>0</v>
      </c>
      <c r="I490" s="64">
        <f t="shared" si="286"/>
        <v>0</v>
      </c>
      <c r="J490" s="64"/>
      <c r="K490" s="64"/>
      <c r="L490" s="64"/>
      <c r="M490" s="64"/>
      <c r="N490" s="20"/>
      <c r="O490" s="64"/>
      <c r="P490" s="64"/>
      <c r="Q490" s="70"/>
      <c r="R490" s="70"/>
      <c r="S490" s="70"/>
      <c r="T490" s="71"/>
      <c r="U490" s="71"/>
      <c r="V490" s="36"/>
    </row>
    <row r="491" spans="1:22" ht="15.75" customHeight="1" x14ac:dyDescent="0.35">
      <c r="A491" s="30">
        <f t="shared" ref="A491" si="409">A488+7</f>
        <v>45482</v>
      </c>
      <c r="B491" s="120">
        <f t="shared" ref="B491" si="410">B488+7</f>
        <v>1131</v>
      </c>
      <c r="C491" s="105" t="str">
        <f t="shared" ref="C491" si="411">$C$155</f>
        <v>5% FBS R2</v>
      </c>
      <c r="D491" s="91" t="s">
        <v>65</v>
      </c>
      <c r="E491" s="58">
        <v>22</v>
      </c>
      <c r="F491" s="58">
        <v>12</v>
      </c>
      <c r="G491" s="58">
        <v>24</v>
      </c>
      <c r="H491" s="58">
        <v>14</v>
      </c>
      <c r="I491" s="64">
        <f t="shared" si="286"/>
        <v>18</v>
      </c>
      <c r="J491" s="64">
        <f t="shared" ref="J491" si="412">I491*2*10000</f>
        <v>360000</v>
      </c>
      <c r="K491" s="64">
        <f t="shared" ref="K491" si="413">$K$155</f>
        <v>3000000</v>
      </c>
      <c r="L491" s="64">
        <f t="shared" ref="L491" si="414">J491*5</f>
        <v>1800000</v>
      </c>
      <c r="M491" s="65">
        <f t="shared" ref="M491" si="415">I491/(I491+I492)*100</f>
        <v>96</v>
      </c>
      <c r="N491" s="22">
        <f>I493/I491*100</f>
        <v>0</v>
      </c>
      <c r="O491" s="66">
        <f>3.32*(LOG(L491)-LOG(K491))</f>
        <v>-0.73653784872630235</v>
      </c>
      <c r="P491" s="66">
        <f t="shared" ref="P491" si="416">IF(O491&lt;0,P488,P488+O491)</f>
        <v>187.11776999087755</v>
      </c>
      <c r="Q491" s="68"/>
      <c r="R491" s="68"/>
      <c r="S491" s="69"/>
      <c r="T491" s="68"/>
      <c r="U491" s="36"/>
      <c r="V491" s="36"/>
    </row>
    <row r="492" spans="1:22" ht="15.75" customHeight="1" x14ac:dyDescent="0.35">
      <c r="A492" s="20"/>
      <c r="B492" s="120"/>
      <c r="C492" s="105"/>
      <c r="D492" s="92" t="s">
        <v>66</v>
      </c>
      <c r="E492" s="58">
        <v>0</v>
      </c>
      <c r="F492" s="58">
        <v>0</v>
      </c>
      <c r="G492" s="58">
        <v>2</v>
      </c>
      <c r="H492" s="58">
        <v>1</v>
      </c>
      <c r="I492" s="64">
        <f t="shared" si="286"/>
        <v>0.75</v>
      </c>
      <c r="J492" s="64"/>
      <c r="K492" s="64"/>
      <c r="L492" s="64"/>
      <c r="M492" s="64"/>
      <c r="N492" s="20"/>
      <c r="O492" s="64"/>
      <c r="P492" s="64"/>
      <c r="Q492" s="70"/>
      <c r="R492" s="70"/>
      <c r="S492" s="70"/>
      <c r="T492" s="71"/>
      <c r="U492" s="71"/>
      <c r="V492" s="36"/>
    </row>
    <row r="493" spans="1:22" ht="15.75" customHeight="1" x14ac:dyDescent="0.35">
      <c r="A493" s="20"/>
      <c r="B493" s="120"/>
      <c r="C493" s="105"/>
      <c r="D493" s="92" t="s">
        <v>67</v>
      </c>
      <c r="E493" s="58">
        <v>0</v>
      </c>
      <c r="F493" s="58">
        <v>0</v>
      </c>
      <c r="G493" s="58">
        <v>0</v>
      </c>
      <c r="H493" s="58">
        <v>0</v>
      </c>
      <c r="I493" s="64">
        <f t="shared" si="286"/>
        <v>0</v>
      </c>
      <c r="J493" s="64"/>
      <c r="K493" s="64"/>
      <c r="L493" s="64"/>
      <c r="M493" s="64"/>
      <c r="N493" s="20"/>
      <c r="O493" s="64"/>
      <c r="P493" s="64"/>
      <c r="Q493" s="70"/>
      <c r="R493" s="70"/>
      <c r="S493" s="70"/>
      <c r="T493" s="71"/>
      <c r="U493" s="71"/>
      <c r="V493" s="36"/>
    </row>
    <row r="494" spans="1:22" ht="15.75" customHeight="1" x14ac:dyDescent="0.35">
      <c r="A494" s="30">
        <f t="shared" ref="A494" si="417">A491+7</f>
        <v>45489</v>
      </c>
      <c r="B494" s="120">
        <f t="shared" ref="B494" si="418">B491+7</f>
        <v>1138</v>
      </c>
      <c r="C494" s="105" t="str">
        <f t="shared" ref="C494" si="419">$C$155</f>
        <v>5% FBS R2</v>
      </c>
      <c r="D494" s="91" t="s">
        <v>65</v>
      </c>
      <c r="E494" s="58">
        <v>39</v>
      </c>
      <c r="F494" s="58">
        <v>43</v>
      </c>
      <c r="G494" s="58">
        <v>50</v>
      </c>
      <c r="H494" s="58">
        <v>35</v>
      </c>
      <c r="I494" s="64">
        <f t="shared" si="286"/>
        <v>41.75</v>
      </c>
      <c r="J494" s="64">
        <f t="shared" ref="J494" si="420">I494*2*10000</f>
        <v>835000</v>
      </c>
      <c r="K494" s="64">
        <v>1800000</v>
      </c>
      <c r="L494" s="64">
        <f t="shared" ref="L494" si="421">J494*5</f>
        <v>4175000</v>
      </c>
      <c r="M494" s="65">
        <f t="shared" ref="M494" si="422">I494/(I494+I495)*100</f>
        <v>98.816568047337284</v>
      </c>
      <c r="N494" s="22">
        <f>I496/I494*100</f>
        <v>0</v>
      </c>
      <c r="O494" s="66">
        <f>3.32*(LOG(L494)-LOG(K494))</f>
        <v>1.2130747960581636</v>
      </c>
      <c r="P494" s="66">
        <f t="shared" ref="P494" si="423">IF(O494&lt;0,P491,P491+O494)</f>
        <v>188.3308447869357</v>
      </c>
      <c r="Q494" s="68"/>
      <c r="R494" s="68"/>
      <c r="S494" s="69"/>
      <c r="T494" s="68"/>
      <c r="U494" s="36"/>
      <c r="V494" s="36"/>
    </row>
    <row r="495" spans="1:22" ht="15.75" customHeight="1" x14ac:dyDescent="0.35">
      <c r="A495" s="20"/>
      <c r="B495" s="120"/>
      <c r="C495" s="105"/>
      <c r="D495" s="92" t="s">
        <v>66</v>
      </c>
      <c r="E495" s="58">
        <v>1</v>
      </c>
      <c r="F495" s="58">
        <v>0</v>
      </c>
      <c r="G495" s="58">
        <v>0</v>
      </c>
      <c r="H495" s="58">
        <v>1</v>
      </c>
      <c r="I495" s="64">
        <f t="shared" ref="I495:I499" si="424">AVERAGE(E495:H495)</f>
        <v>0.5</v>
      </c>
      <c r="J495" s="64"/>
      <c r="K495" s="64"/>
      <c r="L495" s="64"/>
      <c r="M495" s="64"/>
      <c r="N495" s="20"/>
      <c r="O495" s="64"/>
      <c r="P495" s="64"/>
      <c r="Q495" s="70"/>
      <c r="R495" s="70"/>
      <c r="S495" s="70"/>
      <c r="T495" s="71"/>
      <c r="U495" s="71"/>
      <c r="V495" s="36"/>
    </row>
    <row r="496" spans="1:22" ht="15.75" customHeight="1" x14ac:dyDescent="0.35">
      <c r="A496" s="20"/>
      <c r="B496" s="120"/>
      <c r="C496" s="105"/>
      <c r="D496" s="92" t="s">
        <v>67</v>
      </c>
      <c r="E496" s="58">
        <v>0</v>
      </c>
      <c r="F496" s="58">
        <v>0</v>
      </c>
      <c r="G496" s="58">
        <v>0</v>
      </c>
      <c r="H496" s="58">
        <v>0</v>
      </c>
      <c r="I496" s="64">
        <f t="shared" si="424"/>
        <v>0</v>
      </c>
      <c r="J496" s="64"/>
      <c r="K496" s="64"/>
      <c r="L496" s="64"/>
      <c r="M496" s="64"/>
      <c r="N496" s="20"/>
      <c r="O496" s="64"/>
      <c r="P496" s="64"/>
      <c r="Q496" s="70"/>
      <c r="R496" s="70"/>
      <c r="S496" s="70"/>
      <c r="T496" s="71"/>
      <c r="U496" s="71"/>
      <c r="V496" s="36"/>
    </row>
    <row r="497" spans="1:22" ht="15.75" customHeight="1" x14ac:dyDescent="0.35">
      <c r="A497" s="30">
        <f t="shared" ref="A497" si="425">A494+7</f>
        <v>45496</v>
      </c>
      <c r="B497" s="120">
        <f t="shared" ref="B497" si="426">B494+7</f>
        <v>1145</v>
      </c>
      <c r="C497" s="105" t="str">
        <f t="shared" ref="C497" si="427">$C$155</f>
        <v>5% FBS R2</v>
      </c>
      <c r="D497" s="91" t="s">
        <v>65</v>
      </c>
      <c r="E497" s="58">
        <v>169</v>
      </c>
      <c r="F497" s="58">
        <v>156</v>
      </c>
      <c r="G497" s="58">
        <v>164</v>
      </c>
      <c r="H497" s="58">
        <v>170</v>
      </c>
      <c r="I497" s="64">
        <f t="shared" si="424"/>
        <v>164.75</v>
      </c>
      <c r="J497" s="64">
        <f t="shared" ref="J497" si="428">I497*2*10000</f>
        <v>3295000</v>
      </c>
      <c r="K497" s="64">
        <f t="shared" ref="K497" si="429">$K$155</f>
        <v>3000000</v>
      </c>
      <c r="L497" s="64">
        <f t="shared" ref="L497" si="430">J497*5</f>
        <v>16475000</v>
      </c>
      <c r="M497" s="65">
        <f t="shared" ref="M497" si="431">I497/(I497+I498)*100</f>
        <v>97.629629629629633</v>
      </c>
      <c r="N497" s="22">
        <f>I499/I497*100</f>
        <v>0</v>
      </c>
      <c r="O497" s="66">
        <f>3.32*(LOG(L497)-LOG(K497))</f>
        <v>2.4558178395739967</v>
      </c>
      <c r="P497" s="66">
        <f t="shared" ref="P497" si="432">IF(O497&lt;0,P494,P494+O497)</f>
        <v>190.7866626265097</v>
      </c>
      <c r="Q497" s="68"/>
      <c r="R497" s="68"/>
      <c r="S497" s="69"/>
      <c r="T497" s="68"/>
      <c r="U497" s="36"/>
      <c r="V497" s="36"/>
    </row>
    <row r="498" spans="1:22" ht="15.75" customHeight="1" x14ac:dyDescent="0.35">
      <c r="A498" s="20"/>
      <c r="B498" s="120"/>
      <c r="C498" s="105"/>
      <c r="D498" s="93" t="s">
        <v>66</v>
      </c>
      <c r="E498" s="58">
        <v>5</v>
      </c>
      <c r="F498" s="58">
        <v>3</v>
      </c>
      <c r="G498" s="58">
        <v>4</v>
      </c>
      <c r="H498" s="58">
        <v>4</v>
      </c>
      <c r="I498" s="64">
        <f t="shared" si="424"/>
        <v>4</v>
      </c>
      <c r="J498" s="64"/>
      <c r="K498" s="64"/>
      <c r="L498" s="64"/>
      <c r="M498" s="64"/>
      <c r="N498" s="20"/>
      <c r="O498" s="64"/>
      <c r="P498" s="64"/>
      <c r="Q498" s="70"/>
      <c r="R498" s="70"/>
      <c r="S498" s="70"/>
      <c r="T498" s="71"/>
      <c r="U498" s="71"/>
      <c r="V498" s="36"/>
    </row>
    <row r="499" spans="1:22" ht="15.75" customHeight="1" x14ac:dyDescent="0.35">
      <c r="A499" s="20"/>
      <c r="B499" s="120"/>
      <c r="C499" s="105"/>
      <c r="D499" s="92" t="s">
        <v>67</v>
      </c>
      <c r="E499" s="58">
        <v>0</v>
      </c>
      <c r="F499" s="58">
        <v>0</v>
      </c>
      <c r="G499" s="58">
        <v>0</v>
      </c>
      <c r="H499" s="58">
        <v>0</v>
      </c>
      <c r="I499" s="64">
        <f t="shared" si="424"/>
        <v>0</v>
      </c>
      <c r="J499" s="64"/>
      <c r="K499" s="64"/>
      <c r="L499" s="64"/>
      <c r="M499" s="64"/>
      <c r="N499" s="20"/>
      <c r="O499" s="64"/>
      <c r="P499" s="64"/>
      <c r="Q499" s="70"/>
      <c r="R499" s="70"/>
      <c r="S499" s="70"/>
      <c r="T499" s="71"/>
      <c r="U499" s="71"/>
      <c r="V499" s="36"/>
    </row>
    <row r="500" spans="1:22" ht="15.75" customHeight="1" x14ac:dyDescent="0.35">
      <c r="T500" s="36"/>
      <c r="U500" s="36"/>
      <c r="V500" s="36"/>
    </row>
    <row r="501" spans="1:22" ht="15.75" customHeight="1" x14ac:dyDescent="0.35">
      <c r="T501" s="36"/>
      <c r="U501" s="36"/>
      <c r="V501" s="36"/>
    </row>
    <row r="502" spans="1:22" ht="15" customHeight="1" x14ac:dyDescent="0.35">
      <c r="T502" s="36"/>
      <c r="U502" s="36"/>
      <c r="V502" s="36"/>
    </row>
    <row r="503" spans="1:22" ht="15" customHeight="1" x14ac:dyDescent="0.35">
      <c r="T503" s="36"/>
      <c r="U503" s="36"/>
      <c r="V503" s="36"/>
    </row>
    <row r="504" spans="1:22" ht="15" customHeight="1" x14ac:dyDescent="0.35">
      <c r="T504" s="36"/>
      <c r="U504" s="36"/>
      <c r="V504" s="36"/>
    </row>
    <row r="505" spans="1:22" ht="15.75" customHeight="1" x14ac:dyDescent="0.35">
      <c r="T505" s="36"/>
      <c r="U505" s="36"/>
      <c r="V505" s="36"/>
    </row>
    <row r="506" spans="1:22" ht="15.75" customHeight="1" x14ac:dyDescent="0.35">
      <c r="T506" s="36"/>
      <c r="U506" s="36"/>
      <c r="V506" s="36"/>
    </row>
    <row r="507" spans="1:22" ht="15.75" customHeight="1" x14ac:dyDescent="0.35">
      <c r="T507" s="36"/>
      <c r="U507" s="36"/>
      <c r="V507" s="36"/>
    </row>
    <row r="508" spans="1:22" ht="15.75" customHeight="1" x14ac:dyDescent="0.35">
      <c r="T508" s="36"/>
      <c r="U508" s="36"/>
      <c r="V508" s="36"/>
    </row>
    <row r="509" spans="1:22" ht="15.75" customHeight="1" x14ac:dyDescent="0.35">
      <c r="T509" s="36"/>
      <c r="U509" s="36"/>
      <c r="V509" s="36"/>
    </row>
    <row r="510" spans="1:22" ht="15.75" customHeight="1" x14ac:dyDescent="0.35">
      <c r="T510" s="36"/>
      <c r="U510" s="36"/>
      <c r="V510" s="36"/>
    </row>
    <row r="511" spans="1:22" ht="15.75" customHeight="1" x14ac:dyDescent="0.35">
      <c r="T511" s="36"/>
      <c r="U511" s="36"/>
      <c r="V511" s="36"/>
    </row>
    <row r="512" spans="1:22" ht="15.75" customHeight="1" x14ac:dyDescent="0.35">
      <c r="T512" s="36"/>
      <c r="U512" s="36"/>
      <c r="V512" s="36"/>
    </row>
    <row r="513" spans="20:22" ht="15.75" customHeight="1" x14ac:dyDescent="0.35">
      <c r="T513" s="36"/>
      <c r="U513" s="36"/>
      <c r="V513" s="36"/>
    </row>
    <row r="514" spans="20:22" ht="15.75" customHeight="1" x14ac:dyDescent="0.35">
      <c r="T514" s="36"/>
      <c r="U514" s="36"/>
      <c r="V514" s="36"/>
    </row>
    <row r="515" spans="20:22" ht="15.75" customHeight="1" x14ac:dyDescent="0.35">
      <c r="T515" s="36"/>
      <c r="U515" s="36"/>
      <c r="V515" s="36"/>
    </row>
    <row r="516" spans="20:22" ht="15.75" customHeight="1" x14ac:dyDescent="0.35">
      <c r="T516" s="36"/>
      <c r="U516" s="36"/>
      <c r="V516" s="36"/>
    </row>
    <row r="517" spans="20:22" ht="15.75" customHeight="1" x14ac:dyDescent="0.35">
      <c r="T517" s="36"/>
      <c r="U517" s="36"/>
      <c r="V517" s="36"/>
    </row>
    <row r="518" spans="20:22" ht="15.75" customHeight="1" x14ac:dyDescent="0.35">
      <c r="T518" s="36"/>
      <c r="U518" s="36"/>
      <c r="V518" s="36"/>
    </row>
    <row r="519" spans="20:22" ht="15.75" customHeight="1" x14ac:dyDescent="0.35">
      <c r="T519" s="36"/>
      <c r="U519" s="36"/>
      <c r="V519" s="36"/>
    </row>
    <row r="520" spans="20:22" ht="15.75" customHeight="1" x14ac:dyDescent="0.35">
      <c r="T520" s="36"/>
      <c r="U520" s="36"/>
      <c r="V520" s="36"/>
    </row>
    <row r="521" spans="20:22" ht="15.75" customHeight="1" x14ac:dyDescent="0.35">
      <c r="T521" s="36"/>
      <c r="U521" s="36"/>
      <c r="V521" s="36"/>
    </row>
    <row r="522" spans="20:22" ht="15.75" customHeight="1" x14ac:dyDescent="0.35">
      <c r="T522" s="36"/>
      <c r="U522" s="36"/>
      <c r="V522" s="36"/>
    </row>
    <row r="523" spans="20:22" ht="15.75" customHeight="1" x14ac:dyDescent="0.35">
      <c r="T523" s="36"/>
      <c r="U523" s="36"/>
      <c r="V523" s="36"/>
    </row>
    <row r="524" spans="20:22" ht="15.75" customHeight="1" x14ac:dyDescent="0.35">
      <c r="T524" s="36"/>
      <c r="U524" s="36"/>
      <c r="V524" s="36"/>
    </row>
    <row r="525" spans="20:22" ht="15.75" customHeight="1" x14ac:dyDescent="0.35">
      <c r="T525" s="36"/>
      <c r="U525" s="36"/>
      <c r="V525" s="36"/>
    </row>
    <row r="526" spans="20:22" ht="15.75" customHeight="1" x14ac:dyDescent="0.35">
      <c r="T526" s="36"/>
      <c r="U526" s="36"/>
      <c r="V526" s="36"/>
    </row>
    <row r="527" spans="20:22" ht="15.75" customHeight="1" x14ac:dyDescent="0.35">
      <c r="T527" s="36"/>
      <c r="U527" s="36"/>
      <c r="V527" s="36"/>
    </row>
    <row r="528" spans="20:22" ht="15.75" customHeight="1" x14ac:dyDescent="0.35">
      <c r="T528" s="36"/>
      <c r="U528" s="36"/>
      <c r="V528" s="36"/>
    </row>
    <row r="529" spans="20:22" ht="15.75" customHeight="1" x14ac:dyDescent="0.35">
      <c r="T529" s="36"/>
      <c r="U529" s="36"/>
      <c r="V529" s="36"/>
    </row>
    <row r="530" spans="20:22" ht="15.75" customHeight="1" x14ac:dyDescent="0.35">
      <c r="T530" s="36"/>
      <c r="U530" s="36"/>
      <c r="V530" s="36"/>
    </row>
    <row r="531" spans="20:22" ht="15.75" customHeight="1" x14ac:dyDescent="0.35">
      <c r="T531" s="36"/>
      <c r="U531" s="36"/>
      <c r="V531" s="36"/>
    </row>
    <row r="532" spans="20:22" ht="15.75" customHeight="1" x14ac:dyDescent="0.35">
      <c r="T532" s="36"/>
      <c r="U532" s="36"/>
      <c r="V532" s="36"/>
    </row>
    <row r="533" spans="20:22" ht="15.75" customHeight="1" x14ac:dyDescent="0.35">
      <c r="T533" s="36"/>
      <c r="U533" s="36"/>
      <c r="V533" s="36"/>
    </row>
    <row r="534" spans="20:22" ht="15.75" customHeight="1" x14ac:dyDescent="0.35">
      <c r="T534" s="36"/>
      <c r="U534" s="36"/>
      <c r="V534" s="36"/>
    </row>
    <row r="535" spans="20:22" ht="15.75" customHeight="1" x14ac:dyDescent="0.35">
      <c r="T535" s="36"/>
      <c r="U535" s="36"/>
      <c r="V535" s="36"/>
    </row>
    <row r="536" spans="20:22" ht="15.75" customHeight="1" x14ac:dyDescent="0.35">
      <c r="T536" s="36"/>
      <c r="U536" s="36"/>
      <c r="V536" s="36"/>
    </row>
    <row r="537" spans="20:22" ht="15.75" customHeight="1" x14ac:dyDescent="0.35">
      <c r="T537" s="36"/>
      <c r="U537" s="36"/>
      <c r="V537" s="36"/>
    </row>
    <row r="538" spans="20:22" ht="15.75" customHeight="1" x14ac:dyDescent="0.35">
      <c r="T538" s="36"/>
      <c r="U538" s="36"/>
      <c r="V538" s="36"/>
    </row>
    <row r="539" spans="20:22" ht="15.75" customHeight="1" x14ac:dyDescent="0.35">
      <c r="T539" s="36"/>
      <c r="U539" s="36"/>
      <c r="V539" s="36"/>
    </row>
    <row r="540" spans="20:22" ht="15.75" customHeight="1" x14ac:dyDescent="0.35">
      <c r="T540" s="36"/>
      <c r="U540" s="36"/>
      <c r="V540" s="36"/>
    </row>
    <row r="541" spans="20:22" ht="15.75" customHeight="1" x14ac:dyDescent="0.35">
      <c r="T541" s="36"/>
      <c r="U541" s="36"/>
      <c r="V541" s="36"/>
    </row>
    <row r="542" spans="20:22" ht="15.75" customHeight="1" x14ac:dyDescent="0.35">
      <c r="T542" s="36"/>
      <c r="U542" s="36"/>
      <c r="V542" s="36"/>
    </row>
    <row r="543" spans="20:22" ht="15.75" customHeight="1" x14ac:dyDescent="0.35">
      <c r="T543" s="36"/>
      <c r="U543" s="36"/>
      <c r="V543" s="36"/>
    </row>
    <row r="544" spans="20:22" ht="15.75" customHeight="1" x14ac:dyDescent="0.35">
      <c r="T544" s="36"/>
      <c r="U544" s="36"/>
      <c r="V544" s="36"/>
    </row>
    <row r="545" spans="20:22" ht="15.75" customHeight="1" x14ac:dyDescent="0.35">
      <c r="T545" s="36"/>
      <c r="U545" s="36"/>
      <c r="V545" s="36"/>
    </row>
    <row r="546" spans="20:22" ht="15.75" customHeight="1" x14ac:dyDescent="0.35">
      <c r="T546" s="36"/>
      <c r="U546" s="36"/>
      <c r="V546" s="36"/>
    </row>
    <row r="547" spans="20:22" ht="15.75" customHeight="1" x14ac:dyDescent="0.35">
      <c r="T547" s="36"/>
      <c r="U547" s="36"/>
      <c r="V547" s="36"/>
    </row>
    <row r="548" spans="20:22" ht="15.75" customHeight="1" x14ac:dyDescent="0.35">
      <c r="T548" s="36"/>
      <c r="U548" s="36"/>
      <c r="V548" s="36"/>
    </row>
    <row r="549" spans="20:22" ht="15.75" customHeight="1" x14ac:dyDescent="0.35">
      <c r="T549" s="36"/>
      <c r="U549" s="36"/>
      <c r="V549" s="36"/>
    </row>
    <row r="550" spans="20:22" ht="15.75" customHeight="1" x14ac:dyDescent="0.35">
      <c r="T550" s="36"/>
      <c r="U550" s="36"/>
      <c r="V550" s="36"/>
    </row>
    <row r="551" spans="20:22" ht="15.75" customHeight="1" x14ac:dyDescent="0.35">
      <c r="T551" s="36"/>
      <c r="U551" s="36"/>
      <c r="V551" s="36"/>
    </row>
    <row r="552" spans="20:22" ht="15.75" customHeight="1" x14ac:dyDescent="0.35"/>
    <row r="553" spans="20:22" ht="15.75" customHeight="1" x14ac:dyDescent="0.35"/>
    <row r="554" spans="20:22" ht="15.75" customHeight="1" x14ac:dyDescent="0.35"/>
    <row r="555" spans="20:22" ht="15.75" customHeight="1" x14ac:dyDescent="0.35"/>
    <row r="556" spans="20:22" ht="15.75" customHeight="1" x14ac:dyDescent="0.35"/>
    <row r="557" spans="20:22" ht="15.75" customHeight="1" x14ac:dyDescent="0.35"/>
    <row r="558" spans="20:22" ht="15.75" customHeight="1" x14ac:dyDescent="0.35"/>
    <row r="559" spans="20:22" ht="15.75" customHeight="1" x14ac:dyDescent="0.35"/>
    <row r="560" spans="20:22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62"/>
  <sheetViews>
    <sheetView workbookViewId="0">
      <pane ySplit="4" topLeftCell="A5" activePane="bottomLeft" state="frozen"/>
      <selection pane="bottomLeft"/>
    </sheetView>
  </sheetViews>
  <sheetFormatPr defaultColWidth="14.453125" defaultRowHeight="15" customHeight="1" x14ac:dyDescent="0.35"/>
  <cols>
    <col min="1" max="1" width="11.54296875" customWidth="1"/>
    <col min="2" max="2" width="10.6328125" style="98" customWidth="1"/>
    <col min="3" max="3" width="11.6328125" style="99" customWidth="1"/>
    <col min="4" max="4" width="10.6328125" customWidth="1"/>
    <col min="5" max="8" width="9" style="46" customWidth="1"/>
    <col min="9" max="9" width="9" customWidth="1"/>
    <col min="10" max="10" width="10.54296875" customWidth="1"/>
    <col min="11" max="11" width="9" customWidth="1"/>
    <col min="12" max="12" width="9.81640625" customWidth="1"/>
    <col min="13" max="13" width="10.6328125" customWidth="1"/>
    <col min="14" max="14" width="10.7265625" bestFit="1" customWidth="1"/>
    <col min="15" max="15" width="9" customWidth="1"/>
    <col min="16" max="16" width="12.6328125" customWidth="1"/>
  </cols>
  <sheetData>
    <row r="1" spans="1:16" ht="15" customHeight="1" thickBot="1" x14ac:dyDescent="0.4">
      <c r="A1" s="140" t="s">
        <v>76</v>
      </c>
    </row>
    <row r="2" spans="1:16" ht="35" customHeight="1" x14ac:dyDescent="0.35">
      <c r="A2" s="143" t="s">
        <v>0</v>
      </c>
      <c r="B2" s="145" t="s">
        <v>53</v>
      </c>
      <c r="C2" s="141" t="s">
        <v>54</v>
      </c>
      <c r="D2" s="147" t="s">
        <v>55</v>
      </c>
      <c r="E2" s="149" t="s">
        <v>56</v>
      </c>
      <c r="F2" s="150"/>
      <c r="G2" s="150"/>
      <c r="H2" s="151"/>
      <c r="I2" s="141" t="s">
        <v>57</v>
      </c>
      <c r="J2" s="152" t="s">
        <v>1</v>
      </c>
      <c r="K2" s="152" t="s">
        <v>58</v>
      </c>
      <c r="L2" s="152" t="s">
        <v>59</v>
      </c>
      <c r="M2" s="152" t="s">
        <v>60</v>
      </c>
      <c r="N2" s="154" t="s">
        <v>69</v>
      </c>
      <c r="O2" s="152" t="s">
        <v>2</v>
      </c>
      <c r="P2" s="147" t="s">
        <v>68</v>
      </c>
    </row>
    <row r="3" spans="1:16" ht="15" customHeight="1" thickBot="1" x14ac:dyDescent="0.4">
      <c r="A3" s="144"/>
      <c r="B3" s="146"/>
      <c r="C3" s="142"/>
      <c r="D3" s="148"/>
      <c r="E3" s="117" t="s">
        <v>61</v>
      </c>
      <c r="F3" s="118" t="s">
        <v>62</v>
      </c>
      <c r="G3" s="118" t="s">
        <v>63</v>
      </c>
      <c r="H3" s="119" t="s">
        <v>64</v>
      </c>
      <c r="I3" s="142"/>
      <c r="J3" s="153"/>
      <c r="K3" s="153"/>
      <c r="L3" s="153"/>
      <c r="M3" s="153"/>
      <c r="N3" s="155"/>
      <c r="O3" s="153"/>
      <c r="P3" s="148"/>
    </row>
    <row r="4" spans="1:16" ht="15" customHeight="1" thickBot="1" x14ac:dyDescent="0.4">
      <c r="A4" s="123" t="s">
        <v>72</v>
      </c>
      <c r="B4" s="124"/>
      <c r="C4" s="12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</row>
    <row r="5" spans="1:16" ht="14.25" customHeight="1" x14ac:dyDescent="0.35">
      <c r="A5" s="90" t="s">
        <v>3</v>
      </c>
      <c r="B5" s="131">
        <v>3</v>
      </c>
      <c r="C5" s="128" t="s">
        <v>42</v>
      </c>
      <c r="D5" s="91" t="s">
        <v>65</v>
      </c>
      <c r="E5" s="87">
        <v>83</v>
      </c>
      <c r="F5" s="87">
        <v>73</v>
      </c>
      <c r="G5" s="87">
        <v>82</v>
      </c>
      <c r="H5" s="87">
        <v>75</v>
      </c>
      <c r="I5" s="25">
        <f t="shared" ref="I5:I156" si="0">AVERAGE(E5:H5)</f>
        <v>78.25</v>
      </c>
      <c r="J5" s="25">
        <f>I5*2*10000</f>
        <v>1565000</v>
      </c>
      <c r="K5" s="25">
        <v>1290000</v>
      </c>
      <c r="L5" s="25">
        <f>J5*5</f>
        <v>7825000</v>
      </c>
      <c r="M5" s="88">
        <f>I5/(I5+I6)*100</f>
        <v>99.050632911392398</v>
      </c>
      <c r="N5" s="34">
        <f>I7/I5*100</f>
        <v>0.31948881789137379</v>
      </c>
      <c r="O5" s="89">
        <f>3.32*(LOG(L5)-LOG(K5))</f>
        <v>2.5992101912518666</v>
      </c>
      <c r="P5" s="25">
        <v>2.6</v>
      </c>
    </row>
    <row r="6" spans="1:16" ht="14.25" customHeight="1" x14ac:dyDescent="0.35">
      <c r="A6" s="2"/>
      <c r="B6" s="109"/>
      <c r="C6" s="129"/>
      <c r="D6" s="92" t="s">
        <v>66</v>
      </c>
      <c r="E6" s="52">
        <v>1</v>
      </c>
      <c r="F6" s="52">
        <v>0</v>
      </c>
      <c r="G6" s="52">
        <v>0</v>
      </c>
      <c r="H6" s="52">
        <v>2</v>
      </c>
      <c r="I6" s="2">
        <f t="shared" si="0"/>
        <v>0.75</v>
      </c>
      <c r="J6" s="2"/>
      <c r="K6" s="2"/>
      <c r="L6" s="2"/>
      <c r="M6" s="2"/>
      <c r="N6" s="20"/>
      <c r="O6" s="2"/>
      <c r="P6" s="2"/>
    </row>
    <row r="7" spans="1:16" ht="14.25" customHeight="1" x14ac:dyDescent="0.35">
      <c r="A7" s="2"/>
      <c r="B7" s="109"/>
      <c r="C7" s="129"/>
      <c r="D7" s="92" t="s">
        <v>67</v>
      </c>
      <c r="E7" s="52">
        <v>0</v>
      </c>
      <c r="F7" s="52">
        <v>0</v>
      </c>
      <c r="G7" s="52">
        <v>1</v>
      </c>
      <c r="H7" s="52">
        <v>0</v>
      </c>
      <c r="I7" s="2">
        <f t="shared" si="0"/>
        <v>0.25</v>
      </c>
      <c r="J7" s="2"/>
      <c r="K7" s="2"/>
      <c r="L7" s="2"/>
      <c r="M7" s="2"/>
      <c r="N7" s="20"/>
      <c r="O7" s="2"/>
      <c r="P7" s="2"/>
    </row>
    <row r="8" spans="1:16" ht="14.25" customHeight="1" x14ac:dyDescent="0.35">
      <c r="A8" s="1" t="s">
        <v>5</v>
      </c>
      <c r="B8" s="109">
        <v>7</v>
      </c>
      <c r="C8" s="129" t="s">
        <v>42</v>
      </c>
      <c r="D8" s="91" t="s">
        <v>65</v>
      </c>
      <c r="E8" s="52">
        <v>88</v>
      </c>
      <c r="F8" s="52">
        <v>103</v>
      </c>
      <c r="G8" s="52">
        <v>73</v>
      </c>
      <c r="H8" s="52">
        <v>70</v>
      </c>
      <c r="I8" s="2">
        <f t="shared" si="0"/>
        <v>83.5</v>
      </c>
      <c r="J8" s="2">
        <f>I8*2*10000</f>
        <v>1670000</v>
      </c>
      <c r="K8" s="2">
        <v>3000000</v>
      </c>
      <c r="L8" s="2">
        <f>J8*5</f>
        <v>8350000</v>
      </c>
      <c r="M8" s="3">
        <f>I8/(I8+I9)*100</f>
        <v>99.404761904761912</v>
      </c>
      <c r="N8" s="22">
        <f>I10/I8*100</f>
        <v>0.29940119760479045</v>
      </c>
      <c r="O8" s="4">
        <f>3.32*(LOG(L8)-LOG(K8))</f>
        <v>1.4759565329362789</v>
      </c>
      <c r="P8" s="4">
        <f>P5+O8</f>
        <v>4.0759565329362788</v>
      </c>
    </row>
    <row r="9" spans="1:16" ht="14.25" customHeight="1" x14ac:dyDescent="0.35">
      <c r="A9" s="2"/>
      <c r="B9" s="109"/>
      <c r="C9" s="129"/>
      <c r="D9" s="92" t="s">
        <v>66</v>
      </c>
      <c r="E9" s="52">
        <v>1</v>
      </c>
      <c r="F9" s="52">
        <v>0</v>
      </c>
      <c r="G9" s="52">
        <v>1</v>
      </c>
      <c r="H9" s="52">
        <v>0</v>
      </c>
      <c r="I9" s="2">
        <f t="shared" si="0"/>
        <v>0.5</v>
      </c>
      <c r="J9" s="2"/>
      <c r="K9" s="2"/>
      <c r="L9" s="2"/>
      <c r="M9" s="2"/>
      <c r="N9" s="20"/>
      <c r="O9" s="2"/>
      <c r="P9" s="2"/>
    </row>
    <row r="10" spans="1:16" ht="14.25" customHeight="1" x14ac:dyDescent="0.35">
      <c r="A10" s="2"/>
      <c r="B10" s="109"/>
      <c r="C10" s="129"/>
      <c r="D10" s="92" t="s">
        <v>67</v>
      </c>
      <c r="E10" s="52">
        <v>0</v>
      </c>
      <c r="F10" s="52">
        <v>1</v>
      </c>
      <c r="G10" s="52">
        <v>0</v>
      </c>
      <c r="H10" s="52">
        <v>0</v>
      </c>
      <c r="I10" s="2">
        <f t="shared" si="0"/>
        <v>0.25</v>
      </c>
      <c r="J10" s="2"/>
      <c r="K10" s="2"/>
      <c r="L10" s="2"/>
      <c r="M10" s="2"/>
      <c r="N10" s="20"/>
      <c r="O10" s="2"/>
      <c r="P10" s="2"/>
    </row>
    <row r="11" spans="1:16" ht="14.25" customHeight="1" x14ac:dyDescent="0.35">
      <c r="A11" s="1" t="s">
        <v>6</v>
      </c>
      <c r="B11" s="109">
        <v>10</v>
      </c>
      <c r="C11" s="129" t="s">
        <v>42</v>
      </c>
      <c r="D11" s="91" t="s">
        <v>65</v>
      </c>
      <c r="E11" s="52">
        <v>29</v>
      </c>
      <c r="F11" s="52">
        <v>31</v>
      </c>
      <c r="G11" s="52">
        <v>26</v>
      </c>
      <c r="H11" s="52">
        <v>38</v>
      </c>
      <c r="I11" s="2">
        <f t="shared" si="0"/>
        <v>31</v>
      </c>
      <c r="J11" s="2">
        <f>I11*2*10000</f>
        <v>620000</v>
      </c>
      <c r="K11" s="2">
        <v>3000000</v>
      </c>
      <c r="L11" s="2">
        <f>J11*5</f>
        <v>3100000</v>
      </c>
      <c r="M11" s="3">
        <f>I11/(I11+I12)*100</f>
        <v>99.2</v>
      </c>
      <c r="N11" s="22">
        <f>I13/I11*100</f>
        <v>0</v>
      </c>
      <c r="O11" s="4">
        <f>3.32*(LOG(L11)-LOG(K11))</f>
        <v>4.7278257860506795E-2</v>
      </c>
      <c r="P11" s="4">
        <f>P8+O11</f>
        <v>4.1232347907967855</v>
      </c>
    </row>
    <row r="12" spans="1:16" ht="14.25" customHeight="1" x14ac:dyDescent="0.35">
      <c r="A12" s="2"/>
      <c r="B12" s="109"/>
      <c r="C12" s="129"/>
      <c r="D12" s="92" t="s">
        <v>66</v>
      </c>
      <c r="E12" s="52">
        <v>1</v>
      </c>
      <c r="F12" s="52">
        <v>0</v>
      </c>
      <c r="G12" s="52">
        <v>0</v>
      </c>
      <c r="H12" s="52">
        <v>0</v>
      </c>
      <c r="I12" s="2">
        <f t="shared" si="0"/>
        <v>0.25</v>
      </c>
      <c r="J12" s="2"/>
      <c r="K12" s="2"/>
      <c r="L12" s="2"/>
      <c r="M12" s="2"/>
      <c r="N12" s="20"/>
      <c r="O12" s="2"/>
      <c r="P12" s="2"/>
    </row>
    <row r="13" spans="1:16" ht="14.25" customHeight="1" x14ac:dyDescent="0.35">
      <c r="A13" s="2"/>
      <c r="B13" s="109"/>
      <c r="C13" s="129"/>
      <c r="D13" s="92" t="s">
        <v>67</v>
      </c>
      <c r="E13" s="52">
        <v>0</v>
      </c>
      <c r="F13" s="52">
        <v>0</v>
      </c>
      <c r="G13" s="52">
        <v>0</v>
      </c>
      <c r="H13" s="52">
        <v>0</v>
      </c>
      <c r="I13" s="2">
        <f t="shared" si="0"/>
        <v>0</v>
      </c>
      <c r="J13" s="2"/>
      <c r="K13" s="2"/>
      <c r="L13" s="2"/>
      <c r="M13" s="2"/>
      <c r="N13" s="20"/>
      <c r="O13" s="2"/>
      <c r="P13" s="2"/>
    </row>
    <row r="14" spans="1:16" ht="14.25" customHeight="1" x14ac:dyDescent="0.35">
      <c r="A14" s="1" t="s">
        <v>7</v>
      </c>
      <c r="B14" s="109">
        <v>14</v>
      </c>
      <c r="C14" s="129" t="s">
        <v>42</v>
      </c>
      <c r="D14" s="91" t="s">
        <v>65</v>
      </c>
      <c r="E14" s="52">
        <v>31</v>
      </c>
      <c r="F14" s="52">
        <v>39</v>
      </c>
      <c r="G14" s="52">
        <v>36</v>
      </c>
      <c r="H14" s="52">
        <v>37</v>
      </c>
      <c r="I14" s="2">
        <f t="shared" si="0"/>
        <v>35.75</v>
      </c>
      <c r="J14" s="2">
        <f>I14*2*10000</f>
        <v>715000</v>
      </c>
      <c r="K14" s="2">
        <v>3000000</v>
      </c>
      <c r="L14" s="2">
        <f>J14*5</f>
        <v>3575000</v>
      </c>
      <c r="M14" s="3">
        <f>I14/(I14+I15)*100</f>
        <v>97.278911564625844</v>
      </c>
      <c r="N14" s="22">
        <f>I16/I14*100</f>
        <v>0.69930069930069927</v>
      </c>
      <c r="O14" s="4">
        <f>3.32*(LOG(L14)-LOG(K14))</f>
        <v>0.25283390750589146</v>
      </c>
      <c r="P14" s="4">
        <f>P11+O14</f>
        <v>4.3760686983026771</v>
      </c>
    </row>
    <row r="15" spans="1:16" ht="14.25" customHeight="1" x14ac:dyDescent="0.35">
      <c r="A15" s="2"/>
      <c r="B15" s="109"/>
      <c r="C15" s="129"/>
      <c r="D15" s="92" t="s">
        <v>66</v>
      </c>
      <c r="E15" s="52">
        <v>0</v>
      </c>
      <c r="F15" s="52">
        <v>1</v>
      </c>
      <c r="G15" s="52">
        <v>1</v>
      </c>
      <c r="H15" s="52">
        <v>2</v>
      </c>
      <c r="I15" s="2">
        <f t="shared" si="0"/>
        <v>1</v>
      </c>
      <c r="J15" s="2"/>
      <c r="K15" s="2"/>
      <c r="L15" s="2"/>
      <c r="M15" s="2"/>
      <c r="N15" s="20"/>
      <c r="O15" s="2"/>
      <c r="P15" s="2"/>
    </row>
    <row r="16" spans="1:16" ht="14.25" customHeight="1" x14ac:dyDescent="0.35">
      <c r="A16" s="2"/>
      <c r="B16" s="109"/>
      <c r="C16" s="129"/>
      <c r="D16" s="92" t="s">
        <v>67</v>
      </c>
      <c r="E16" s="52">
        <v>0</v>
      </c>
      <c r="F16" s="52">
        <v>1</v>
      </c>
      <c r="G16" s="52">
        <v>0</v>
      </c>
      <c r="H16" s="52">
        <v>0</v>
      </c>
      <c r="I16" s="2">
        <f t="shared" si="0"/>
        <v>0.25</v>
      </c>
      <c r="J16" s="2"/>
      <c r="K16" s="2"/>
      <c r="L16" s="2"/>
      <c r="M16" s="2"/>
      <c r="N16" s="20"/>
      <c r="O16" s="2"/>
      <c r="P16" s="2"/>
    </row>
    <row r="17" spans="1:16" ht="14.25" customHeight="1" x14ac:dyDescent="0.35">
      <c r="A17" s="1" t="s">
        <v>8</v>
      </c>
      <c r="B17" s="109">
        <v>21</v>
      </c>
      <c r="C17" s="129" t="s">
        <v>42</v>
      </c>
      <c r="D17" s="91" t="s">
        <v>65</v>
      </c>
      <c r="E17" s="52">
        <v>58</v>
      </c>
      <c r="F17" s="52">
        <v>38</v>
      </c>
      <c r="G17" s="52">
        <v>49</v>
      </c>
      <c r="H17" s="52">
        <v>50</v>
      </c>
      <c r="I17" s="2">
        <f t="shared" si="0"/>
        <v>48.75</v>
      </c>
      <c r="J17" s="2">
        <f>I17*2*10000</f>
        <v>975000</v>
      </c>
      <c r="K17" s="2">
        <v>3000000</v>
      </c>
      <c r="L17" s="2">
        <f>J17*5</f>
        <v>4875000</v>
      </c>
      <c r="M17" s="3">
        <f>I17/(I17+I18)*100</f>
        <v>96.534653465346537</v>
      </c>
      <c r="N17" s="22">
        <f>I19/I17*100</f>
        <v>0</v>
      </c>
      <c r="O17" s="4">
        <f>3.32*(LOG(L17)-LOG(K17))</f>
        <v>0.70003317284544531</v>
      </c>
      <c r="P17" s="4">
        <f>P14+O17</f>
        <v>5.0761018711481221</v>
      </c>
    </row>
    <row r="18" spans="1:16" ht="14.25" customHeight="1" x14ac:dyDescent="0.35">
      <c r="A18" s="2"/>
      <c r="B18" s="109"/>
      <c r="C18" s="129"/>
      <c r="D18" s="92" t="s">
        <v>66</v>
      </c>
      <c r="E18" s="52">
        <v>1</v>
      </c>
      <c r="F18" s="52">
        <v>2</v>
      </c>
      <c r="G18" s="52">
        <v>3</v>
      </c>
      <c r="H18" s="52">
        <v>1</v>
      </c>
      <c r="I18" s="2">
        <f t="shared" si="0"/>
        <v>1.75</v>
      </c>
      <c r="J18" s="2"/>
      <c r="K18" s="2"/>
      <c r="L18" s="2"/>
      <c r="M18" s="2"/>
      <c r="N18" s="20"/>
      <c r="O18" s="2"/>
      <c r="P18" s="2"/>
    </row>
    <row r="19" spans="1:16" ht="14.25" customHeight="1" x14ac:dyDescent="0.35">
      <c r="A19" s="2"/>
      <c r="B19" s="109"/>
      <c r="C19" s="129"/>
      <c r="D19" s="92" t="s">
        <v>67</v>
      </c>
      <c r="E19" s="52">
        <v>0</v>
      </c>
      <c r="F19" s="52">
        <v>0</v>
      </c>
      <c r="G19" s="52">
        <v>0</v>
      </c>
      <c r="H19" s="52">
        <v>0</v>
      </c>
      <c r="I19" s="2">
        <f t="shared" si="0"/>
        <v>0</v>
      </c>
      <c r="J19" s="2"/>
      <c r="K19" s="2"/>
      <c r="L19" s="2"/>
      <c r="M19" s="2"/>
      <c r="N19" s="20"/>
      <c r="O19" s="2"/>
      <c r="P19" s="2"/>
    </row>
    <row r="20" spans="1:16" ht="14.25" customHeight="1" x14ac:dyDescent="0.35">
      <c r="A20" s="1" t="s">
        <v>9</v>
      </c>
      <c r="B20" s="109">
        <v>28</v>
      </c>
      <c r="C20" s="129" t="s">
        <v>42</v>
      </c>
      <c r="D20" s="91" t="s">
        <v>65</v>
      </c>
      <c r="E20" s="52">
        <v>62</v>
      </c>
      <c r="F20" s="52">
        <v>60</v>
      </c>
      <c r="G20" s="52">
        <v>56</v>
      </c>
      <c r="H20" s="52">
        <v>69</v>
      </c>
      <c r="I20" s="2">
        <f t="shared" si="0"/>
        <v>61.75</v>
      </c>
      <c r="J20" s="2">
        <f>I20*2*10000</f>
        <v>1235000</v>
      </c>
      <c r="K20" s="2">
        <v>3000000</v>
      </c>
      <c r="L20" s="2">
        <f>J20*5</f>
        <v>6175000</v>
      </c>
      <c r="M20" s="3">
        <f>I20/(I20+I21)*100</f>
        <v>95.366795366795358</v>
      </c>
      <c r="N20" s="22">
        <f>I22/I20*100</f>
        <v>4.4534412955465585</v>
      </c>
      <c r="O20" s="4">
        <f>3.32*(LOG(L20)-LOG(K20))</f>
        <v>1.0408721479439751</v>
      </c>
      <c r="P20" s="4">
        <f>P17+O20</f>
        <v>6.1169740190920976</v>
      </c>
    </row>
    <row r="21" spans="1:16" ht="14.25" customHeight="1" x14ac:dyDescent="0.35">
      <c r="A21" s="2"/>
      <c r="B21" s="109"/>
      <c r="C21" s="129"/>
      <c r="D21" s="92" t="s">
        <v>66</v>
      </c>
      <c r="E21" s="52">
        <v>3</v>
      </c>
      <c r="F21" s="52">
        <v>4</v>
      </c>
      <c r="G21" s="52">
        <v>4</v>
      </c>
      <c r="H21" s="52">
        <v>1</v>
      </c>
      <c r="I21" s="2">
        <f t="shared" si="0"/>
        <v>3</v>
      </c>
      <c r="J21" s="2"/>
      <c r="K21" s="2"/>
      <c r="L21" s="2"/>
      <c r="M21" s="2"/>
      <c r="N21" s="20"/>
      <c r="O21" s="2"/>
      <c r="P21" s="2"/>
    </row>
    <row r="22" spans="1:16" ht="14.25" customHeight="1" x14ac:dyDescent="0.35">
      <c r="A22" s="2"/>
      <c r="B22" s="109"/>
      <c r="C22" s="129"/>
      <c r="D22" s="92" t="s">
        <v>67</v>
      </c>
      <c r="E22" s="52">
        <v>3</v>
      </c>
      <c r="F22" s="52">
        <v>3</v>
      </c>
      <c r="G22" s="52">
        <v>1</v>
      </c>
      <c r="H22" s="52">
        <v>4</v>
      </c>
      <c r="I22" s="2">
        <f t="shared" si="0"/>
        <v>2.75</v>
      </c>
      <c r="J22" s="2"/>
      <c r="K22" s="2"/>
      <c r="L22" s="2"/>
      <c r="M22" s="2"/>
      <c r="N22" s="20"/>
      <c r="O22" s="2"/>
      <c r="P22" s="2"/>
    </row>
    <row r="23" spans="1:16" ht="14.25" customHeight="1" x14ac:dyDescent="0.35">
      <c r="A23" s="1" t="s">
        <v>10</v>
      </c>
      <c r="B23" s="109">
        <v>35</v>
      </c>
      <c r="C23" s="129" t="s">
        <v>42</v>
      </c>
      <c r="D23" s="91" t="s">
        <v>65</v>
      </c>
      <c r="E23" s="52">
        <v>48</v>
      </c>
      <c r="F23" s="52">
        <v>43</v>
      </c>
      <c r="G23" s="52">
        <v>51</v>
      </c>
      <c r="H23" s="52">
        <v>46</v>
      </c>
      <c r="I23" s="2">
        <f t="shared" si="0"/>
        <v>47</v>
      </c>
      <c r="J23" s="2">
        <f>I23*2*10000</f>
        <v>940000</v>
      </c>
      <c r="K23" s="2">
        <v>3000000</v>
      </c>
      <c r="L23" s="2">
        <f>J23*5</f>
        <v>4700000</v>
      </c>
      <c r="M23" s="3">
        <f>I23/(I23+I24)*100</f>
        <v>95.918367346938766</v>
      </c>
      <c r="N23" s="22">
        <f>I25/I23*100</f>
        <v>4.2553191489361701</v>
      </c>
      <c r="O23" s="4">
        <f>3.32*(LOG(L23)-LOG(K23))</f>
        <v>0.64732232267730083</v>
      </c>
      <c r="P23" s="4">
        <f>P20+O23</f>
        <v>6.7642963417693984</v>
      </c>
    </row>
    <row r="24" spans="1:16" ht="14.25" customHeight="1" x14ac:dyDescent="0.35">
      <c r="A24" s="2"/>
      <c r="B24" s="109"/>
      <c r="C24" s="129"/>
      <c r="D24" s="92" t="s">
        <v>66</v>
      </c>
      <c r="E24" s="52">
        <v>1</v>
      </c>
      <c r="F24" s="52">
        <v>3</v>
      </c>
      <c r="G24" s="52">
        <v>2</v>
      </c>
      <c r="H24" s="52">
        <v>2</v>
      </c>
      <c r="I24" s="2">
        <f t="shared" si="0"/>
        <v>2</v>
      </c>
      <c r="J24" s="2"/>
      <c r="K24" s="2"/>
      <c r="L24" s="2"/>
      <c r="M24" s="2"/>
      <c r="N24" s="20"/>
      <c r="O24" s="2"/>
      <c r="P24" s="2"/>
    </row>
    <row r="25" spans="1:16" ht="14.25" customHeight="1" x14ac:dyDescent="0.35">
      <c r="A25" s="2"/>
      <c r="B25" s="109"/>
      <c r="C25" s="129"/>
      <c r="D25" s="92" t="s">
        <v>67</v>
      </c>
      <c r="E25" s="52">
        <v>5</v>
      </c>
      <c r="F25" s="52">
        <v>2</v>
      </c>
      <c r="G25" s="52">
        <v>1</v>
      </c>
      <c r="H25" s="52">
        <v>0</v>
      </c>
      <c r="I25" s="2">
        <f t="shared" si="0"/>
        <v>2</v>
      </c>
      <c r="J25" s="2"/>
      <c r="K25" s="2"/>
      <c r="L25" s="2"/>
      <c r="M25" s="2"/>
      <c r="N25" s="20"/>
      <c r="O25" s="2"/>
      <c r="P25" s="2"/>
    </row>
    <row r="26" spans="1:16" ht="14.25" customHeight="1" x14ac:dyDescent="0.35">
      <c r="A26" s="1" t="s">
        <v>11</v>
      </c>
      <c r="B26" s="109">
        <v>42</v>
      </c>
      <c r="C26" s="129" t="s">
        <v>42</v>
      </c>
      <c r="D26" s="91" t="s">
        <v>65</v>
      </c>
      <c r="E26" s="52">
        <v>28</v>
      </c>
      <c r="F26" s="52">
        <v>26</v>
      </c>
      <c r="G26" s="52">
        <v>28</v>
      </c>
      <c r="H26" s="52">
        <v>33</v>
      </c>
      <c r="I26" s="2">
        <f t="shared" si="0"/>
        <v>28.75</v>
      </c>
      <c r="J26" s="2">
        <f>I26*2*10000</f>
        <v>575000</v>
      </c>
      <c r="K26" s="2">
        <v>3000000</v>
      </c>
      <c r="L26" s="2">
        <f>J26*5</f>
        <v>2875000</v>
      </c>
      <c r="M26" s="3">
        <f>I26/(I26+I27)*100</f>
        <v>87.786259541984734</v>
      </c>
      <c r="N26" s="22">
        <f>I28/I26*100</f>
        <v>0.86956521739130432</v>
      </c>
      <c r="O26" s="4">
        <f>3.32*(LOG(L26)-LOG(K26))</f>
        <v>-6.1364906904124154E-2</v>
      </c>
      <c r="P26" s="4">
        <f>P23</f>
        <v>6.7642963417693984</v>
      </c>
    </row>
    <row r="27" spans="1:16" ht="14.25" customHeight="1" x14ac:dyDescent="0.35">
      <c r="A27" s="2"/>
      <c r="B27" s="109"/>
      <c r="C27" s="129"/>
      <c r="D27" s="92" t="s">
        <v>66</v>
      </c>
      <c r="E27" s="52">
        <v>5</v>
      </c>
      <c r="F27" s="52">
        <v>5</v>
      </c>
      <c r="G27" s="52">
        <v>3</v>
      </c>
      <c r="H27" s="52">
        <v>3</v>
      </c>
      <c r="I27" s="2">
        <f t="shared" si="0"/>
        <v>4</v>
      </c>
      <c r="J27" s="2"/>
      <c r="K27" s="2"/>
      <c r="L27" s="2"/>
      <c r="M27" s="2"/>
      <c r="N27" s="20"/>
      <c r="O27" s="2"/>
      <c r="P27" s="2"/>
    </row>
    <row r="28" spans="1:16" ht="14.25" customHeight="1" x14ac:dyDescent="0.35">
      <c r="A28" s="2"/>
      <c r="B28" s="109"/>
      <c r="C28" s="129"/>
      <c r="D28" s="92" t="s">
        <v>67</v>
      </c>
      <c r="E28" s="52">
        <v>0</v>
      </c>
      <c r="F28" s="52">
        <v>1</v>
      </c>
      <c r="G28" s="52">
        <v>0</v>
      </c>
      <c r="H28" s="52">
        <v>0</v>
      </c>
      <c r="I28" s="2">
        <f t="shared" si="0"/>
        <v>0.25</v>
      </c>
      <c r="J28" s="2"/>
      <c r="K28" s="2"/>
      <c r="L28" s="2"/>
      <c r="M28" s="2"/>
      <c r="N28" s="20"/>
      <c r="O28" s="2"/>
      <c r="P28" s="2"/>
    </row>
    <row r="29" spans="1:16" ht="14.25" customHeight="1" x14ac:dyDescent="0.35">
      <c r="A29" s="1" t="s">
        <v>12</v>
      </c>
      <c r="B29" s="109">
        <v>49</v>
      </c>
      <c r="C29" s="129" t="s">
        <v>42</v>
      </c>
      <c r="D29" s="91" t="s">
        <v>65</v>
      </c>
      <c r="E29" s="52">
        <v>31</v>
      </c>
      <c r="F29" s="52">
        <v>27</v>
      </c>
      <c r="G29" s="52">
        <v>31</v>
      </c>
      <c r="H29" s="52">
        <v>40</v>
      </c>
      <c r="I29" s="2">
        <f t="shared" si="0"/>
        <v>32.25</v>
      </c>
      <c r="J29" s="2">
        <f>I29*2*10000</f>
        <v>645000</v>
      </c>
      <c r="K29" s="2">
        <v>2875000</v>
      </c>
      <c r="L29" s="2">
        <f>J29*5</f>
        <v>3225000</v>
      </c>
      <c r="M29" s="3">
        <f>I29/(I29+I30)*100</f>
        <v>96.268656716417908</v>
      </c>
      <c r="N29" s="22">
        <f>I31/I29*100</f>
        <v>8.5271317829457356</v>
      </c>
      <c r="O29" s="4">
        <f>3.32*(LOG(L29)-LOG(K29))</f>
        <v>0.1656410082195148</v>
      </c>
      <c r="P29" s="4">
        <f>P26+O29</f>
        <v>6.9299373499889132</v>
      </c>
    </row>
    <row r="30" spans="1:16" ht="14.25" customHeight="1" x14ac:dyDescent="0.35">
      <c r="A30" s="2"/>
      <c r="B30" s="109"/>
      <c r="C30" s="129"/>
      <c r="D30" s="92" t="s">
        <v>66</v>
      </c>
      <c r="E30" s="52">
        <v>1</v>
      </c>
      <c r="F30" s="52">
        <v>1</v>
      </c>
      <c r="G30" s="52">
        <v>2</v>
      </c>
      <c r="H30" s="52">
        <v>1</v>
      </c>
      <c r="I30" s="2">
        <f t="shared" si="0"/>
        <v>1.25</v>
      </c>
      <c r="J30" s="2"/>
      <c r="K30" s="2"/>
      <c r="L30" s="2"/>
      <c r="M30" s="2"/>
      <c r="N30" s="20"/>
      <c r="O30" s="2"/>
      <c r="P30" s="2"/>
    </row>
    <row r="31" spans="1:16" ht="14.25" customHeight="1" x14ac:dyDescent="0.35">
      <c r="A31" s="2"/>
      <c r="B31" s="109"/>
      <c r="C31" s="129"/>
      <c r="D31" s="92" t="s">
        <v>67</v>
      </c>
      <c r="E31" s="52">
        <v>3</v>
      </c>
      <c r="F31" s="52">
        <v>4</v>
      </c>
      <c r="G31" s="52">
        <v>2</v>
      </c>
      <c r="H31" s="52">
        <v>2</v>
      </c>
      <c r="I31" s="2">
        <f t="shared" si="0"/>
        <v>2.75</v>
      </c>
      <c r="J31" s="2"/>
      <c r="K31" s="2"/>
      <c r="L31" s="2"/>
      <c r="M31" s="2"/>
      <c r="N31" s="20"/>
      <c r="O31" s="2"/>
      <c r="P31" s="2"/>
    </row>
    <row r="32" spans="1:16" ht="14.25" customHeight="1" x14ac:dyDescent="0.35">
      <c r="A32" s="1" t="s">
        <v>13</v>
      </c>
      <c r="B32" s="109">
        <v>56</v>
      </c>
      <c r="C32" s="129" t="s">
        <v>42</v>
      </c>
      <c r="D32" s="91" t="s">
        <v>65</v>
      </c>
      <c r="E32" s="52">
        <v>23</v>
      </c>
      <c r="F32" s="52">
        <v>32</v>
      </c>
      <c r="G32" s="52">
        <v>43</v>
      </c>
      <c r="H32" s="52">
        <v>42</v>
      </c>
      <c r="I32" s="2">
        <f t="shared" si="0"/>
        <v>35</v>
      </c>
      <c r="J32" s="2">
        <f>I32*2*10000</f>
        <v>700000</v>
      </c>
      <c r="K32" s="2">
        <v>3000000</v>
      </c>
      <c r="L32" s="2">
        <f>J32*5</f>
        <v>3500000</v>
      </c>
      <c r="M32" s="3">
        <f>I32/(I32+I33)*100</f>
        <v>90.909090909090907</v>
      </c>
      <c r="N32" s="22">
        <f>I34/I32*100</f>
        <v>2.1428571428571428</v>
      </c>
      <c r="O32" s="4">
        <f>3.32*(LOG(L32)-LOG(K32))</f>
        <v>0.22226334157363536</v>
      </c>
      <c r="P32" s="4">
        <f>P29+O32</f>
        <v>7.1522006915625482</v>
      </c>
    </row>
    <row r="33" spans="1:16" ht="14.25" customHeight="1" x14ac:dyDescent="0.35">
      <c r="A33" s="2"/>
      <c r="B33" s="109"/>
      <c r="C33" s="129"/>
      <c r="D33" s="92" t="s">
        <v>66</v>
      </c>
      <c r="E33" s="52">
        <v>2</v>
      </c>
      <c r="F33" s="52">
        <v>3</v>
      </c>
      <c r="G33" s="52">
        <v>2</v>
      </c>
      <c r="H33" s="52">
        <v>7</v>
      </c>
      <c r="I33" s="2">
        <f t="shared" si="0"/>
        <v>3.5</v>
      </c>
      <c r="J33" s="2"/>
      <c r="K33" s="2"/>
      <c r="L33" s="2"/>
      <c r="M33" s="2"/>
      <c r="N33" s="20"/>
      <c r="O33" s="2"/>
      <c r="P33" s="2"/>
    </row>
    <row r="34" spans="1:16" ht="14.25" customHeight="1" x14ac:dyDescent="0.35">
      <c r="A34" s="2"/>
      <c r="B34" s="109"/>
      <c r="C34" s="129"/>
      <c r="D34" s="92" t="s">
        <v>67</v>
      </c>
      <c r="E34" s="52">
        <v>1</v>
      </c>
      <c r="F34" s="52">
        <v>1</v>
      </c>
      <c r="G34" s="52">
        <v>1</v>
      </c>
      <c r="H34" s="52">
        <v>0</v>
      </c>
      <c r="I34" s="2">
        <f t="shared" si="0"/>
        <v>0.75</v>
      </c>
      <c r="J34" s="2"/>
      <c r="K34" s="2"/>
      <c r="L34" s="2"/>
      <c r="M34" s="2"/>
      <c r="N34" s="20"/>
      <c r="O34" s="2"/>
      <c r="P34" s="2"/>
    </row>
    <row r="35" spans="1:16" ht="14.25" customHeight="1" x14ac:dyDescent="0.35">
      <c r="A35" s="1" t="s">
        <v>14</v>
      </c>
      <c r="B35" s="109">
        <v>63</v>
      </c>
      <c r="C35" s="129" t="s">
        <v>42</v>
      </c>
      <c r="D35" s="91" t="s">
        <v>65</v>
      </c>
      <c r="E35" s="52">
        <v>40</v>
      </c>
      <c r="F35" s="52">
        <v>51</v>
      </c>
      <c r="G35" s="52">
        <v>45</v>
      </c>
      <c r="H35" s="52">
        <v>53</v>
      </c>
      <c r="I35" s="2">
        <f t="shared" si="0"/>
        <v>47.25</v>
      </c>
      <c r="J35" s="2">
        <f>I35*2*10000</f>
        <v>945000</v>
      </c>
      <c r="K35" s="2">
        <v>3000000</v>
      </c>
      <c r="L35" s="2">
        <f>J35*5</f>
        <v>4725000</v>
      </c>
      <c r="M35" s="3">
        <f>I35/(I35+I36)*100</f>
        <v>95.939086294416242</v>
      </c>
      <c r="N35" s="22">
        <f>I37/I35*100</f>
        <v>13.756613756613756</v>
      </c>
      <c r="O35" s="4">
        <f>3.32*(LOG(L35)-LOG(K35))</f>
        <v>0.65497145297705417</v>
      </c>
      <c r="P35" s="4">
        <f>P32+O35</f>
        <v>7.8071721445396021</v>
      </c>
    </row>
    <row r="36" spans="1:16" ht="14.25" customHeight="1" x14ac:dyDescent="0.35">
      <c r="A36" s="2"/>
      <c r="B36" s="109"/>
      <c r="C36" s="129"/>
      <c r="D36" s="92" t="s">
        <v>66</v>
      </c>
      <c r="E36" s="52">
        <v>2</v>
      </c>
      <c r="F36" s="52">
        <v>2</v>
      </c>
      <c r="G36" s="52">
        <v>1</v>
      </c>
      <c r="H36" s="52">
        <v>3</v>
      </c>
      <c r="I36" s="2">
        <f t="shared" si="0"/>
        <v>2</v>
      </c>
      <c r="J36" s="2"/>
      <c r="K36" s="2"/>
      <c r="L36" s="2"/>
      <c r="M36" s="2"/>
      <c r="N36" s="20"/>
      <c r="O36" s="2"/>
      <c r="P36" s="2"/>
    </row>
    <row r="37" spans="1:16" ht="14.25" customHeight="1" x14ac:dyDescent="0.35">
      <c r="A37" s="2"/>
      <c r="B37" s="109"/>
      <c r="C37" s="129"/>
      <c r="D37" s="92" t="s">
        <v>67</v>
      </c>
      <c r="E37" s="52">
        <v>8</v>
      </c>
      <c r="F37" s="52">
        <v>7</v>
      </c>
      <c r="G37" s="52">
        <v>5</v>
      </c>
      <c r="H37" s="52">
        <v>6</v>
      </c>
      <c r="I37" s="2">
        <f t="shared" si="0"/>
        <v>6.5</v>
      </c>
      <c r="J37" s="2"/>
      <c r="K37" s="2"/>
      <c r="L37" s="2"/>
      <c r="M37" s="2"/>
      <c r="N37" s="20"/>
      <c r="O37" s="2"/>
      <c r="P37" s="2"/>
    </row>
    <row r="38" spans="1:16" ht="14.25" customHeight="1" x14ac:dyDescent="0.35">
      <c r="A38" s="1" t="s">
        <v>15</v>
      </c>
      <c r="B38" s="109">
        <v>70</v>
      </c>
      <c r="C38" s="129" t="s">
        <v>42</v>
      </c>
      <c r="D38" s="91" t="s">
        <v>65</v>
      </c>
      <c r="E38" s="52">
        <v>46</v>
      </c>
      <c r="F38" s="52">
        <v>47</v>
      </c>
      <c r="G38" s="52">
        <v>37</v>
      </c>
      <c r="H38" s="52">
        <v>53</v>
      </c>
      <c r="I38" s="2">
        <f t="shared" si="0"/>
        <v>45.75</v>
      </c>
      <c r="J38" s="2">
        <f>I38*2*10000</f>
        <v>915000</v>
      </c>
      <c r="K38" s="2">
        <v>3000000</v>
      </c>
      <c r="L38" s="2">
        <f>J38*5</f>
        <v>4575000</v>
      </c>
      <c r="M38" s="3">
        <f>I38/(I38+I39)*100</f>
        <v>93.84615384615384</v>
      </c>
      <c r="N38" s="22">
        <f>I40/I38*100</f>
        <v>21.857923497267759</v>
      </c>
      <c r="O38" s="4">
        <f>3.32*(LOG(L38)-LOG(K38))</f>
        <v>0.60845588102691139</v>
      </c>
      <c r="P38" s="4">
        <f>P35+O38</f>
        <v>8.4156280255665141</v>
      </c>
    </row>
    <row r="39" spans="1:16" ht="14.25" customHeight="1" x14ac:dyDescent="0.35">
      <c r="A39" s="2"/>
      <c r="B39" s="109"/>
      <c r="C39" s="129"/>
      <c r="D39" s="92" t="s">
        <v>66</v>
      </c>
      <c r="E39" s="52">
        <v>2</v>
      </c>
      <c r="F39" s="52">
        <v>4</v>
      </c>
      <c r="G39" s="52">
        <v>3</v>
      </c>
      <c r="H39" s="52">
        <v>3</v>
      </c>
      <c r="I39" s="2">
        <f t="shared" si="0"/>
        <v>3</v>
      </c>
      <c r="J39" s="2"/>
      <c r="K39" s="2"/>
      <c r="L39" s="2"/>
      <c r="M39" s="2"/>
      <c r="N39" s="20"/>
      <c r="O39" s="2"/>
      <c r="P39" s="2"/>
    </row>
    <row r="40" spans="1:16" ht="14.25" customHeight="1" x14ac:dyDescent="0.35">
      <c r="A40" s="2"/>
      <c r="B40" s="109"/>
      <c r="C40" s="129"/>
      <c r="D40" s="92" t="s">
        <v>67</v>
      </c>
      <c r="E40" s="52">
        <v>9</v>
      </c>
      <c r="F40" s="52">
        <v>7</v>
      </c>
      <c r="G40" s="52">
        <v>11</v>
      </c>
      <c r="H40" s="52">
        <v>13</v>
      </c>
      <c r="I40" s="2">
        <f t="shared" si="0"/>
        <v>10</v>
      </c>
      <c r="J40" s="2"/>
      <c r="K40" s="2"/>
      <c r="L40" s="2"/>
      <c r="M40" s="2"/>
      <c r="N40" s="20"/>
      <c r="O40" s="2"/>
      <c r="P40" s="2"/>
    </row>
    <row r="41" spans="1:16" ht="14.25" customHeight="1" x14ac:dyDescent="0.35">
      <c r="A41" s="1" t="s">
        <v>16</v>
      </c>
      <c r="B41" s="109">
        <v>77</v>
      </c>
      <c r="C41" s="129" t="s">
        <v>42</v>
      </c>
      <c r="D41" s="91" t="s">
        <v>65</v>
      </c>
      <c r="E41" s="52">
        <v>31</v>
      </c>
      <c r="F41" s="52">
        <v>37</v>
      </c>
      <c r="G41" s="52">
        <v>38</v>
      </c>
      <c r="H41" s="52">
        <v>44</v>
      </c>
      <c r="I41" s="2">
        <f t="shared" si="0"/>
        <v>37.5</v>
      </c>
      <c r="J41" s="2">
        <f>I41*2*10000</f>
        <v>750000</v>
      </c>
      <c r="K41" s="2">
        <v>3000000</v>
      </c>
      <c r="L41" s="2">
        <f>J41*5</f>
        <v>3750000</v>
      </c>
      <c r="M41" s="3">
        <f>I41/(I41+I42)*100</f>
        <v>98.039215686274503</v>
      </c>
      <c r="N41" s="22">
        <f>I43/I41*100</f>
        <v>22</v>
      </c>
      <c r="O41" s="4">
        <f>3.32*(LOG(L41)-LOG(K41))</f>
        <v>0.32174124318674668</v>
      </c>
      <c r="P41" s="4">
        <f>P38+O41</f>
        <v>8.7373692687532607</v>
      </c>
    </row>
    <row r="42" spans="1:16" ht="14.25" customHeight="1" x14ac:dyDescent="0.35">
      <c r="A42" s="2"/>
      <c r="B42" s="109"/>
      <c r="C42" s="129"/>
      <c r="D42" s="92" t="s">
        <v>66</v>
      </c>
      <c r="E42" s="52">
        <v>0</v>
      </c>
      <c r="F42" s="52">
        <v>1</v>
      </c>
      <c r="G42" s="52">
        <v>1</v>
      </c>
      <c r="H42" s="52">
        <v>1</v>
      </c>
      <c r="I42" s="2">
        <f t="shared" si="0"/>
        <v>0.75</v>
      </c>
      <c r="J42" s="2"/>
      <c r="K42" s="2"/>
      <c r="L42" s="2"/>
      <c r="M42" s="2"/>
      <c r="N42" s="20"/>
      <c r="O42" s="2"/>
      <c r="P42" s="2"/>
    </row>
    <row r="43" spans="1:16" ht="14.25" customHeight="1" x14ac:dyDescent="0.35">
      <c r="A43" s="2"/>
      <c r="B43" s="109"/>
      <c r="C43" s="129"/>
      <c r="D43" s="92" t="s">
        <v>67</v>
      </c>
      <c r="E43" s="52">
        <v>10</v>
      </c>
      <c r="F43" s="52">
        <v>8</v>
      </c>
      <c r="G43" s="52">
        <v>6</v>
      </c>
      <c r="H43" s="52">
        <v>9</v>
      </c>
      <c r="I43" s="2">
        <f t="shared" si="0"/>
        <v>8.25</v>
      </c>
      <c r="J43" s="2"/>
      <c r="K43" s="2"/>
      <c r="L43" s="2"/>
      <c r="M43" s="2"/>
      <c r="N43" s="20"/>
      <c r="O43" s="2"/>
      <c r="P43" s="2"/>
    </row>
    <row r="44" spans="1:16" ht="14.25" customHeight="1" x14ac:dyDescent="0.35">
      <c r="A44" s="1" t="s">
        <v>17</v>
      </c>
      <c r="B44" s="109">
        <v>86</v>
      </c>
      <c r="C44" s="129" t="s">
        <v>42</v>
      </c>
      <c r="D44" s="91" t="s">
        <v>65</v>
      </c>
      <c r="E44" s="52">
        <v>40</v>
      </c>
      <c r="F44" s="52">
        <v>32</v>
      </c>
      <c r="G44" s="52">
        <v>37</v>
      </c>
      <c r="H44" s="52">
        <v>43</v>
      </c>
      <c r="I44" s="2">
        <f t="shared" si="0"/>
        <v>38</v>
      </c>
      <c r="J44" s="2">
        <f>I44*2*10000</f>
        <v>760000</v>
      </c>
      <c r="K44" s="2">
        <v>3000000</v>
      </c>
      <c r="L44" s="2">
        <f>J44*5</f>
        <v>3800000</v>
      </c>
      <c r="M44" s="3">
        <f>I44/(I44+I45)*100</f>
        <v>96.202531645569621</v>
      </c>
      <c r="N44" s="22">
        <f>I46/I44*100</f>
        <v>13.815789473684212</v>
      </c>
      <c r="O44" s="4">
        <f>3.32*(LOG(L44)-LOG(K44))</f>
        <v>0.34083897509852973</v>
      </c>
      <c r="P44" s="4">
        <f>P41+O44</f>
        <v>9.0782082438517904</v>
      </c>
    </row>
    <row r="45" spans="1:16" ht="14.25" customHeight="1" x14ac:dyDescent="0.35">
      <c r="A45" s="2"/>
      <c r="B45" s="109"/>
      <c r="C45" s="129"/>
      <c r="D45" s="92" t="s">
        <v>66</v>
      </c>
      <c r="E45" s="52">
        <v>2</v>
      </c>
      <c r="F45" s="52">
        <v>1</v>
      </c>
      <c r="G45" s="52">
        <v>1</v>
      </c>
      <c r="H45" s="52">
        <v>2</v>
      </c>
      <c r="I45" s="2">
        <f t="shared" si="0"/>
        <v>1.5</v>
      </c>
      <c r="J45" s="2"/>
      <c r="K45" s="2"/>
      <c r="L45" s="2"/>
      <c r="M45" s="2"/>
      <c r="N45" s="20"/>
      <c r="O45" s="2"/>
      <c r="P45" s="2"/>
    </row>
    <row r="46" spans="1:16" ht="14.25" customHeight="1" x14ac:dyDescent="0.35">
      <c r="A46" s="2"/>
      <c r="B46" s="109"/>
      <c r="C46" s="129"/>
      <c r="D46" s="92" t="s">
        <v>67</v>
      </c>
      <c r="E46" s="52">
        <v>5</v>
      </c>
      <c r="F46" s="52">
        <v>6</v>
      </c>
      <c r="G46" s="52">
        <v>4</v>
      </c>
      <c r="H46" s="52">
        <v>6</v>
      </c>
      <c r="I46" s="2">
        <f t="shared" si="0"/>
        <v>5.25</v>
      </c>
      <c r="J46" s="2"/>
      <c r="K46" s="2"/>
      <c r="L46" s="2"/>
      <c r="M46" s="2"/>
      <c r="N46" s="20"/>
      <c r="O46" s="2"/>
      <c r="P46" s="2"/>
    </row>
    <row r="47" spans="1:16" ht="14.25" customHeight="1" x14ac:dyDescent="0.35">
      <c r="A47" s="1" t="s">
        <v>18</v>
      </c>
      <c r="B47" s="109">
        <v>98</v>
      </c>
      <c r="C47" s="129" t="s">
        <v>42</v>
      </c>
      <c r="D47" s="91" t="s">
        <v>65</v>
      </c>
      <c r="E47" s="52">
        <v>44</v>
      </c>
      <c r="F47" s="52">
        <v>38</v>
      </c>
      <c r="G47" s="52">
        <v>42</v>
      </c>
      <c r="H47" s="52">
        <v>28</v>
      </c>
      <c r="I47" s="2">
        <f t="shared" si="0"/>
        <v>38</v>
      </c>
      <c r="J47" s="2">
        <f>I47*2*10000</f>
        <v>760000</v>
      </c>
      <c r="K47" s="2">
        <v>3000000</v>
      </c>
      <c r="L47" s="2">
        <f>J47*5</f>
        <v>3800000</v>
      </c>
      <c r="M47" s="3">
        <f>I47/(I47+I48)*100</f>
        <v>91.566265060240966</v>
      </c>
      <c r="N47" s="22">
        <f>I49/I47*100</f>
        <v>10.526315789473683</v>
      </c>
      <c r="O47" s="4">
        <f>3.32*(LOG(L47)-LOG(K47))</f>
        <v>0.34083897509852973</v>
      </c>
      <c r="P47" s="4">
        <f>P44+O47</f>
        <v>9.41904721895032</v>
      </c>
    </row>
    <row r="48" spans="1:16" ht="14.25" customHeight="1" x14ac:dyDescent="0.35">
      <c r="A48" s="2"/>
      <c r="B48" s="109"/>
      <c r="C48" s="129"/>
      <c r="D48" s="92" t="s">
        <v>66</v>
      </c>
      <c r="E48" s="52">
        <v>4</v>
      </c>
      <c r="F48" s="52">
        <v>5</v>
      </c>
      <c r="G48" s="52">
        <v>3</v>
      </c>
      <c r="H48" s="52">
        <v>2</v>
      </c>
      <c r="I48" s="2">
        <f t="shared" si="0"/>
        <v>3.5</v>
      </c>
      <c r="J48" s="2"/>
      <c r="K48" s="2"/>
      <c r="L48" s="2"/>
      <c r="M48" s="2"/>
      <c r="N48" s="20"/>
      <c r="O48" s="2"/>
      <c r="P48" s="2"/>
    </row>
    <row r="49" spans="1:17" ht="14.25" customHeight="1" x14ac:dyDescent="0.35">
      <c r="A49" s="2"/>
      <c r="B49" s="109"/>
      <c r="C49" s="129"/>
      <c r="D49" s="92" t="s">
        <v>67</v>
      </c>
      <c r="E49" s="52">
        <v>6</v>
      </c>
      <c r="F49" s="52">
        <v>4</v>
      </c>
      <c r="G49" s="52">
        <v>5</v>
      </c>
      <c r="H49" s="52">
        <v>1</v>
      </c>
      <c r="I49" s="2">
        <f t="shared" si="0"/>
        <v>4</v>
      </c>
      <c r="J49" s="2"/>
      <c r="K49" s="2"/>
      <c r="L49" s="2"/>
      <c r="M49" s="2"/>
      <c r="N49" s="20"/>
      <c r="O49" s="2"/>
      <c r="P49" s="2"/>
    </row>
    <row r="50" spans="1:17" ht="14.25" customHeight="1" x14ac:dyDescent="0.35">
      <c r="A50" s="1" t="s">
        <v>19</v>
      </c>
      <c r="B50" s="109">
        <v>105</v>
      </c>
      <c r="C50" s="129" t="s">
        <v>42</v>
      </c>
      <c r="D50" s="91" t="s">
        <v>65</v>
      </c>
      <c r="E50" s="52">
        <v>28</v>
      </c>
      <c r="F50" s="52">
        <v>39</v>
      </c>
      <c r="G50" s="52">
        <v>29</v>
      </c>
      <c r="H50" s="52">
        <v>40</v>
      </c>
      <c r="I50" s="2">
        <f t="shared" si="0"/>
        <v>34</v>
      </c>
      <c r="J50" s="2">
        <f>I50*2*10000</f>
        <v>680000</v>
      </c>
      <c r="K50" s="2">
        <v>3000000</v>
      </c>
      <c r="L50" s="2">
        <f>J50*5</f>
        <v>3400000</v>
      </c>
      <c r="M50" s="3">
        <f>I50/(I50+I51)*100</f>
        <v>88.888888888888886</v>
      </c>
      <c r="N50" s="22">
        <f>I52/I50*100</f>
        <v>13.23529411764706</v>
      </c>
      <c r="O50" s="4">
        <f>3.32*(LOG(L50)-LOG(K50))</f>
        <v>0.18046743891100794</v>
      </c>
      <c r="P50" s="4">
        <f>P47+O50</f>
        <v>9.5995146578613273</v>
      </c>
    </row>
    <row r="51" spans="1:17" ht="14.25" customHeight="1" x14ac:dyDescent="0.35">
      <c r="A51" s="2"/>
      <c r="B51" s="109"/>
      <c r="C51" s="129"/>
      <c r="D51" s="92" t="s">
        <v>66</v>
      </c>
      <c r="E51" s="52">
        <v>2</v>
      </c>
      <c r="F51" s="52">
        <v>6</v>
      </c>
      <c r="G51" s="52">
        <v>5</v>
      </c>
      <c r="H51" s="52">
        <v>4</v>
      </c>
      <c r="I51" s="2">
        <f t="shared" si="0"/>
        <v>4.25</v>
      </c>
      <c r="J51" s="2"/>
      <c r="K51" s="2"/>
      <c r="L51" s="2"/>
      <c r="M51" s="2"/>
      <c r="N51" s="20"/>
      <c r="O51" s="2"/>
      <c r="P51" s="2"/>
    </row>
    <row r="52" spans="1:17" ht="14.25" customHeight="1" x14ac:dyDescent="0.35">
      <c r="A52" s="2"/>
      <c r="B52" s="109"/>
      <c r="C52" s="129"/>
      <c r="D52" s="92" t="s">
        <v>67</v>
      </c>
      <c r="E52" s="52">
        <v>1</v>
      </c>
      <c r="F52" s="52">
        <v>5</v>
      </c>
      <c r="G52" s="52">
        <v>5</v>
      </c>
      <c r="H52" s="52">
        <v>7</v>
      </c>
      <c r="I52" s="2">
        <f t="shared" si="0"/>
        <v>4.5</v>
      </c>
      <c r="J52" s="2"/>
      <c r="K52" s="2"/>
      <c r="L52" s="2"/>
      <c r="M52" s="2"/>
      <c r="N52" s="20"/>
      <c r="O52" s="2"/>
      <c r="P52" s="2"/>
    </row>
    <row r="53" spans="1:17" ht="14.25" customHeight="1" x14ac:dyDescent="0.35">
      <c r="A53" s="1" t="s">
        <v>20</v>
      </c>
      <c r="B53" s="109">
        <v>112</v>
      </c>
      <c r="C53" s="129" t="s">
        <v>42</v>
      </c>
      <c r="D53" s="91" t="s">
        <v>65</v>
      </c>
      <c r="E53" s="52">
        <v>71</v>
      </c>
      <c r="F53" s="52">
        <v>82</v>
      </c>
      <c r="G53" s="52">
        <v>89</v>
      </c>
      <c r="H53" s="52">
        <v>85</v>
      </c>
      <c r="I53" s="2">
        <f t="shared" si="0"/>
        <v>81.75</v>
      </c>
      <c r="J53" s="2">
        <f>I53*2*10000</f>
        <v>1635000</v>
      </c>
      <c r="K53" s="2">
        <v>3000000</v>
      </c>
      <c r="L53" s="2">
        <f>J53*5</f>
        <v>8175000</v>
      </c>
      <c r="M53" s="3">
        <f>I53/(I53+I54)*100</f>
        <v>98.198198198198199</v>
      </c>
      <c r="N53" s="22">
        <f>I55/I53*100</f>
        <v>8.5626911314984699</v>
      </c>
      <c r="O53" s="4">
        <f>3.32*(LOG(L53)-LOG(K53))</f>
        <v>1.4454168019540354</v>
      </c>
      <c r="P53" s="4">
        <f>P50+O53</f>
        <v>11.044931459815363</v>
      </c>
      <c r="Q53" s="2" t="s">
        <v>49</v>
      </c>
    </row>
    <row r="54" spans="1:17" ht="14.25" customHeight="1" x14ac:dyDescent="0.35">
      <c r="A54" s="2"/>
      <c r="B54" s="109"/>
      <c r="C54" s="129"/>
      <c r="D54" s="92" t="s">
        <v>66</v>
      </c>
      <c r="E54" s="52">
        <v>2</v>
      </c>
      <c r="F54" s="52">
        <v>2</v>
      </c>
      <c r="G54" s="52">
        <v>1</v>
      </c>
      <c r="H54" s="52">
        <v>1</v>
      </c>
      <c r="I54" s="2">
        <f t="shared" si="0"/>
        <v>1.5</v>
      </c>
      <c r="J54" s="2"/>
      <c r="K54" s="2"/>
      <c r="L54" s="2"/>
      <c r="M54" s="2"/>
      <c r="N54" s="20"/>
      <c r="O54" s="2"/>
      <c r="P54" s="2"/>
    </row>
    <row r="55" spans="1:17" ht="14.25" customHeight="1" x14ac:dyDescent="0.35">
      <c r="A55" s="2"/>
      <c r="B55" s="109"/>
      <c r="C55" s="129"/>
      <c r="D55" s="92" t="s">
        <v>67</v>
      </c>
      <c r="E55" s="52">
        <v>7</v>
      </c>
      <c r="F55" s="52">
        <v>7</v>
      </c>
      <c r="G55" s="52">
        <v>4</v>
      </c>
      <c r="H55" s="52">
        <v>10</v>
      </c>
      <c r="I55" s="2">
        <f t="shared" si="0"/>
        <v>7</v>
      </c>
      <c r="J55" s="2"/>
      <c r="K55" s="2"/>
      <c r="L55" s="2"/>
      <c r="M55" s="2"/>
      <c r="N55" s="20"/>
      <c r="O55" s="2"/>
      <c r="P55" s="2"/>
    </row>
    <row r="56" spans="1:17" ht="14.25" customHeight="1" x14ac:dyDescent="0.35">
      <c r="A56" s="1" t="s">
        <v>21</v>
      </c>
      <c r="B56" s="109">
        <v>119</v>
      </c>
      <c r="C56" s="129" t="s">
        <v>42</v>
      </c>
      <c r="D56" s="91" t="s">
        <v>65</v>
      </c>
      <c r="E56" s="52">
        <v>93</v>
      </c>
      <c r="F56" s="52">
        <v>92</v>
      </c>
      <c r="G56" s="52">
        <v>90</v>
      </c>
      <c r="H56" s="52">
        <v>79</v>
      </c>
      <c r="I56" s="2">
        <f t="shared" si="0"/>
        <v>88.5</v>
      </c>
      <c r="J56" s="2">
        <f>I56*2*10000</f>
        <v>1770000</v>
      </c>
      <c r="K56" s="2">
        <v>6000000</v>
      </c>
      <c r="L56" s="2">
        <f>J56*10</f>
        <v>17700000</v>
      </c>
      <c r="M56" s="3">
        <f>I56/(I56+I57)*100</f>
        <v>97.52066115702479</v>
      </c>
      <c r="N56" s="22">
        <f>I58/I56*100</f>
        <v>1.6949152542372881</v>
      </c>
      <c r="O56" s="4">
        <f>3.32*(LOG(L56)-LOG(K56))</f>
        <v>1.5598090930474995</v>
      </c>
      <c r="P56" s="4">
        <f>P53+O56</f>
        <v>12.604740552862863</v>
      </c>
      <c r="Q56" s="2" t="s">
        <v>49</v>
      </c>
    </row>
    <row r="57" spans="1:17" ht="14.25" customHeight="1" x14ac:dyDescent="0.35">
      <c r="A57" s="2"/>
      <c r="B57" s="109"/>
      <c r="C57" s="129"/>
      <c r="D57" s="92" t="s">
        <v>66</v>
      </c>
      <c r="E57" s="52">
        <v>2</v>
      </c>
      <c r="F57" s="52">
        <v>2</v>
      </c>
      <c r="G57" s="52">
        <v>2</v>
      </c>
      <c r="H57" s="52">
        <v>3</v>
      </c>
      <c r="I57" s="2">
        <f t="shared" si="0"/>
        <v>2.25</v>
      </c>
      <c r="J57" s="2"/>
      <c r="K57" s="2"/>
      <c r="L57" s="2"/>
      <c r="M57" s="2"/>
      <c r="N57" s="20"/>
      <c r="O57" s="2"/>
      <c r="P57" s="2"/>
    </row>
    <row r="58" spans="1:17" ht="14.25" customHeight="1" x14ac:dyDescent="0.35">
      <c r="A58" s="2"/>
      <c r="B58" s="109"/>
      <c r="C58" s="129"/>
      <c r="D58" s="92" t="s">
        <v>67</v>
      </c>
      <c r="E58" s="52">
        <v>1</v>
      </c>
      <c r="F58" s="52">
        <v>1</v>
      </c>
      <c r="G58" s="52">
        <v>3</v>
      </c>
      <c r="H58" s="52">
        <v>1</v>
      </c>
      <c r="I58" s="2">
        <f t="shared" si="0"/>
        <v>1.5</v>
      </c>
      <c r="J58" s="2"/>
      <c r="K58" s="2"/>
      <c r="L58" s="2"/>
      <c r="M58" s="2"/>
      <c r="N58" s="20"/>
      <c r="O58" s="2"/>
      <c r="P58" s="2"/>
    </row>
    <row r="59" spans="1:17" ht="14.25" customHeight="1" x14ac:dyDescent="0.35">
      <c r="A59" s="1" t="s">
        <v>22</v>
      </c>
      <c r="B59" s="109">
        <v>126</v>
      </c>
      <c r="C59" s="129" t="s">
        <v>42</v>
      </c>
      <c r="D59" s="91" t="s">
        <v>65</v>
      </c>
      <c r="E59" s="52">
        <v>65</v>
      </c>
      <c r="F59" s="52">
        <v>68</v>
      </c>
      <c r="G59" s="52">
        <v>58</v>
      </c>
      <c r="H59" s="52">
        <v>63</v>
      </c>
      <c r="I59" s="2">
        <f t="shared" si="0"/>
        <v>63.5</v>
      </c>
      <c r="J59" s="2">
        <f>I59*2*10000</f>
        <v>1270000</v>
      </c>
      <c r="K59" s="2">
        <v>6000000</v>
      </c>
      <c r="L59" s="2">
        <f>J59*10</f>
        <v>12700000</v>
      </c>
      <c r="M59" s="3">
        <f>I59/(I59+I60)*100</f>
        <v>97.692307692307693</v>
      </c>
      <c r="N59" s="22">
        <f>I61/I59*100</f>
        <v>3.1496062992125982</v>
      </c>
      <c r="O59" s="4">
        <f>3.32*(LOG(L59)-LOG(K59))</f>
        <v>1.0811662023000803</v>
      </c>
      <c r="P59" s="4">
        <f>P56+O59</f>
        <v>13.685906755162943</v>
      </c>
      <c r="Q59" s="2" t="s">
        <v>49</v>
      </c>
    </row>
    <row r="60" spans="1:17" ht="14.25" customHeight="1" x14ac:dyDescent="0.35">
      <c r="A60" s="2"/>
      <c r="B60" s="109"/>
      <c r="C60" s="129"/>
      <c r="D60" s="92" t="s">
        <v>66</v>
      </c>
      <c r="E60" s="52">
        <v>2</v>
      </c>
      <c r="F60" s="52">
        <v>1</v>
      </c>
      <c r="G60" s="52">
        <v>0</v>
      </c>
      <c r="H60" s="52">
        <v>3</v>
      </c>
      <c r="I60" s="2">
        <f t="shared" si="0"/>
        <v>1.5</v>
      </c>
      <c r="J60" s="2"/>
      <c r="K60" s="2"/>
      <c r="L60" s="2"/>
      <c r="M60" s="2"/>
      <c r="N60" s="20"/>
      <c r="O60" s="2"/>
      <c r="P60" s="2"/>
    </row>
    <row r="61" spans="1:17" ht="14.25" customHeight="1" x14ac:dyDescent="0.35">
      <c r="A61" s="2"/>
      <c r="B61" s="109"/>
      <c r="C61" s="129"/>
      <c r="D61" s="92" t="s">
        <v>67</v>
      </c>
      <c r="E61" s="52">
        <v>5</v>
      </c>
      <c r="F61" s="52">
        <v>0</v>
      </c>
      <c r="G61" s="52">
        <v>0</v>
      </c>
      <c r="H61" s="52">
        <v>3</v>
      </c>
      <c r="I61" s="2">
        <f t="shared" si="0"/>
        <v>2</v>
      </c>
      <c r="J61" s="2"/>
      <c r="K61" s="2"/>
      <c r="L61" s="2"/>
      <c r="M61" s="2"/>
      <c r="N61" s="20"/>
      <c r="O61" s="2"/>
      <c r="P61" s="2"/>
    </row>
    <row r="62" spans="1:17" ht="14.25" customHeight="1" x14ac:dyDescent="0.35">
      <c r="A62" s="1" t="s">
        <v>23</v>
      </c>
      <c r="B62" s="109">
        <v>133</v>
      </c>
      <c r="C62" s="129" t="s">
        <v>42</v>
      </c>
      <c r="D62" s="91" t="s">
        <v>65</v>
      </c>
      <c r="E62" s="52">
        <v>48</v>
      </c>
      <c r="F62" s="52">
        <v>45</v>
      </c>
      <c r="G62" s="52">
        <v>52</v>
      </c>
      <c r="H62" s="52">
        <v>41</v>
      </c>
      <c r="I62" s="2">
        <f t="shared" si="0"/>
        <v>46.5</v>
      </c>
      <c r="J62" s="2">
        <f>I62*2*10000</f>
        <v>930000</v>
      </c>
      <c r="K62" s="2">
        <v>6000000</v>
      </c>
      <c r="L62" s="2">
        <f>J62*10</f>
        <v>9300000</v>
      </c>
      <c r="M62" s="3">
        <f>I62/(I62+I63)*100</f>
        <v>98.412698412698404</v>
      </c>
      <c r="N62" s="22">
        <f>I64/I62*100</f>
        <v>1.0752688172043012</v>
      </c>
      <c r="O62" s="4">
        <f>3.32*(LOG(L62)-LOG(K62))</f>
        <v>0.6319012379253659</v>
      </c>
      <c r="P62" s="4">
        <f>P59+O62</f>
        <v>14.317807993088309</v>
      </c>
      <c r="Q62" s="2" t="s">
        <v>49</v>
      </c>
    </row>
    <row r="63" spans="1:17" ht="14.25" customHeight="1" x14ac:dyDescent="0.35">
      <c r="A63" s="2"/>
      <c r="B63" s="109"/>
      <c r="C63" s="129"/>
      <c r="D63" s="92" t="s">
        <v>66</v>
      </c>
      <c r="E63" s="52">
        <v>1</v>
      </c>
      <c r="F63" s="52">
        <v>0</v>
      </c>
      <c r="G63" s="52">
        <v>1</v>
      </c>
      <c r="H63" s="52">
        <v>1</v>
      </c>
      <c r="I63" s="2">
        <f t="shared" si="0"/>
        <v>0.75</v>
      </c>
      <c r="J63" s="2"/>
      <c r="K63" s="2"/>
      <c r="L63" s="2"/>
      <c r="M63" s="2"/>
      <c r="N63" s="20"/>
      <c r="O63" s="2"/>
      <c r="P63" s="2"/>
    </row>
    <row r="64" spans="1:17" ht="14.25" customHeight="1" x14ac:dyDescent="0.35">
      <c r="A64" s="2"/>
      <c r="B64" s="109"/>
      <c r="C64" s="129"/>
      <c r="D64" s="92" t="s">
        <v>67</v>
      </c>
      <c r="E64" s="52">
        <v>0</v>
      </c>
      <c r="F64" s="52">
        <v>1</v>
      </c>
      <c r="G64" s="52">
        <v>1</v>
      </c>
      <c r="H64" s="52">
        <v>0</v>
      </c>
      <c r="I64" s="2">
        <f t="shared" si="0"/>
        <v>0.5</v>
      </c>
      <c r="J64" s="2"/>
      <c r="K64" s="2"/>
      <c r="L64" s="2"/>
      <c r="M64" s="2"/>
      <c r="N64" s="20"/>
      <c r="O64" s="2"/>
      <c r="P64" s="2"/>
    </row>
    <row r="65" spans="1:17" ht="14.25" customHeight="1" x14ac:dyDescent="0.35">
      <c r="A65" s="1" t="s">
        <v>24</v>
      </c>
      <c r="B65" s="109">
        <v>140</v>
      </c>
      <c r="C65" s="129" t="s">
        <v>42</v>
      </c>
      <c r="D65" s="91" t="s">
        <v>65</v>
      </c>
      <c r="E65" s="52">
        <v>37</v>
      </c>
      <c r="F65" s="52">
        <v>42</v>
      </c>
      <c r="G65" s="52">
        <v>40</v>
      </c>
      <c r="H65" s="52">
        <v>23</v>
      </c>
      <c r="I65" s="2">
        <f t="shared" si="0"/>
        <v>35.5</v>
      </c>
      <c r="J65" s="2">
        <f>I65*2*10000</f>
        <v>710000</v>
      </c>
      <c r="K65" s="2">
        <v>6000000</v>
      </c>
      <c r="L65" s="2">
        <f>J65*10</f>
        <v>7100000</v>
      </c>
      <c r="M65" s="3">
        <f>I65/(I65+I66)*100</f>
        <v>97.931034482758619</v>
      </c>
      <c r="N65" s="22">
        <f>I67/I65*100</f>
        <v>0.70422535211267612</v>
      </c>
      <c r="O65" s="4">
        <f>3.32*(LOG(L65)-LOG(K65))</f>
        <v>0.24271556647363293</v>
      </c>
      <c r="P65" s="4">
        <f>P62+O65</f>
        <v>14.560523559561942</v>
      </c>
      <c r="Q65" s="2" t="s">
        <v>49</v>
      </c>
    </row>
    <row r="66" spans="1:17" ht="14.25" customHeight="1" x14ac:dyDescent="0.35">
      <c r="A66" s="2"/>
      <c r="B66" s="109"/>
      <c r="C66" s="129"/>
      <c r="D66" s="92" t="s">
        <v>66</v>
      </c>
      <c r="E66" s="52">
        <v>0</v>
      </c>
      <c r="F66" s="52">
        <v>1</v>
      </c>
      <c r="G66" s="52">
        <v>1</v>
      </c>
      <c r="H66" s="52">
        <v>1</v>
      </c>
      <c r="I66" s="2">
        <f t="shared" si="0"/>
        <v>0.75</v>
      </c>
      <c r="J66" s="2"/>
      <c r="K66" s="2"/>
      <c r="L66" s="2"/>
      <c r="M66" s="2"/>
      <c r="N66" s="20"/>
      <c r="O66" s="2"/>
      <c r="P66" s="2"/>
    </row>
    <row r="67" spans="1:17" ht="14.25" customHeight="1" x14ac:dyDescent="0.35">
      <c r="A67" s="2"/>
      <c r="B67" s="109"/>
      <c r="C67" s="129"/>
      <c r="D67" s="92" t="s">
        <v>67</v>
      </c>
      <c r="E67" s="52">
        <v>1</v>
      </c>
      <c r="F67" s="52">
        <v>0</v>
      </c>
      <c r="G67" s="52">
        <v>0</v>
      </c>
      <c r="H67" s="52">
        <v>0</v>
      </c>
      <c r="I67" s="2">
        <f t="shared" si="0"/>
        <v>0.25</v>
      </c>
      <c r="J67" s="2"/>
      <c r="K67" s="2"/>
      <c r="L67" s="2"/>
      <c r="M67" s="2"/>
      <c r="N67" s="20"/>
      <c r="O67" s="2"/>
      <c r="P67" s="2"/>
    </row>
    <row r="68" spans="1:17" ht="14.25" customHeight="1" x14ac:dyDescent="0.35">
      <c r="A68" s="1" t="s">
        <v>25</v>
      </c>
      <c r="B68" s="109">
        <v>147</v>
      </c>
      <c r="C68" s="129" t="s">
        <v>42</v>
      </c>
      <c r="D68" s="91" t="s">
        <v>65</v>
      </c>
      <c r="E68" s="52">
        <v>28</v>
      </c>
      <c r="F68" s="52">
        <v>32</v>
      </c>
      <c r="G68" s="52">
        <v>32</v>
      </c>
      <c r="H68" s="52">
        <v>34</v>
      </c>
      <c r="I68" s="2">
        <f t="shared" si="0"/>
        <v>31.5</v>
      </c>
      <c r="J68" s="2">
        <f>I68*2*10000</f>
        <v>630000</v>
      </c>
      <c r="K68" s="2">
        <v>6000000</v>
      </c>
      <c r="L68" s="2">
        <f>J68*10</f>
        <v>6300000</v>
      </c>
      <c r="M68" s="3">
        <f>I68/(I68+I69)*100</f>
        <v>94.73684210526315</v>
      </c>
      <c r="N68" s="22">
        <f>I70/I68*100</f>
        <v>1.5873015873015872</v>
      </c>
      <c r="O68" s="4">
        <f>3.32*(LOG(L68)-LOG(K68))</f>
        <v>7.0348472912195065E-2</v>
      </c>
      <c r="P68" s="4">
        <f>P65+O68</f>
        <v>14.630872032474137</v>
      </c>
      <c r="Q68" s="2" t="s">
        <v>49</v>
      </c>
    </row>
    <row r="69" spans="1:17" ht="14.25" customHeight="1" x14ac:dyDescent="0.35">
      <c r="A69" s="2"/>
      <c r="B69" s="109"/>
      <c r="C69" s="129"/>
      <c r="D69" s="92" t="s">
        <v>66</v>
      </c>
      <c r="E69" s="52">
        <v>2</v>
      </c>
      <c r="F69" s="52">
        <v>3</v>
      </c>
      <c r="G69" s="52">
        <v>0</v>
      </c>
      <c r="H69" s="52">
        <v>2</v>
      </c>
      <c r="I69" s="2">
        <f t="shared" si="0"/>
        <v>1.75</v>
      </c>
      <c r="J69" s="2"/>
      <c r="K69" s="2"/>
      <c r="L69" s="2"/>
      <c r="M69" s="2"/>
      <c r="N69" s="20"/>
      <c r="O69" s="2"/>
      <c r="P69" s="2"/>
    </row>
    <row r="70" spans="1:17" ht="14.25" customHeight="1" x14ac:dyDescent="0.35">
      <c r="A70" s="2"/>
      <c r="B70" s="109"/>
      <c r="C70" s="129"/>
      <c r="D70" s="92" t="s">
        <v>67</v>
      </c>
      <c r="E70" s="52">
        <v>0</v>
      </c>
      <c r="F70" s="52">
        <v>1</v>
      </c>
      <c r="G70" s="52">
        <v>0</v>
      </c>
      <c r="H70" s="52">
        <v>1</v>
      </c>
      <c r="I70" s="2">
        <f t="shared" si="0"/>
        <v>0.5</v>
      </c>
      <c r="J70" s="2"/>
      <c r="K70" s="2"/>
      <c r="L70" s="2"/>
      <c r="M70" s="2"/>
      <c r="N70" s="20"/>
      <c r="O70" s="2"/>
      <c r="P70" s="2"/>
    </row>
    <row r="71" spans="1:17" ht="14.25" customHeight="1" x14ac:dyDescent="0.35">
      <c r="A71" s="1" t="s">
        <v>26</v>
      </c>
      <c r="B71" s="109">
        <v>154</v>
      </c>
      <c r="C71" s="129" t="s">
        <v>42</v>
      </c>
      <c r="D71" s="91" t="s">
        <v>65</v>
      </c>
      <c r="E71" s="52">
        <v>33</v>
      </c>
      <c r="F71" s="52">
        <v>34</v>
      </c>
      <c r="G71" s="52">
        <v>33</v>
      </c>
      <c r="H71" s="52">
        <v>52</v>
      </c>
      <c r="I71" s="2">
        <f t="shared" si="0"/>
        <v>38</v>
      </c>
      <c r="J71" s="2">
        <f>I71*2*10000</f>
        <v>760000</v>
      </c>
      <c r="K71" s="2">
        <v>6000000</v>
      </c>
      <c r="L71" s="2">
        <f>J71*10</f>
        <v>7600000</v>
      </c>
      <c r="M71" s="3">
        <f>I71/(I71+I72)*100</f>
        <v>98.064516129032256</v>
      </c>
      <c r="N71" s="22">
        <f>I73/I71*100</f>
        <v>2.6315789473684208</v>
      </c>
      <c r="O71" s="4">
        <f>3.32*(LOG(L71)-LOG(K71))</f>
        <v>0.34083897509852973</v>
      </c>
      <c r="P71" s="4">
        <f>P68+O71</f>
        <v>14.971711007572667</v>
      </c>
      <c r="Q71" s="2" t="s">
        <v>49</v>
      </c>
    </row>
    <row r="72" spans="1:17" ht="14.25" customHeight="1" x14ac:dyDescent="0.35">
      <c r="A72" s="2"/>
      <c r="B72" s="109"/>
      <c r="C72" s="129"/>
      <c r="D72" s="92" t="s">
        <v>66</v>
      </c>
      <c r="E72" s="52">
        <v>0</v>
      </c>
      <c r="F72" s="52">
        <v>1</v>
      </c>
      <c r="G72" s="52">
        <v>0</v>
      </c>
      <c r="H72" s="52">
        <v>2</v>
      </c>
      <c r="I72" s="2">
        <f t="shared" si="0"/>
        <v>0.75</v>
      </c>
      <c r="J72" s="2"/>
      <c r="K72" s="2"/>
      <c r="L72" s="2"/>
      <c r="M72" s="2"/>
      <c r="N72" s="20"/>
      <c r="O72" s="2"/>
      <c r="P72" s="2"/>
    </row>
    <row r="73" spans="1:17" ht="14.25" customHeight="1" x14ac:dyDescent="0.35">
      <c r="A73" s="2"/>
      <c r="B73" s="109"/>
      <c r="C73" s="129"/>
      <c r="D73" s="92" t="s">
        <v>67</v>
      </c>
      <c r="E73" s="52">
        <v>1</v>
      </c>
      <c r="F73" s="52">
        <v>1</v>
      </c>
      <c r="G73" s="52">
        <v>2</v>
      </c>
      <c r="H73" s="52">
        <v>0</v>
      </c>
      <c r="I73" s="2">
        <f t="shared" si="0"/>
        <v>1</v>
      </c>
      <c r="J73" s="2"/>
      <c r="K73" s="2"/>
      <c r="L73" s="2"/>
      <c r="M73" s="2"/>
      <c r="N73" s="20"/>
      <c r="O73" s="2"/>
      <c r="P73" s="2"/>
    </row>
    <row r="74" spans="1:17" ht="14.25" customHeight="1" x14ac:dyDescent="0.35">
      <c r="A74" s="1" t="s">
        <v>27</v>
      </c>
      <c r="B74" s="109">
        <v>161</v>
      </c>
      <c r="C74" s="129" t="s">
        <v>42</v>
      </c>
      <c r="D74" s="91" t="s">
        <v>65</v>
      </c>
      <c r="E74" s="52">
        <v>58</v>
      </c>
      <c r="F74" s="52">
        <v>46</v>
      </c>
      <c r="G74" s="52">
        <v>47</v>
      </c>
      <c r="H74" s="52">
        <v>58</v>
      </c>
      <c r="I74" s="2">
        <f t="shared" si="0"/>
        <v>52.25</v>
      </c>
      <c r="J74" s="2">
        <f>I74*2*10000</f>
        <v>1045000</v>
      </c>
      <c r="K74" s="2">
        <v>6000000</v>
      </c>
      <c r="L74" s="2">
        <f>J74*10</f>
        <v>10450000</v>
      </c>
      <c r="M74" s="3">
        <f>I74/(I74+I75)*100</f>
        <v>96.759259259259252</v>
      </c>
      <c r="N74" s="22">
        <f>I76/I74*100</f>
        <v>1.4354066985645932</v>
      </c>
      <c r="O74" s="4">
        <f>3.32*(LOG(L74)-LOG(K74))</f>
        <v>0.80000393301058459</v>
      </c>
      <c r="P74" s="4">
        <f>P71+O74</f>
        <v>15.771714940583252</v>
      </c>
    </row>
    <row r="75" spans="1:17" ht="14.25" customHeight="1" x14ac:dyDescent="0.35">
      <c r="A75" s="2"/>
      <c r="B75" s="109"/>
      <c r="C75" s="129"/>
      <c r="D75" s="92" t="s">
        <v>66</v>
      </c>
      <c r="E75" s="52">
        <v>2</v>
      </c>
      <c r="F75" s="52">
        <v>1</v>
      </c>
      <c r="G75" s="52">
        <v>3</v>
      </c>
      <c r="H75" s="52">
        <v>1</v>
      </c>
      <c r="I75" s="2">
        <f t="shared" si="0"/>
        <v>1.75</v>
      </c>
      <c r="J75" s="2"/>
      <c r="K75" s="2"/>
      <c r="L75" s="2"/>
      <c r="M75" s="2"/>
      <c r="N75" s="20"/>
      <c r="O75" s="2"/>
      <c r="P75" s="2"/>
    </row>
    <row r="76" spans="1:17" ht="14.25" customHeight="1" x14ac:dyDescent="0.35">
      <c r="A76" s="2"/>
      <c r="B76" s="109"/>
      <c r="C76" s="129"/>
      <c r="D76" s="92" t="s">
        <v>67</v>
      </c>
      <c r="E76" s="52">
        <v>0</v>
      </c>
      <c r="F76" s="52">
        <v>2</v>
      </c>
      <c r="G76" s="52">
        <v>1</v>
      </c>
      <c r="H76" s="52">
        <v>0</v>
      </c>
      <c r="I76" s="2">
        <f t="shared" si="0"/>
        <v>0.75</v>
      </c>
      <c r="J76" s="2"/>
      <c r="K76" s="2"/>
      <c r="L76" s="2"/>
      <c r="M76" s="2"/>
      <c r="N76" s="20"/>
      <c r="O76" s="2"/>
      <c r="P76" s="2"/>
    </row>
    <row r="77" spans="1:17" ht="14.25" customHeight="1" x14ac:dyDescent="0.35">
      <c r="A77" s="1" t="s">
        <v>28</v>
      </c>
      <c r="B77" s="109">
        <v>169</v>
      </c>
      <c r="C77" s="129" t="s">
        <v>42</v>
      </c>
      <c r="D77" s="91" t="s">
        <v>65</v>
      </c>
      <c r="E77" s="52">
        <v>87</v>
      </c>
      <c r="F77" s="52">
        <v>87</v>
      </c>
      <c r="G77" s="52">
        <v>91</v>
      </c>
      <c r="H77" s="52">
        <v>86</v>
      </c>
      <c r="I77" s="2">
        <f t="shared" si="0"/>
        <v>87.75</v>
      </c>
      <c r="J77" s="2">
        <f>I77*2*10000</f>
        <v>1755000</v>
      </c>
      <c r="K77" s="2">
        <v>3000000</v>
      </c>
      <c r="L77" s="2">
        <f>J77*5</f>
        <v>8775000</v>
      </c>
      <c r="M77" s="3">
        <f>I77/(I77+I78)*100</f>
        <v>98.319327731092429</v>
      </c>
      <c r="N77" s="22">
        <f>I79/I77*100</f>
        <v>0</v>
      </c>
      <c r="O77" s="4">
        <f>3.32*(LOG(L77)-LOG(K77))</f>
        <v>1.5475378897884198</v>
      </c>
      <c r="P77" s="4">
        <f>P74+O77</f>
        <v>17.319252830371671</v>
      </c>
    </row>
    <row r="78" spans="1:17" ht="14.25" customHeight="1" x14ac:dyDescent="0.35">
      <c r="A78" s="2"/>
      <c r="B78" s="109"/>
      <c r="C78" s="129"/>
      <c r="D78" s="92" t="s">
        <v>66</v>
      </c>
      <c r="E78" s="52">
        <v>1</v>
      </c>
      <c r="F78" s="52">
        <v>1</v>
      </c>
      <c r="G78" s="52">
        <v>2</v>
      </c>
      <c r="H78" s="52">
        <v>2</v>
      </c>
      <c r="I78" s="2">
        <f t="shared" si="0"/>
        <v>1.5</v>
      </c>
      <c r="J78" s="2"/>
      <c r="K78" s="2"/>
      <c r="L78" s="2"/>
      <c r="M78" s="2"/>
      <c r="N78" s="20"/>
      <c r="O78" s="2"/>
      <c r="P78" s="2"/>
    </row>
    <row r="79" spans="1:17" ht="14.25" customHeight="1" x14ac:dyDescent="0.35">
      <c r="A79" s="2"/>
      <c r="B79" s="109"/>
      <c r="C79" s="129"/>
      <c r="D79" s="92" t="s">
        <v>67</v>
      </c>
      <c r="E79" s="52">
        <v>0</v>
      </c>
      <c r="F79" s="52">
        <v>0</v>
      </c>
      <c r="G79" s="52">
        <v>0</v>
      </c>
      <c r="H79" s="52">
        <v>0</v>
      </c>
      <c r="I79" s="2">
        <f t="shared" si="0"/>
        <v>0</v>
      </c>
      <c r="J79" s="2"/>
      <c r="K79" s="2"/>
      <c r="L79" s="2"/>
      <c r="M79" s="2"/>
      <c r="N79" s="20"/>
      <c r="O79" s="2"/>
      <c r="P79" s="2"/>
    </row>
    <row r="80" spans="1:17" ht="14.25" customHeight="1" x14ac:dyDescent="0.35">
      <c r="A80" s="1" t="s">
        <v>29</v>
      </c>
      <c r="B80" s="109">
        <v>175</v>
      </c>
      <c r="C80" s="129" t="s">
        <v>42</v>
      </c>
      <c r="D80" s="91" t="s">
        <v>65</v>
      </c>
      <c r="E80" s="52">
        <v>53</v>
      </c>
      <c r="F80" s="52">
        <v>59</v>
      </c>
      <c r="G80" s="52">
        <v>64</v>
      </c>
      <c r="H80" s="52">
        <v>72</v>
      </c>
      <c r="I80" s="2">
        <f t="shared" si="0"/>
        <v>62</v>
      </c>
      <c r="J80" s="2">
        <f>I80*2*10000</f>
        <v>1240000</v>
      </c>
      <c r="K80" s="2">
        <v>3000000</v>
      </c>
      <c r="L80" s="2">
        <f>J80*5</f>
        <v>6200000</v>
      </c>
      <c r="M80" s="3">
        <f>I80/(I80+I81)*100</f>
        <v>98.804780876494021</v>
      </c>
      <c r="N80" s="22">
        <f>I82/I80*100</f>
        <v>0.40322580645161288</v>
      </c>
      <c r="O80" s="4">
        <f>3.32*(LOG(L80)-LOG(K80))</f>
        <v>1.0466978434649215</v>
      </c>
      <c r="P80" s="4">
        <f>P77+O80</f>
        <v>18.365950673836593</v>
      </c>
    </row>
    <row r="81" spans="1:16" ht="14.25" customHeight="1" x14ac:dyDescent="0.35">
      <c r="A81" s="2"/>
      <c r="B81" s="109"/>
      <c r="C81" s="129"/>
      <c r="D81" s="92" t="s">
        <v>66</v>
      </c>
      <c r="E81" s="52">
        <v>0</v>
      </c>
      <c r="F81" s="52">
        <v>1</v>
      </c>
      <c r="G81" s="52">
        <v>0</v>
      </c>
      <c r="H81" s="52">
        <v>2</v>
      </c>
      <c r="I81" s="2">
        <f t="shared" si="0"/>
        <v>0.75</v>
      </c>
      <c r="J81" s="2"/>
      <c r="K81" s="2"/>
      <c r="L81" s="2"/>
      <c r="M81" s="2"/>
      <c r="N81" s="20"/>
      <c r="O81" s="2"/>
      <c r="P81" s="2"/>
    </row>
    <row r="82" spans="1:16" ht="14.25" customHeight="1" x14ac:dyDescent="0.35">
      <c r="A82" s="2"/>
      <c r="B82" s="109"/>
      <c r="C82" s="129"/>
      <c r="D82" s="92" t="s">
        <v>67</v>
      </c>
      <c r="E82" s="52">
        <v>0</v>
      </c>
      <c r="F82" s="52">
        <v>0</v>
      </c>
      <c r="G82" s="52">
        <v>0</v>
      </c>
      <c r="H82" s="52">
        <v>1</v>
      </c>
      <c r="I82" s="2">
        <f t="shared" si="0"/>
        <v>0.25</v>
      </c>
      <c r="J82" s="2"/>
      <c r="K82" s="2"/>
      <c r="L82" s="2"/>
      <c r="M82" s="2"/>
      <c r="N82" s="20"/>
      <c r="O82" s="2"/>
      <c r="P82" s="2"/>
    </row>
    <row r="83" spans="1:16" ht="14.25" customHeight="1" x14ac:dyDescent="0.35">
      <c r="A83" s="1" t="s">
        <v>30</v>
      </c>
      <c r="B83" s="109">
        <v>182</v>
      </c>
      <c r="C83" s="129" t="s">
        <v>42</v>
      </c>
      <c r="D83" s="91" t="s">
        <v>65</v>
      </c>
      <c r="E83" s="52">
        <v>48</v>
      </c>
      <c r="F83" s="52">
        <v>47</v>
      </c>
      <c r="G83" s="52">
        <v>55</v>
      </c>
      <c r="H83" s="52">
        <v>54</v>
      </c>
      <c r="I83" s="2">
        <f t="shared" si="0"/>
        <v>51</v>
      </c>
      <c r="J83" s="2">
        <f>I83*2*10000</f>
        <v>1020000</v>
      </c>
      <c r="K83" s="2">
        <v>3000000</v>
      </c>
      <c r="L83" s="2">
        <f>J83*5</f>
        <v>5100000</v>
      </c>
      <c r="M83" s="3">
        <f>I83/(I83+I84)*100</f>
        <v>98.550724637681171</v>
      </c>
      <c r="N83" s="22">
        <f>I85/I83*100</f>
        <v>0</v>
      </c>
      <c r="O83" s="4">
        <f>3.32*(LOG(L83)-LOG(K83))</f>
        <v>0.76509041897587005</v>
      </c>
      <c r="P83" s="4">
        <f>P80+O83</f>
        <v>19.131041092812463</v>
      </c>
    </row>
    <row r="84" spans="1:16" ht="14.25" customHeight="1" x14ac:dyDescent="0.35">
      <c r="A84" s="2"/>
      <c r="B84" s="109"/>
      <c r="C84" s="129"/>
      <c r="D84" s="92" t="s">
        <v>66</v>
      </c>
      <c r="E84" s="52">
        <v>2</v>
      </c>
      <c r="F84" s="52">
        <v>0</v>
      </c>
      <c r="G84" s="52">
        <v>1</v>
      </c>
      <c r="H84" s="52">
        <v>0</v>
      </c>
      <c r="I84" s="2">
        <f t="shared" si="0"/>
        <v>0.75</v>
      </c>
      <c r="J84" s="2"/>
      <c r="K84" s="2"/>
      <c r="L84" s="2"/>
      <c r="M84" s="2"/>
      <c r="N84" s="20"/>
      <c r="O84" s="2"/>
      <c r="P84" s="2"/>
    </row>
    <row r="85" spans="1:16" ht="14.25" customHeight="1" x14ac:dyDescent="0.35">
      <c r="A85" s="2"/>
      <c r="B85" s="109"/>
      <c r="C85" s="129"/>
      <c r="D85" s="92" t="s">
        <v>67</v>
      </c>
      <c r="E85" s="52">
        <v>0</v>
      </c>
      <c r="F85" s="52">
        <v>0</v>
      </c>
      <c r="G85" s="52">
        <v>0</v>
      </c>
      <c r="H85" s="52">
        <v>0</v>
      </c>
      <c r="I85" s="2">
        <f t="shared" si="0"/>
        <v>0</v>
      </c>
      <c r="J85" s="2"/>
      <c r="K85" s="2"/>
      <c r="L85" s="2"/>
      <c r="M85" s="2"/>
      <c r="N85" s="20"/>
      <c r="O85" s="2"/>
      <c r="P85" s="2"/>
    </row>
    <row r="86" spans="1:16" ht="14.25" customHeight="1" x14ac:dyDescent="0.35">
      <c r="A86" s="1" t="s">
        <v>31</v>
      </c>
      <c r="B86" s="109">
        <v>189</v>
      </c>
      <c r="C86" s="129" t="s">
        <v>42</v>
      </c>
      <c r="D86" s="91" t="s">
        <v>65</v>
      </c>
      <c r="E86" s="52">
        <v>51</v>
      </c>
      <c r="F86" s="52">
        <v>56</v>
      </c>
      <c r="G86" s="52">
        <v>45</v>
      </c>
      <c r="H86" s="52">
        <v>59</v>
      </c>
      <c r="I86" s="2">
        <f t="shared" si="0"/>
        <v>52.75</v>
      </c>
      <c r="J86" s="2">
        <f>I86*2*10000</f>
        <v>1055000</v>
      </c>
      <c r="K86" s="2">
        <v>3000000</v>
      </c>
      <c r="L86" s="2">
        <f>J86*5</f>
        <v>5275000</v>
      </c>
      <c r="M86" s="3">
        <f>I86/(I86+I87)*100</f>
        <v>97.68518518518519</v>
      </c>
      <c r="N86" s="22">
        <f>I88/I86*100</f>
        <v>1.4218009478672986</v>
      </c>
      <c r="O86" s="4">
        <f>3.32*(LOG(L86)-LOG(K86))</f>
        <v>0.81373601471022561</v>
      </c>
      <c r="P86" s="4">
        <f>P83+O86</f>
        <v>19.94477710752269</v>
      </c>
    </row>
    <row r="87" spans="1:16" ht="14.25" customHeight="1" x14ac:dyDescent="0.35">
      <c r="A87" s="2"/>
      <c r="B87" s="109"/>
      <c r="C87" s="129"/>
      <c r="D87" s="92" t="s">
        <v>66</v>
      </c>
      <c r="E87" s="52">
        <v>1</v>
      </c>
      <c r="F87" s="52">
        <v>2</v>
      </c>
      <c r="G87" s="52">
        <v>1</v>
      </c>
      <c r="H87" s="52">
        <v>1</v>
      </c>
      <c r="I87" s="2">
        <f t="shared" si="0"/>
        <v>1.25</v>
      </c>
      <c r="J87" s="2"/>
      <c r="K87" s="2"/>
      <c r="L87" s="2"/>
      <c r="M87" s="2"/>
      <c r="N87" s="20"/>
      <c r="O87" s="2"/>
      <c r="P87" s="2"/>
    </row>
    <row r="88" spans="1:16" ht="14.25" customHeight="1" x14ac:dyDescent="0.35">
      <c r="A88" s="2"/>
      <c r="B88" s="109"/>
      <c r="C88" s="129"/>
      <c r="D88" s="92" t="s">
        <v>67</v>
      </c>
      <c r="E88" s="52">
        <v>1</v>
      </c>
      <c r="F88" s="52">
        <v>1</v>
      </c>
      <c r="G88" s="52">
        <v>1</v>
      </c>
      <c r="H88" s="52">
        <v>0</v>
      </c>
      <c r="I88" s="2">
        <f t="shared" si="0"/>
        <v>0.75</v>
      </c>
      <c r="J88" s="2"/>
      <c r="K88" s="2"/>
      <c r="L88" s="2"/>
      <c r="M88" s="2"/>
      <c r="N88" s="20"/>
      <c r="O88" s="2"/>
      <c r="P88" s="2"/>
    </row>
    <row r="89" spans="1:16" ht="14.25" customHeight="1" x14ac:dyDescent="0.35">
      <c r="A89" s="1" t="s">
        <v>32</v>
      </c>
      <c r="B89" s="109">
        <v>196</v>
      </c>
      <c r="C89" s="129" t="s">
        <v>42</v>
      </c>
      <c r="D89" s="91" t="s">
        <v>65</v>
      </c>
      <c r="E89" s="52">
        <v>44</v>
      </c>
      <c r="F89" s="52">
        <v>64</v>
      </c>
      <c r="G89" s="52">
        <v>53</v>
      </c>
      <c r="H89" s="52">
        <v>56</v>
      </c>
      <c r="I89" s="2">
        <f t="shared" si="0"/>
        <v>54.25</v>
      </c>
      <c r="J89" s="2">
        <f>I89*2*10000</f>
        <v>1085000</v>
      </c>
      <c r="K89" s="2">
        <v>3000000</v>
      </c>
      <c r="L89" s="2">
        <f>J89*5</f>
        <v>5425000</v>
      </c>
      <c r="M89" s="3">
        <f>I89/(I89+I90)*100</f>
        <v>98.19004524886877</v>
      </c>
      <c r="N89" s="22">
        <f>I91/I89*100</f>
        <v>1.3824884792626728</v>
      </c>
      <c r="O89" s="4">
        <f>3.32*(LOG(L89)-LOG(K89))</f>
        <v>0.85416457949900426</v>
      </c>
      <c r="P89" s="4">
        <f>P86+O89</f>
        <v>20.798941687021696</v>
      </c>
    </row>
    <row r="90" spans="1:16" ht="14.25" customHeight="1" x14ac:dyDescent="0.35">
      <c r="A90" s="2"/>
      <c r="B90" s="109"/>
      <c r="C90" s="129"/>
      <c r="D90" s="92" t="s">
        <v>66</v>
      </c>
      <c r="E90" s="52">
        <v>1</v>
      </c>
      <c r="F90" s="52">
        <v>1</v>
      </c>
      <c r="G90" s="52">
        <v>1</v>
      </c>
      <c r="H90" s="52">
        <v>1</v>
      </c>
      <c r="I90" s="2">
        <f t="shared" si="0"/>
        <v>1</v>
      </c>
      <c r="J90" s="2"/>
      <c r="K90" s="2"/>
      <c r="L90" s="2"/>
      <c r="M90" s="2"/>
      <c r="N90" s="20"/>
      <c r="O90" s="2"/>
      <c r="P90" s="2"/>
    </row>
    <row r="91" spans="1:16" ht="14.25" customHeight="1" x14ac:dyDescent="0.35">
      <c r="A91" s="2"/>
      <c r="B91" s="109"/>
      <c r="C91" s="129"/>
      <c r="D91" s="92" t="s">
        <v>67</v>
      </c>
      <c r="E91" s="52">
        <v>0</v>
      </c>
      <c r="F91" s="52">
        <v>0</v>
      </c>
      <c r="G91" s="52">
        <v>0</v>
      </c>
      <c r="H91" s="52">
        <v>3</v>
      </c>
      <c r="I91" s="2">
        <f t="shared" si="0"/>
        <v>0.75</v>
      </c>
      <c r="J91" s="2"/>
      <c r="K91" s="2"/>
      <c r="L91" s="2"/>
      <c r="M91" s="2"/>
      <c r="N91" s="20"/>
      <c r="O91" s="2"/>
      <c r="P91" s="2"/>
    </row>
    <row r="92" spans="1:16" ht="14.25" customHeight="1" x14ac:dyDescent="0.35">
      <c r="A92" s="1" t="s">
        <v>33</v>
      </c>
      <c r="B92" s="109">
        <v>203</v>
      </c>
      <c r="C92" s="129" t="s">
        <v>42</v>
      </c>
      <c r="D92" s="91" t="s">
        <v>65</v>
      </c>
      <c r="E92" s="52">
        <v>78</v>
      </c>
      <c r="F92" s="52">
        <v>98</v>
      </c>
      <c r="G92" s="52">
        <v>85</v>
      </c>
      <c r="H92" s="52">
        <v>88</v>
      </c>
      <c r="I92" s="2">
        <f t="shared" si="0"/>
        <v>87.25</v>
      </c>
      <c r="J92" s="2">
        <f>I92*2*10000</f>
        <v>1745000</v>
      </c>
      <c r="K92" s="2">
        <v>3000000</v>
      </c>
      <c r="L92" s="2">
        <f>J92*5</f>
        <v>8725000</v>
      </c>
      <c r="M92" s="3">
        <f>I92/(I92+I93)*100</f>
        <v>98.587570621468927</v>
      </c>
      <c r="N92" s="22">
        <f>I94/I92*100</f>
        <v>0</v>
      </c>
      <c r="O92" s="4">
        <f>3.32*(LOG(L92)-LOG(K92))</f>
        <v>1.5392986806263611</v>
      </c>
      <c r="P92" s="4">
        <f>P89+O92</f>
        <v>22.338240367648055</v>
      </c>
    </row>
    <row r="93" spans="1:16" ht="14.25" customHeight="1" x14ac:dyDescent="0.35">
      <c r="A93" s="2"/>
      <c r="B93" s="109"/>
      <c r="C93" s="129"/>
      <c r="D93" s="92" t="s">
        <v>66</v>
      </c>
      <c r="E93" s="52">
        <v>2</v>
      </c>
      <c r="F93" s="52">
        <v>1</v>
      </c>
      <c r="G93" s="52">
        <v>1</v>
      </c>
      <c r="H93" s="52">
        <v>1</v>
      </c>
      <c r="I93" s="2">
        <f t="shared" si="0"/>
        <v>1.25</v>
      </c>
      <c r="J93" s="2"/>
      <c r="K93" s="2"/>
      <c r="L93" s="2"/>
      <c r="M93" s="2"/>
      <c r="N93" s="20"/>
      <c r="O93" s="2"/>
      <c r="P93" s="2"/>
    </row>
    <row r="94" spans="1:16" ht="14.25" customHeight="1" x14ac:dyDescent="0.35">
      <c r="A94" s="2"/>
      <c r="B94" s="109"/>
      <c r="C94" s="129"/>
      <c r="D94" s="92" t="s">
        <v>67</v>
      </c>
      <c r="E94" s="52">
        <v>0</v>
      </c>
      <c r="F94" s="52">
        <v>0</v>
      </c>
      <c r="G94" s="52">
        <v>0</v>
      </c>
      <c r="H94" s="52">
        <v>0</v>
      </c>
      <c r="I94" s="2">
        <f t="shared" si="0"/>
        <v>0</v>
      </c>
      <c r="J94" s="2"/>
      <c r="K94" s="2"/>
      <c r="L94" s="2"/>
      <c r="M94" s="2"/>
      <c r="N94" s="20"/>
      <c r="O94" s="2"/>
      <c r="P94" s="2"/>
    </row>
    <row r="95" spans="1:16" ht="14.25" customHeight="1" x14ac:dyDescent="0.35">
      <c r="A95" s="1" t="s">
        <v>34</v>
      </c>
      <c r="B95" s="109">
        <v>210</v>
      </c>
      <c r="C95" s="129" t="s">
        <v>42</v>
      </c>
      <c r="D95" s="91" t="s">
        <v>65</v>
      </c>
      <c r="E95" s="52">
        <v>59</v>
      </c>
      <c r="F95" s="52">
        <v>69</v>
      </c>
      <c r="G95" s="52">
        <v>64</v>
      </c>
      <c r="H95" s="52">
        <v>58</v>
      </c>
      <c r="I95" s="2">
        <f t="shared" si="0"/>
        <v>62.5</v>
      </c>
      <c r="J95" s="2">
        <f>I95*2*10000</f>
        <v>1250000</v>
      </c>
      <c r="K95" s="2">
        <v>3000000</v>
      </c>
      <c r="L95" s="2">
        <f>J95*5</f>
        <v>6250000</v>
      </c>
      <c r="M95" s="3">
        <f>I95/(I95+I96)*100</f>
        <v>98.039215686274503</v>
      </c>
      <c r="N95" s="22">
        <f>I97/I95*100</f>
        <v>0</v>
      </c>
      <c r="O95" s="4">
        <f>3.32*(LOG(L95)-LOG(K95))</f>
        <v>1.0582790919130491</v>
      </c>
      <c r="P95" s="4">
        <f>P92+O95</f>
        <v>23.396519459561105</v>
      </c>
    </row>
    <row r="96" spans="1:16" ht="14.25" customHeight="1" x14ac:dyDescent="0.35">
      <c r="A96" s="2"/>
      <c r="B96" s="109"/>
      <c r="C96" s="129"/>
      <c r="D96" s="92" t="s">
        <v>66</v>
      </c>
      <c r="E96" s="52">
        <v>1</v>
      </c>
      <c r="F96" s="52">
        <v>2</v>
      </c>
      <c r="G96" s="52">
        <v>0</v>
      </c>
      <c r="H96" s="52">
        <v>2</v>
      </c>
      <c r="I96" s="2">
        <f t="shared" si="0"/>
        <v>1.25</v>
      </c>
      <c r="J96" s="2"/>
      <c r="K96" s="2"/>
      <c r="L96" s="2"/>
      <c r="M96" s="2"/>
      <c r="N96" s="20"/>
      <c r="O96" s="2"/>
      <c r="P96" s="2"/>
    </row>
    <row r="97" spans="1:16" ht="14.25" customHeight="1" x14ac:dyDescent="0.35">
      <c r="A97" s="2"/>
      <c r="B97" s="109"/>
      <c r="C97" s="129"/>
      <c r="D97" s="92" t="s">
        <v>67</v>
      </c>
      <c r="E97" s="52">
        <v>0</v>
      </c>
      <c r="F97" s="52">
        <v>0</v>
      </c>
      <c r="G97" s="52">
        <v>0</v>
      </c>
      <c r="H97" s="52">
        <v>0</v>
      </c>
      <c r="I97" s="2">
        <f t="shared" si="0"/>
        <v>0</v>
      </c>
      <c r="J97" s="2"/>
      <c r="K97" s="2"/>
      <c r="L97" s="2"/>
      <c r="M97" s="2"/>
      <c r="N97" s="20"/>
      <c r="O97" s="2"/>
      <c r="P97" s="2"/>
    </row>
    <row r="98" spans="1:16" ht="14.25" customHeight="1" x14ac:dyDescent="0.35">
      <c r="A98" s="1" t="s">
        <v>35</v>
      </c>
      <c r="B98" s="109">
        <v>216</v>
      </c>
      <c r="C98" s="129" t="s">
        <v>42</v>
      </c>
      <c r="D98" s="91" t="s">
        <v>65</v>
      </c>
      <c r="E98" s="5">
        <v>55</v>
      </c>
      <c r="F98" s="5">
        <v>67</v>
      </c>
      <c r="G98" s="5">
        <v>56</v>
      </c>
      <c r="H98" s="5">
        <v>66</v>
      </c>
      <c r="I98" s="2">
        <f t="shared" si="0"/>
        <v>61</v>
      </c>
      <c r="J98" s="2">
        <f>I98*2*10000</f>
        <v>1220000</v>
      </c>
      <c r="K98" s="2">
        <v>3000000</v>
      </c>
      <c r="L98" s="2">
        <f>J98*5</f>
        <v>6100000</v>
      </c>
      <c r="M98" s="3">
        <f>I98/(I98+I99)*100</f>
        <v>97.211155378486055</v>
      </c>
      <c r="N98" s="22">
        <f>I100/I98*100</f>
        <v>2.0491803278688523</v>
      </c>
      <c r="O98" s="4">
        <f>3.32*(LOG(L98)-LOG(K98))</f>
        <v>1.0232524865664669</v>
      </c>
      <c r="P98" s="4">
        <f>P92+O98</f>
        <v>23.361492854214521</v>
      </c>
    </row>
    <row r="99" spans="1:16" ht="14.25" customHeight="1" x14ac:dyDescent="0.35">
      <c r="A99" s="2"/>
      <c r="B99" s="109"/>
      <c r="C99" s="129"/>
      <c r="D99" s="92" t="s">
        <v>66</v>
      </c>
      <c r="E99" s="5">
        <v>2</v>
      </c>
      <c r="F99" s="5">
        <v>4</v>
      </c>
      <c r="G99" s="5">
        <v>0</v>
      </c>
      <c r="H99" s="5">
        <v>1</v>
      </c>
      <c r="I99" s="2">
        <f t="shared" si="0"/>
        <v>1.75</v>
      </c>
      <c r="J99" s="2"/>
      <c r="K99" s="2"/>
      <c r="L99" s="2"/>
      <c r="M99" s="2"/>
      <c r="N99" s="20"/>
      <c r="O99" s="2"/>
      <c r="P99" s="2"/>
    </row>
    <row r="100" spans="1:16" ht="14.25" customHeight="1" x14ac:dyDescent="0.35">
      <c r="A100" s="2"/>
      <c r="B100" s="109"/>
      <c r="C100" s="129"/>
      <c r="D100" s="92" t="s">
        <v>67</v>
      </c>
      <c r="E100" s="5">
        <v>3</v>
      </c>
      <c r="F100" s="5">
        <v>1</v>
      </c>
      <c r="G100" s="5">
        <v>0</v>
      </c>
      <c r="H100" s="5">
        <v>1</v>
      </c>
      <c r="I100" s="2">
        <f t="shared" si="0"/>
        <v>1.25</v>
      </c>
      <c r="J100" s="2"/>
      <c r="K100" s="2"/>
      <c r="L100" s="2"/>
      <c r="M100" s="2"/>
      <c r="N100" s="20"/>
      <c r="O100" s="2"/>
      <c r="P100" s="2"/>
    </row>
    <row r="101" spans="1:16" ht="14.25" customHeight="1" x14ac:dyDescent="0.35">
      <c r="A101" s="1" t="s">
        <v>36</v>
      </c>
      <c r="B101" s="109">
        <v>223</v>
      </c>
      <c r="C101" s="129" t="s">
        <v>42</v>
      </c>
      <c r="D101" s="91" t="s">
        <v>65</v>
      </c>
      <c r="E101" s="7">
        <v>102</v>
      </c>
      <c r="F101" s="7">
        <v>96</v>
      </c>
      <c r="G101" s="7">
        <v>87</v>
      </c>
      <c r="H101" s="7">
        <v>73</v>
      </c>
      <c r="I101" s="2">
        <f t="shared" si="0"/>
        <v>89.5</v>
      </c>
      <c r="J101" s="2">
        <f>I101*2*10000</f>
        <v>1790000</v>
      </c>
      <c r="K101" s="2">
        <v>3000000</v>
      </c>
      <c r="L101" s="2">
        <f>J101*5</f>
        <v>8950000</v>
      </c>
      <c r="M101" s="3">
        <f>I101/(I101+I102)*100</f>
        <v>99.721448467966582</v>
      </c>
      <c r="N101" s="22">
        <f>I103/I101*100</f>
        <v>1.9553072625698324</v>
      </c>
      <c r="O101" s="4">
        <f>3.32*(LOG(L101)-LOG(K101))</f>
        <v>1.5760099115795481</v>
      </c>
      <c r="P101" s="4">
        <f>P95+O101</f>
        <v>24.972529371140652</v>
      </c>
    </row>
    <row r="102" spans="1:16" ht="14.25" customHeight="1" x14ac:dyDescent="0.35">
      <c r="A102" s="2"/>
      <c r="B102" s="109"/>
      <c r="C102" s="129"/>
      <c r="D102" s="92" t="s">
        <v>66</v>
      </c>
      <c r="E102" s="7">
        <v>1</v>
      </c>
      <c r="F102" s="7">
        <v>0</v>
      </c>
      <c r="G102" s="7">
        <v>0</v>
      </c>
      <c r="H102" s="7">
        <v>0</v>
      </c>
      <c r="I102" s="2">
        <f t="shared" si="0"/>
        <v>0.25</v>
      </c>
      <c r="J102" s="2"/>
      <c r="K102" s="2"/>
      <c r="L102" s="2"/>
      <c r="M102" s="2"/>
      <c r="N102" s="20"/>
      <c r="O102" s="2"/>
      <c r="P102" s="2"/>
    </row>
    <row r="103" spans="1:16" ht="14.25" customHeight="1" x14ac:dyDescent="0.35">
      <c r="A103" s="2"/>
      <c r="B103" s="109"/>
      <c r="C103" s="129"/>
      <c r="D103" s="92" t="s">
        <v>67</v>
      </c>
      <c r="E103" s="7">
        <v>1</v>
      </c>
      <c r="F103" s="7">
        <v>0</v>
      </c>
      <c r="G103" s="7">
        <v>4</v>
      </c>
      <c r="H103" s="7">
        <v>2</v>
      </c>
      <c r="I103" s="2">
        <f t="shared" si="0"/>
        <v>1.75</v>
      </c>
      <c r="J103" s="2"/>
      <c r="K103" s="2"/>
      <c r="L103" s="2"/>
      <c r="M103" s="2"/>
      <c r="N103" s="20"/>
      <c r="O103" s="2"/>
      <c r="P103" s="2"/>
    </row>
    <row r="104" spans="1:16" ht="14.25" customHeight="1" x14ac:dyDescent="0.35">
      <c r="A104" s="1" t="s">
        <v>37</v>
      </c>
      <c r="B104" s="109">
        <v>230</v>
      </c>
      <c r="C104" s="129" t="s">
        <v>42</v>
      </c>
      <c r="D104" s="91" t="s">
        <v>65</v>
      </c>
      <c r="E104" s="7">
        <v>110</v>
      </c>
      <c r="F104" s="7">
        <v>88</v>
      </c>
      <c r="G104" s="7">
        <v>91</v>
      </c>
      <c r="H104" s="7">
        <v>94</v>
      </c>
      <c r="I104" s="2">
        <f t="shared" si="0"/>
        <v>95.75</v>
      </c>
      <c r="J104" s="2">
        <f>I104*2*10000</f>
        <v>1915000</v>
      </c>
      <c r="K104" s="2">
        <v>3000000</v>
      </c>
      <c r="L104" s="2">
        <f>J104*5</f>
        <v>9575000</v>
      </c>
      <c r="M104" s="3">
        <f>I104/(I104+I105)*100</f>
        <v>100</v>
      </c>
      <c r="N104" s="22">
        <f>I106/I104*100</f>
        <v>2.610966057441253</v>
      </c>
      <c r="O104" s="4">
        <f>3.32*(LOG(L104)-LOG(K104))</f>
        <v>1.6733381926977124</v>
      </c>
      <c r="P104" s="4">
        <f>P98+O104</f>
        <v>25.034831046912235</v>
      </c>
    </row>
    <row r="105" spans="1:16" ht="14.25" customHeight="1" x14ac:dyDescent="0.35">
      <c r="A105" s="2"/>
      <c r="B105" s="109"/>
      <c r="C105" s="129"/>
      <c r="D105" s="92" t="s">
        <v>66</v>
      </c>
      <c r="E105" s="7">
        <v>0</v>
      </c>
      <c r="F105" s="7">
        <v>0</v>
      </c>
      <c r="G105" s="7">
        <v>0</v>
      </c>
      <c r="H105" s="7">
        <v>0</v>
      </c>
      <c r="I105" s="2">
        <f t="shared" si="0"/>
        <v>0</v>
      </c>
      <c r="J105" s="2"/>
      <c r="K105" s="2"/>
      <c r="L105" s="2"/>
      <c r="M105" s="2"/>
      <c r="N105" s="20"/>
      <c r="O105" s="2"/>
      <c r="P105" s="2"/>
    </row>
    <row r="106" spans="1:16" ht="14.25" customHeight="1" x14ac:dyDescent="0.35">
      <c r="A106" s="2"/>
      <c r="B106" s="109"/>
      <c r="C106" s="129"/>
      <c r="D106" s="92" t="s">
        <v>67</v>
      </c>
      <c r="E106" s="7">
        <v>3</v>
      </c>
      <c r="F106" s="7">
        <v>2</v>
      </c>
      <c r="G106" s="7">
        <v>2</v>
      </c>
      <c r="H106" s="7">
        <v>3</v>
      </c>
      <c r="I106" s="2">
        <f t="shared" si="0"/>
        <v>2.5</v>
      </c>
      <c r="J106" s="2"/>
      <c r="K106" s="2"/>
      <c r="L106" s="2"/>
      <c r="M106" s="2"/>
      <c r="N106" s="20"/>
      <c r="O106" s="2"/>
      <c r="P106" s="2"/>
    </row>
    <row r="107" spans="1:16" ht="14.25" customHeight="1" x14ac:dyDescent="0.35">
      <c r="A107" s="1" t="s">
        <v>38</v>
      </c>
      <c r="B107" s="109">
        <v>236</v>
      </c>
      <c r="C107" s="129" t="s">
        <v>42</v>
      </c>
      <c r="D107" s="91" t="s">
        <v>65</v>
      </c>
      <c r="E107" s="53">
        <v>73</v>
      </c>
      <c r="F107" s="53">
        <v>71</v>
      </c>
      <c r="G107" s="53">
        <v>83</v>
      </c>
      <c r="H107" s="53">
        <v>68</v>
      </c>
      <c r="I107" s="2">
        <f t="shared" si="0"/>
        <v>73.75</v>
      </c>
      <c r="J107" s="2">
        <f>I107*2*10000</f>
        <v>1475000</v>
      </c>
      <c r="K107" s="2">
        <v>3000000</v>
      </c>
      <c r="L107" s="2">
        <f>J107*5</f>
        <v>7375000</v>
      </c>
      <c r="M107" s="3">
        <f>I107/(I107+I108)*100</f>
        <v>99.662162162162161</v>
      </c>
      <c r="N107" s="22">
        <f>I109/I107*100</f>
        <v>1.6949152542372881</v>
      </c>
      <c r="O107" s="4">
        <f>3.32*(LOG(L107)-LOG(K107))</f>
        <v>1.296927356169387</v>
      </c>
      <c r="P107" s="4">
        <f>IF(O107&lt;0,P104,P104+O107)</f>
        <v>26.331758403081622</v>
      </c>
    </row>
    <row r="108" spans="1:16" ht="14.25" customHeight="1" x14ac:dyDescent="0.35">
      <c r="A108" s="2"/>
      <c r="B108" s="109"/>
      <c r="C108" s="129"/>
      <c r="D108" s="92" t="s">
        <v>66</v>
      </c>
      <c r="E108" s="53">
        <v>0</v>
      </c>
      <c r="F108" s="53">
        <v>0</v>
      </c>
      <c r="G108" s="53">
        <v>0</v>
      </c>
      <c r="H108" s="53">
        <v>1</v>
      </c>
      <c r="I108" s="2">
        <f t="shared" si="0"/>
        <v>0.25</v>
      </c>
      <c r="J108" s="2"/>
      <c r="K108" s="2"/>
      <c r="L108" s="2"/>
      <c r="M108" s="2"/>
      <c r="N108" s="20"/>
      <c r="O108" s="2"/>
      <c r="P108" s="2"/>
    </row>
    <row r="109" spans="1:16" ht="14.25" customHeight="1" x14ac:dyDescent="0.35">
      <c r="A109" s="2"/>
      <c r="B109" s="109"/>
      <c r="C109" s="129"/>
      <c r="D109" s="92" t="s">
        <v>67</v>
      </c>
      <c r="E109" s="53">
        <v>4</v>
      </c>
      <c r="F109" s="53">
        <v>0</v>
      </c>
      <c r="G109" s="53">
        <v>0</v>
      </c>
      <c r="H109" s="53">
        <v>1</v>
      </c>
      <c r="I109" s="2">
        <f t="shared" si="0"/>
        <v>1.25</v>
      </c>
      <c r="J109" s="2"/>
      <c r="K109" s="2"/>
      <c r="L109" s="2"/>
      <c r="M109" s="2"/>
      <c r="N109" s="20"/>
      <c r="O109" s="2"/>
      <c r="P109" s="2"/>
    </row>
    <row r="110" spans="1:16" ht="14.25" customHeight="1" x14ac:dyDescent="0.35">
      <c r="A110" s="1" t="s">
        <v>39</v>
      </c>
      <c r="B110" s="109">
        <f>B107+7</f>
        <v>243</v>
      </c>
      <c r="C110" s="129" t="s">
        <v>42</v>
      </c>
      <c r="D110" s="91" t="s">
        <v>65</v>
      </c>
      <c r="E110" s="53">
        <v>76</v>
      </c>
      <c r="F110" s="53">
        <v>72</v>
      </c>
      <c r="G110" s="53">
        <v>64</v>
      </c>
      <c r="H110" s="53">
        <v>80</v>
      </c>
      <c r="I110" s="2">
        <f t="shared" si="0"/>
        <v>73</v>
      </c>
      <c r="J110" s="2">
        <f>I110*2*10000</f>
        <v>1460000</v>
      </c>
      <c r="K110" s="2">
        <v>3000000</v>
      </c>
      <c r="L110" s="2">
        <f>J110*5</f>
        <v>7300000</v>
      </c>
      <c r="M110" s="3">
        <f>I110/(I110+I111)*100</f>
        <v>100</v>
      </c>
      <c r="N110" s="22">
        <f>I112/I110*100</f>
        <v>6.1643835616438354</v>
      </c>
      <c r="O110" s="4">
        <f>3.32*(LOG(L110)-LOG(K110))</f>
        <v>1.2821893299306337</v>
      </c>
      <c r="P110" s="4">
        <f>IF(O110&lt;0,P107,P107+O110)</f>
        <v>27.613947733012257</v>
      </c>
    </row>
    <row r="111" spans="1:16" ht="14.25" customHeight="1" x14ac:dyDescent="0.35">
      <c r="A111" s="2"/>
      <c r="B111" s="109"/>
      <c r="C111" s="129"/>
      <c r="D111" s="92" t="s">
        <v>66</v>
      </c>
      <c r="E111" s="53">
        <v>0</v>
      </c>
      <c r="F111" s="53">
        <v>0</v>
      </c>
      <c r="G111" s="53">
        <v>0</v>
      </c>
      <c r="H111" s="53">
        <v>0</v>
      </c>
      <c r="I111" s="2">
        <f t="shared" si="0"/>
        <v>0</v>
      </c>
      <c r="J111" s="2"/>
      <c r="K111" s="2"/>
      <c r="L111" s="2"/>
      <c r="M111" s="2"/>
      <c r="N111" s="20"/>
      <c r="O111" s="2"/>
      <c r="P111" s="2"/>
    </row>
    <row r="112" spans="1:16" ht="14.25" customHeight="1" x14ac:dyDescent="0.35">
      <c r="A112" s="2"/>
      <c r="B112" s="109"/>
      <c r="C112" s="129"/>
      <c r="D112" s="92" t="s">
        <v>67</v>
      </c>
      <c r="E112" s="53">
        <v>4</v>
      </c>
      <c r="F112" s="53">
        <v>6</v>
      </c>
      <c r="G112" s="53">
        <v>5</v>
      </c>
      <c r="H112" s="53">
        <v>3</v>
      </c>
      <c r="I112" s="2">
        <f t="shared" si="0"/>
        <v>4.5</v>
      </c>
      <c r="J112" s="2"/>
      <c r="K112" s="2"/>
      <c r="L112" s="2"/>
      <c r="M112" s="2"/>
      <c r="N112" s="20"/>
      <c r="O112" s="2"/>
      <c r="P112" s="2"/>
    </row>
    <row r="113" spans="1:16" ht="14.25" customHeight="1" x14ac:dyDescent="0.35">
      <c r="A113" s="1" t="s">
        <v>40</v>
      </c>
      <c r="B113" s="109">
        <f>B110+7</f>
        <v>250</v>
      </c>
      <c r="C113" s="129" t="s">
        <v>42</v>
      </c>
      <c r="D113" s="91" t="s">
        <v>65</v>
      </c>
      <c r="E113" s="5">
        <v>113</v>
      </c>
      <c r="F113" s="5">
        <v>106</v>
      </c>
      <c r="G113" s="5">
        <v>121</v>
      </c>
      <c r="H113" s="5">
        <v>116</v>
      </c>
      <c r="I113" s="2">
        <f t="shared" si="0"/>
        <v>114</v>
      </c>
      <c r="J113" s="2">
        <f>I113*2*10000</f>
        <v>2280000</v>
      </c>
      <c r="K113" s="2">
        <v>3000000</v>
      </c>
      <c r="L113" s="2">
        <f>J113*5</f>
        <v>11400000</v>
      </c>
      <c r="M113" s="3">
        <f>I113/(I113+I114)*100</f>
        <v>100</v>
      </c>
      <c r="N113" s="22">
        <f>I115/I113*100</f>
        <v>1.9736842105263157</v>
      </c>
      <c r="O113" s="4">
        <f>3.32*(LOG(L113)-LOG(K113))</f>
        <v>1.9248815407678095</v>
      </c>
      <c r="P113" s="4">
        <f>IF(O113&lt;0,P110,P110+O113)</f>
        <v>29.538829273780067</v>
      </c>
    </row>
    <row r="114" spans="1:16" ht="14.25" customHeight="1" x14ac:dyDescent="0.35">
      <c r="A114" s="2"/>
      <c r="B114" s="109"/>
      <c r="C114" s="129"/>
      <c r="D114" s="92" t="s">
        <v>66</v>
      </c>
      <c r="E114" s="5">
        <v>0</v>
      </c>
      <c r="F114" s="5">
        <v>0</v>
      </c>
      <c r="G114" s="5">
        <v>0</v>
      </c>
      <c r="H114" s="5">
        <v>0</v>
      </c>
      <c r="I114" s="2">
        <f t="shared" si="0"/>
        <v>0</v>
      </c>
      <c r="J114" s="2"/>
      <c r="K114" s="2"/>
      <c r="L114" s="2"/>
      <c r="M114" s="2"/>
      <c r="N114" s="20"/>
      <c r="O114" s="2"/>
      <c r="P114" s="2"/>
    </row>
    <row r="115" spans="1:16" ht="14.25" customHeight="1" x14ac:dyDescent="0.35">
      <c r="A115" s="2"/>
      <c r="B115" s="109"/>
      <c r="C115" s="129"/>
      <c r="D115" s="92" t="s">
        <v>67</v>
      </c>
      <c r="E115" s="5">
        <v>1</v>
      </c>
      <c r="F115" s="5">
        <v>1</v>
      </c>
      <c r="G115" s="5">
        <v>3</v>
      </c>
      <c r="H115" s="5">
        <v>4</v>
      </c>
      <c r="I115" s="2">
        <f t="shared" si="0"/>
        <v>2.25</v>
      </c>
      <c r="J115" s="2"/>
      <c r="K115" s="2"/>
      <c r="L115" s="2"/>
      <c r="M115" s="2"/>
      <c r="N115" s="20"/>
      <c r="O115" s="2"/>
      <c r="P115" s="2"/>
    </row>
    <row r="116" spans="1:16" ht="14.25" customHeight="1" x14ac:dyDescent="0.35">
      <c r="A116" s="13">
        <v>44606</v>
      </c>
      <c r="B116" s="109">
        <f>B113+7</f>
        <v>257</v>
      </c>
      <c r="C116" s="129" t="s">
        <v>42</v>
      </c>
      <c r="D116" s="91" t="s">
        <v>65</v>
      </c>
      <c r="E116" s="5">
        <v>73</v>
      </c>
      <c r="F116" s="5">
        <v>78</v>
      </c>
      <c r="G116" s="5">
        <v>114</v>
      </c>
      <c r="H116" s="5">
        <v>73</v>
      </c>
      <c r="I116" s="2">
        <f t="shared" si="0"/>
        <v>84.5</v>
      </c>
      <c r="J116" s="2">
        <f>I116*2*10000</f>
        <v>1690000</v>
      </c>
      <c r="K116" s="2">
        <v>3000000</v>
      </c>
      <c r="L116" s="2">
        <f>J116*5</f>
        <v>8450000</v>
      </c>
      <c r="M116" s="3">
        <f>I116/(I116+I117)*100</f>
        <v>99.411764705882348</v>
      </c>
      <c r="N116" s="22">
        <f>I118/I116*100</f>
        <v>3.2544378698224854</v>
      </c>
      <c r="O116" s="4">
        <f>3.32*(LOG(L116)-LOG(K116))</f>
        <v>1.4931217080436996</v>
      </c>
      <c r="P116" s="4">
        <f>IF(O116&lt;0,P113,P113+O116)</f>
        <v>31.031950981823766</v>
      </c>
    </row>
    <row r="117" spans="1:16" ht="14.25" customHeight="1" x14ac:dyDescent="0.35">
      <c r="A117" s="2"/>
      <c r="B117" s="109"/>
      <c r="C117" s="129"/>
      <c r="D117" s="92" t="s">
        <v>66</v>
      </c>
      <c r="E117" s="5">
        <v>0</v>
      </c>
      <c r="F117" s="5">
        <v>1</v>
      </c>
      <c r="G117" s="5">
        <v>0</v>
      </c>
      <c r="H117" s="5">
        <v>1</v>
      </c>
      <c r="I117" s="2">
        <f t="shared" si="0"/>
        <v>0.5</v>
      </c>
      <c r="J117" s="2"/>
      <c r="K117" s="2"/>
      <c r="L117" s="2"/>
      <c r="M117" s="2"/>
      <c r="N117" s="20"/>
      <c r="O117" s="2"/>
      <c r="P117" s="2"/>
    </row>
    <row r="118" spans="1:16" ht="14.25" customHeight="1" x14ac:dyDescent="0.35">
      <c r="A118" s="2"/>
      <c r="B118" s="109"/>
      <c r="C118" s="129"/>
      <c r="D118" s="92" t="s">
        <v>67</v>
      </c>
      <c r="E118" s="5">
        <v>1</v>
      </c>
      <c r="F118" s="5">
        <v>5</v>
      </c>
      <c r="G118" s="5">
        <v>3</v>
      </c>
      <c r="H118" s="5">
        <v>2</v>
      </c>
      <c r="I118" s="2">
        <f t="shared" si="0"/>
        <v>2.75</v>
      </c>
      <c r="J118" s="2"/>
      <c r="K118" s="2"/>
      <c r="L118" s="2"/>
      <c r="M118" s="2"/>
      <c r="N118" s="20"/>
      <c r="O118" s="2"/>
      <c r="P118" s="2"/>
    </row>
    <row r="119" spans="1:16" ht="14.25" customHeight="1" x14ac:dyDescent="0.35">
      <c r="A119" s="13">
        <v>44614</v>
      </c>
      <c r="B119" s="109">
        <f>B116+7</f>
        <v>264</v>
      </c>
      <c r="C119" s="129" t="s">
        <v>42</v>
      </c>
      <c r="D119" s="91" t="s">
        <v>65</v>
      </c>
      <c r="E119" s="5">
        <v>62</v>
      </c>
      <c r="F119" s="5">
        <v>76</v>
      </c>
      <c r="G119" s="5">
        <v>85</v>
      </c>
      <c r="H119" s="5">
        <v>79</v>
      </c>
      <c r="I119" s="2">
        <f t="shared" si="0"/>
        <v>75.5</v>
      </c>
      <c r="J119" s="2">
        <f>I119*2*10000</f>
        <v>1510000</v>
      </c>
      <c r="K119" s="2">
        <v>3000000</v>
      </c>
      <c r="L119" s="2">
        <f>J119*5</f>
        <v>7550000</v>
      </c>
      <c r="M119" s="3">
        <f>I119/(I119+I120)*100</f>
        <v>99.669966996699671</v>
      </c>
      <c r="N119" s="22">
        <f>I121/I119*100</f>
        <v>0.66225165562913912</v>
      </c>
      <c r="O119" s="4">
        <f>3.32*(LOG(L119)-LOG(K119))</f>
        <v>1.3307413137396258</v>
      </c>
      <c r="P119" s="4">
        <f>IF(O119&lt;0,P116,P116+O119)</f>
        <v>32.362692295563392</v>
      </c>
    </row>
    <row r="120" spans="1:16" ht="14.25" customHeight="1" x14ac:dyDescent="0.35">
      <c r="A120" s="2"/>
      <c r="B120" s="109"/>
      <c r="C120" s="129"/>
      <c r="D120" s="92" t="s">
        <v>66</v>
      </c>
      <c r="E120" s="5">
        <v>0</v>
      </c>
      <c r="F120" s="5">
        <v>1</v>
      </c>
      <c r="G120" s="5">
        <v>0</v>
      </c>
      <c r="H120" s="5">
        <v>0</v>
      </c>
      <c r="I120" s="2">
        <f t="shared" si="0"/>
        <v>0.25</v>
      </c>
      <c r="J120" s="2"/>
      <c r="K120" s="2"/>
      <c r="L120" s="2"/>
      <c r="M120" s="2"/>
      <c r="N120" s="20"/>
      <c r="O120" s="2"/>
      <c r="P120" s="2"/>
    </row>
    <row r="121" spans="1:16" ht="14.25" customHeight="1" x14ac:dyDescent="0.35">
      <c r="A121" s="2"/>
      <c r="B121" s="109"/>
      <c r="C121" s="129"/>
      <c r="D121" s="92" t="s">
        <v>67</v>
      </c>
      <c r="E121" s="5">
        <v>2</v>
      </c>
      <c r="F121" s="5">
        <v>0</v>
      </c>
      <c r="G121" s="5">
        <v>0</v>
      </c>
      <c r="H121" s="5">
        <v>0</v>
      </c>
      <c r="I121" s="2">
        <f t="shared" si="0"/>
        <v>0.5</v>
      </c>
      <c r="J121" s="2"/>
      <c r="K121" s="2"/>
      <c r="L121" s="2"/>
      <c r="M121" s="2"/>
      <c r="N121" s="20"/>
      <c r="O121" s="2"/>
      <c r="P121" s="2"/>
    </row>
    <row r="122" spans="1:16" ht="14.25" customHeight="1" x14ac:dyDescent="0.35">
      <c r="A122" s="13">
        <v>44620</v>
      </c>
      <c r="B122" s="109">
        <f>B119+6</f>
        <v>270</v>
      </c>
      <c r="C122" s="129" t="s">
        <v>42</v>
      </c>
      <c r="D122" s="91" t="s">
        <v>65</v>
      </c>
      <c r="E122" s="5">
        <v>41</v>
      </c>
      <c r="F122" s="5">
        <v>54</v>
      </c>
      <c r="G122" s="5">
        <v>48</v>
      </c>
      <c r="H122" s="5">
        <v>55</v>
      </c>
      <c r="I122" s="2">
        <f t="shared" si="0"/>
        <v>49.5</v>
      </c>
      <c r="J122" s="2">
        <f>I122*2*10000</f>
        <v>990000</v>
      </c>
      <c r="K122" s="2">
        <v>3000000</v>
      </c>
      <c r="L122" s="2">
        <f>J122*5</f>
        <v>4950000</v>
      </c>
      <c r="M122" s="3">
        <f>I122/(I122+I123)*100</f>
        <v>99.497487437185924</v>
      </c>
      <c r="N122" s="22">
        <f>I124/I122*100</f>
        <v>0.50505050505050508</v>
      </c>
      <c r="O122" s="4">
        <f>3.32*(LOG(L122)-LOG(K122))</f>
        <v>0.72204669479016725</v>
      </c>
      <c r="P122" s="4">
        <f>IF(O122&lt;0,P119,P119+O122)</f>
        <v>33.084738990353557</v>
      </c>
    </row>
    <row r="123" spans="1:16" ht="14.25" customHeight="1" x14ac:dyDescent="0.35">
      <c r="A123" s="2"/>
      <c r="B123" s="109"/>
      <c r="C123" s="129"/>
      <c r="D123" s="92" t="s">
        <v>66</v>
      </c>
      <c r="E123" s="5">
        <v>0</v>
      </c>
      <c r="F123" s="5">
        <v>0</v>
      </c>
      <c r="G123" s="5">
        <v>1</v>
      </c>
      <c r="H123" s="5">
        <v>0</v>
      </c>
      <c r="I123" s="2">
        <f t="shared" si="0"/>
        <v>0.25</v>
      </c>
      <c r="J123" s="2"/>
      <c r="K123" s="2"/>
      <c r="L123" s="2"/>
      <c r="M123" s="2"/>
      <c r="N123" s="20"/>
      <c r="O123" s="2"/>
      <c r="P123" s="2"/>
    </row>
    <row r="124" spans="1:16" ht="14.25" customHeight="1" x14ac:dyDescent="0.35">
      <c r="A124" s="2"/>
      <c r="B124" s="109"/>
      <c r="C124" s="129"/>
      <c r="D124" s="92" t="s">
        <v>67</v>
      </c>
      <c r="E124" s="5">
        <v>0</v>
      </c>
      <c r="F124" s="5">
        <v>0</v>
      </c>
      <c r="G124" s="5">
        <v>1</v>
      </c>
      <c r="H124" s="5">
        <v>0</v>
      </c>
      <c r="I124" s="2">
        <f t="shared" si="0"/>
        <v>0.25</v>
      </c>
      <c r="J124" s="2"/>
      <c r="K124" s="2"/>
      <c r="L124" s="2"/>
      <c r="M124" s="2"/>
      <c r="N124" s="20"/>
      <c r="O124" s="2"/>
      <c r="P124" s="2"/>
    </row>
    <row r="125" spans="1:16" ht="14.25" customHeight="1" x14ac:dyDescent="0.35">
      <c r="A125" s="13">
        <v>44627</v>
      </c>
      <c r="B125" s="109">
        <f>B122+7</f>
        <v>277</v>
      </c>
      <c r="C125" s="129" t="s">
        <v>42</v>
      </c>
      <c r="D125" s="91" t="s">
        <v>65</v>
      </c>
      <c r="E125" s="5">
        <v>72</v>
      </c>
      <c r="F125" s="5">
        <v>65</v>
      </c>
      <c r="G125" s="5">
        <v>54</v>
      </c>
      <c r="H125" s="5">
        <v>80</v>
      </c>
      <c r="I125" s="2">
        <f t="shared" si="0"/>
        <v>67.75</v>
      </c>
      <c r="J125" s="2">
        <f>I125*2*10000</f>
        <v>1355000</v>
      </c>
      <c r="K125" s="2">
        <v>3000000</v>
      </c>
      <c r="L125" s="2">
        <f>J125*5</f>
        <v>6775000</v>
      </c>
      <c r="M125" s="3">
        <f>I125/(I125+I126)*100</f>
        <v>98.905109489051085</v>
      </c>
      <c r="N125" s="22">
        <f>I127/I125*100</f>
        <v>0</v>
      </c>
      <c r="O125" s="4">
        <f>3.32*(LOG(L125)-LOG(K125))</f>
        <v>1.1745763088249135</v>
      </c>
      <c r="P125" s="4">
        <f>IF(O125&lt;0,P122,P122+O125)</f>
        <v>34.259315299178468</v>
      </c>
    </row>
    <row r="126" spans="1:16" ht="14.25" customHeight="1" x14ac:dyDescent="0.35">
      <c r="A126" s="2"/>
      <c r="B126" s="109"/>
      <c r="C126" s="129"/>
      <c r="D126" s="92" t="s">
        <v>66</v>
      </c>
      <c r="E126" s="5">
        <v>2</v>
      </c>
      <c r="F126" s="5">
        <v>0</v>
      </c>
      <c r="G126" s="5">
        <v>0</v>
      </c>
      <c r="H126" s="5">
        <v>1</v>
      </c>
      <c r="I126" s="2">
        <f t="shared" si="0"/>
        <v>0.75</v>
      </c>
      <c r="J126" s="2"/>
      <c r="K126" s="2"/>
      <c r="L126" s="2"/>
      <c r="M126" s="2"/>
      <c r="N126" s="20"/>
      <c r="O126" s="2"/>
      <c r="P126" s="2"/>
    </row>
    <row r="127" spans="1:16" ht="14.25" customHeight="1" x14ac:dyDescent="0.35">
      <c r="A127" s="2"/>
      <c r="B127" s="109"/>
      <c r="C127" s="129"/>
      <c r="D127" s="92" t="s">
        <v>67</v>
      </c>
      <c r="E127" s="5">
        <v>0</v>
      </c>
      <c r="F127" s="5">
        <v>0</v>
      </c>
      <c r="G127" s="5">
        <v>0</v>
      </c>
      <c r="H127" s="5">
        <v>0</v>
      </c>
      <c r="I127" s="2">
        <f t="shared" si="0"/>
        <v>0</v>
      </c>
      <c r="J127" s="2"/>
      <c r="K127" s="2"/>
      <c r="L127" s="2"/>
      <c r="M127" s="2"/>
      <c r="N127" s="20"/>
      <c r="O127" s="2"/>
      <c r="P127" s="2"/>
    </row>
    <row r="128" spans="1:16" ht="14.25" customHeight="1" x14ac:dyDescent="0.35">
      <c r="A128" s="13">
        <v>44634</v>
      </c>
      <c r="B128" s="109">
        <f>B125+7</f>
        <v>284</v>
      </c>
      <c r="C128" s="129" t="s">
        <v>42</v>
      </c>
      <c r="D128" s="91" t="s">
        <v>65</v>
      </c>
      <c r="E128" s="5">
        <f>61*4</f>
        <v>244</v>
      </c>
      <c r="F128" s="5">
        <f>56*4</f>
        <v>224</v>
      </c>
      <c r="G128" s="5">
        <f>58*4</f>
        <v>232</v>
      </c>
      <c r="H128" s="5">
        <f>73*4</f>
        <v>292</v>
      </c>
      <c r="I128" s="2">
        <f t="shared" si="0"/>
        <v>248</v>
      </c>
      <c r="J128" s="2">
        <f>I128*2*10000</f>
        <v>4960000</v>
      </c>
      <c r="K128" s="2">
        <f>$K$125</f>
        <v>3000000</v>
      </c>
      <c r="L128" s="2">
        <f>J128*5</f>
        <v>24800000</v>
      </c>
      <c r="M128" s="3">
        <f>I128/(I128+I129)*100</f>
        <v>98.412698412698404</v>
      </c>
      <c r="N128" s="22">
        <f>I130/I128*100</f>
        <v>0</v>
      </c>
      <c r="O128" s="4">
        <f>3.32*(LOG(L128)-LOG(K128))</f>
        <v>3.0455370146737568</v>
      </c>
      <c r="P128" s="4">
        <f>IF(O128&lt;0,P125,P125+O128)</f>
        <v>37.304852313852223</v>
      </c>
    </row>
    <row r="129" spans="1:16" ht="14.25" customHeight="1" x14ac:dyDescent="0.35">
      <c r="A129" s="2"/>
      <c r="B129" s="109"/>
      <c r="C129" s="129"/>
      <c r="D129" s="92" t="s">
        <v>66</v>
      </c>
      <c r="E129" s="5">
        <f t="shared" ref="E129:H129" si="1">1*4</f>
        <v>4</v>
      </c>
      <c r="F129" s="5">
        <f t="shared" si="1"/>
        <v>4</v>
      </c>
      <c r="G129" s="5">
        <f t="shared" si="1"/>
        <v>4</v>
      </c>
      <c r="H129" s="5">
        <f t="shared" si="1"/>
        <v>4</v>
      </c>
      <c r="I129" s="2">
        <f t="shared" si="0"/>
        <v>4</v>
      </c>
      <c r="J129" s="2"/>
      <c r="K129" s="2"/>
      <c r="L129" s="2"/>
      <c r="M129" s="2"/>
      <c r="N129" s="20"/>
      <c r="O129" s="2"/>
      <c r="P129" s="2"/>
    </row>
    <row r="130" spans="1:16" ht="14.25" customHeight="1" x14ac:dyDescent="0.35">
      <c r="A130" s="2"/>
      <c r="B130" s="109"/>
      <c r="C130" s="129"/>
      <c r="D130" s="92" t="s">
        <v>67</v>
      </c>
      <c r="E130" s="5">
        <v>0</v>
      </c>
      <c r="F130" s="5">
        <v>0</v>
      </c>
      <c r="G130" s="5">
        <v>0</v>
      </c>
      <c r="H130" s="5">
        <v>0</v>
      </c>
      <c r="I130" s="2">
        <f t="shared" si="0"/>
        <v>0</v>
      </c>
      <c r="J130" s="2"/>
      <c r="K130" s="2"/>
      <c r="L130" s="2"/>
      <c r="M130" s="2"/>
      <c r="N130" s="20"/>
      <c r="O130" s="2"/>
      <c r="P130" s="2"/>
    </row>
    <row r="131" spans="1:16" ht="14.25" customHeight="1" x14ac:dyDescent="0.35">
      <c r="A131" s="13">
        <v>44642</v>
      </c>
      <c r="B131" s="109">
        <f>B128+7</f>
        <v>291</v>
      </c>
      <c r="C131" s="129" t="s">
        <v>42</v>
      </c>
      <c r="D131" s="91" t="s">
        <v>65</v>
      </c>
      <c r="E131" s="5">
        <f>76*4</f>
        <v>304</v>
      </c>
      <c r="F131" s="5">
        <f>88*4</f>
        <v>352</v>
      </c>
      <c r="G131" s="5">
        <f>73*4</f>
        <v>292</v>
      </c>
      <c r="H131" s="5">
        <f>69*4</f>
        <v>276</v>
      </c>
      <c r="I131" s="2">
        <f t="shared" si="0"/>
        <v>306</v>
      </c>
      <c r="J131" s="2">
        <f>I131*2*10000</f>
        <v>6120000</v>
      </c>
      <c r="K131" s="2">
        <f>$K$125</f>
        <v>3000000</v>
      </c>
      <c r="L131" s="2">
        <f>J131*5</f>
        <v>30600000</v>
      </c>
      <c r="M131" s="3">
        <f>I131/(I131+I132)*100</f>
        <v>98.39228295819936</v>
      </c>
      <c r="N131" s="22">
        <f>I133/I131*100</f>
        <v>0</v>
      </c>
      <c r="O131" s="4">
        <f>3.32*(LOG(L131)-LOG(K131))</f>
        <v>3.3485525702495647</v>
      </c>
      <c r="P131" s="4">
        <f>IF(O131&lt;0,P128,P128+O131)</f>
        <v>40.653404884101789</v>
      </c>
    </row>
    <row r="132" spans="1:16" ht="14.25" customHeight="1" x14ac:dyDescent="0.35">
      <c r="A132" s="2"/>
      <c r="B132" s="109"/>
      <c r="C132" s="129"/>
      <c r="D132" s="92" t="s">
        <v>66</v>
      </c>
      <c r="E132" s="5">
        <f>1*4</f>
        <v>4</v>
      </c>
      <c r="F132" s="5">
        <v>0</v>
      </c>
      <c r="G132" s="5">
        <f t="shared" ref="G132:H132" si="2">2*4</f>
        <v>8</v>
      </c>
      <c r="H132" s="5">
        <f t="shared" si="2"/>
        <v>8</v>
      </c>
      <c r="I132" s="2">
        <f t="shared" si="0"/>
        <v>5</v>
      </c>
      <c r="J132" s="2"/>
      <c r="K132" s="2"/>
      <c r="L132" s="2"/>
      <c r="M132" s="2"/>
      <c r="N132" s="20"/>
      <c r="O132" s="2"/>
      <c r="P132" s="2"/>
    </row>
    <row r="133" spans="1:16" ht="14.25" customHeight="1" x14ac:dyDescent="0.35">
      <c r="A133" s="2"/>
      <c r="B133" s="109"/>
      <c r="C133" s="129"/>
      <c r="D133" s="92" t="s">
        <v>67</v>
      </c>
      <c r="E133" s="5">
        <v>0</v>
      </c>
      <c r="F133" s="5">
        <v>0</v>
      </c>
      <c r="G133" s="5">
        <v>0</v>
      </c>
      <c r="H133" s="5">
        <v>0</v>
      </c>
      <c r="I133" s="2">
        <f t="shared" si="0"/>
        <v>0</v>
      </c>
      <c r="J133" s="2"/>
      <c r="K133" s="2"/>
      <c r="L133" s="2"/>
      <c r="M133" s="2"/>
      <c r="N133" s="20"/>
      <c r="O133" s="2"/>
      <c r="P133" s="2"/>
    </row>
    <row r="134" spans="1:16" ht="14.25" customHeight="1" x14ac:dyDescent="0.35">
      <c r="A134" s="13">
        <v>44649</v>
      </c>
      <c r="B134" s="109">
        <f>B131+8</f>
        <v>299</v>
      </c>
      <c r="C134" s="129" t="str">
        <f>$C$125</f>
        <v>10% FBS R1</v>
      </c>
      <c r="D134" s="91" t="s">
        <v>65</v>
      </c>
      <c r="E134" s="5">
        <v>117</v>
      </c>
      <c r="F134" s="5">
        <v>125</v>
      </c>
      <c r="G134" s="5">
        <v>112</v>
      </c>
      <c r="H134" s="5">
        <v>158</v>
      </c>
      <c r="I134" s="2">
        <f t="shared" si="0"/>
        <v>128</v>
      </c>
      <c r="J134" s="2">
        <f>I134*2*10000</f>
        <v>2560000</v>
      </c>
      <c r="K134" s="2">
        <f>$K$125</f>
        <v>3000000</v>
      </c>
      <c r="L134" s="2">
        <f>J134*5</f>
        <v>12800000</v>
      </c>
      <c r="M134" s="3">
        <f>I134/(I134+I135)*100</f>
        <v>96.786389413988658</v>
      </c>
      <c r="N134" s="22">
        <f>I136/I134*100</f>
        <v>0</v>
      </c>
      <c r="O134" s="4">
        <f>3.32*(LOG(L134)-LOG(K134))</f>
        <v>2.0918945335616446</v>
      </c>
      <c r="P134" s="4">
        <f>IF(O134&lt;0,P131,P131+O134)</f>
        <v>42.745299417663432</v>
      </c>
    </row>
    <row r="135" spans="1:16" ht="14.25" customHeight="1" x14ac:dyDescent="0.35">
      <c r="A135" s="2"/>
      <c r="B135" s="109"/>
      <c r="C135" s="129"/>
      <c r="D135" s="92" t="s">
        <v>66</v>
      </c>
      <c r="E135" s="5">
        <v>3</v>
      </c>
      <c r="F135" s="5">
        <v>7</v>
      </c>
      <c r="G135" s="5">
        <v>4</v>
      </c>
      <c r="H135" s="5">
        <v>3</v>
      </c>
      <c r="I135" s="2">
        <f t="shared" si="0"/>
        <v>4.25</v>
      </c>
      <c r="J135" s="2"/>
      <c r="K135" s="2"/>
      <c r="L135" s="2"/>
      <c r="M135" s="2"/>
      <c r="N135" s="20"/>
      <c r="O135" s="2"/>
      <c r="P135" s="2"/>
    </row>
    <row r="136" spans="1:16" ht="14.25" customHeight="1" x14ac:dyDescent="0.35">
      <c r="A136" s="2"/>
      <c r="B136" s="109"/>
      <c r="C136" s="129"/>
      <c r="D136" s="92" t="s">
        <v>67</v>
      </c>
      <c r="E136" s="5">
        <v>0</v>
      </c>
      <c r="F136" s="5">
        <v>0</v>
      </c>
      <c r="G136" s="5">
        <v>0</v>
      </c>
      <c r="H136" s="5">
        <v>0</v>
      </c>
      <c r="I136" s="2">
        <f t="shared" si="0"/>
        <v>0</v>
      </c>
      <c r="J136" s="2"/>
      <c r="K136" s="2"/>
      <c r="L136" s="2"/>
      <c r="M136" s="2"/>
      <c r="N136" s="20"/>
      <c r="O136" s="2"/>
      <c r="P136" s="2"/>
    </row>
    <row r="137" spans="1:16" ht="14.25" customHeight="1" x14ac:dyDescent="0.35">
      <c r="A137" s="13">
        <v>44653</v>
      </c>
      <c r="B137" s="109">
        <f>B134+7</f>
        <v>306</v>
      </c>
      <c r="C137" s="129" t="str">
        <f>$C$125</f>
        <v>10% FBS R1</v>
      </c>
      <c r="D137" s="91" t="s">
        <v>65</v>
      </c>
      <c r="E137" s="5">
        <v>127</v>
      </c>
      <c r="F137" s="5">
        <v>121</v>
      </c>
      <c r="G137" s="5">
        <v>137</v>
      </c>
      <c r="H137" s="5">
        <v>101</v>
      </c>
      <c r="I137" s="2">
        <f t="shared" si="0"/>
        <v>121.5</v>
      </c>
      <c r="J137" s="2">
        <f>I137*2*10000</f>
        <v>2430000</v>
      </c>
      <c r="K137" s="2">
        <f>$K$125</f>
        <v>3000000</v>
      </c>
      <c r="L137" s="2">
        <f>J137*5</f>
        <v>12150000</v>
      </c>
      <c r="M137" s="3">
        <f>I137/(I137+I138)*100</f>
        <v>98.181818181818187</v>
      </c>
      <c r="N137" s="22">
        <f>I139/I137*100</f>
        <v>0.20576131687242799</v>
      </c>
      <c r="O137" s="4">
        <f>3.32*(LOG(L137)-LOG(K137))</f>
        <v>2.0167506770726984</v>
      </c>
      <c r="P137" s="4">
        <f>IF(O137&lt;0,P134,P134+O137)</f>
        <v>44.762050094736132</v>
      </c>
    </row>
    <row r="138" spans="1:16" ht="14.25" customHeight="1" x14ac:dyDescent="0.35">
      <c r="A138" s="2"/>
      <c r="B138" s="109"/>
      <c r="C138" s="129"/>
      <c r="D138" s="92" t="s">
        <v>66</v>
      </c>
      <c r="E138" s="5">
        <v>1</v>
      </c>
      <c r="F138" s="5">
        <v>1</v>
      </c>
      <c r="G138" s="5">
        <v>4</v>
      </c>
      <c r="H138" s="5">
        <v>3</v>
      </c>
      <c r="I138" s="2">
        <f t="shared" si="0"/>
        <v>2.25</v>
      </c>
      <c r="J138" s="2"/>
      <c r="K138" s="2"/>
      <c r="L138" s="2"/>
      <c r="M138" s="2"/>
      <c r="N138" s="20"/>
      <c r="O138" s="2"/>
      <c r="P138" s="2"/>
    </row>
    <row r="139" spans="1:16" ht="14.25" customHeight="1" x14ac:dyDescent="0.35">
      <c r="A139" s="2"/>
      <c r="B139" s="109"/>
      <c r="C139" s="129"/>
      <c r="D139" s="92" t="s">
        <v>67</v>
      </c>
      <c r="E139" s="5">
        <v>0</v>
      </c>
      <c r="F139" s="5">
        <v>1</v>
      </c>
      <c r="G139" s="5">
        <v>0</v>
      </c>
      <c r="H139" s="5">
        <v>0</v>
      </c>
      <c r="I139" s="2">
        <f t="shared" si="0"/>
        <v>0.25</v>
      </c>
      <c r="J139" s="2"/>
      <c r="K139" s="2"/>
      <c r="L139" s="2"/>
      <c r="M139" s="2"/>
      <c r="N139" s="20"/>
      <c r="O139" s="2"/>
      <c r="P139" s="2"/>
    </row>
    <row r="140" spans="1:16" ht="14.25" customHeight="1" x14ac:dyDescent="0.35">
      <c r="A140" s="13">
        <v>44662</v>
      </c>
      <c r="B140" s="109">
        <f>B137+7</f>
        <v>313</v>
      </c>
      <c r="C140" s="129" t="str">
        <f>$C$125</f>
        <v>10% FBS R1</v>
      </c>
      <c r="D140" s="91" t="s">
        <v>65</v>
      </c>
      <c r="E140" s="5">
        <v>93</v>
      </c>
      <c r="F140" s="5">
        <v>80</v>
      </c>
      <c r="G140" s="5">
        <v>94</v>
      </c>
      <c r="H140" s="5">
        <v>89</v>
      </c>
      <c r="I140" s="2">
        <f t="shared" si="0"/>
        <v>89</v>
      </c>
      <c r="J140" s="2">
        <f>I140*2*10000</f>
        <v>1780000</v>
      </c>
      <c r="K140" s="2">
        <f>$K$125</f>
        <v>3000000</v>
      </c>
      <c r="L140" s="2">
        <f>J140*5</f>
        <v>8900000</v>
      </c>
      <c r="M140" s="3">
        <f>I140/(I140+I141)*100</f>
        <v>97.534246575342465</v>
      </c>
      <c r="N140" s="22">
        <f>I142/I140*100</f>
        <v>0.2808988764044944</v>
      </c>
      <c r="O140" s="4">
        <f>3.32*(LOG(L140)-LOG(K140))</f>
        <v>1.5679322563918292</v>
      </c>
      <c r="P140" s="4">
        <f>IF(O140&lt;0,P137,P137+O140)</f>
        <v>46.32998235112796</v>
      </c>
    </row>
    <row r="141" spans="1:16" ht="14.25" customHeight="1" x14ac:dyDescent="0.35">
      <c r="A141" s="2"/>
      <c r="B141" s="109"/>
      <c r="C141" s="129"/>
      <c r="D141" s="92" t="s">
        <v>66</v>
      </c>
      <c r="E141" s="5">
        <v>1</v>
      </c>
      <c r="F141" s="5">
        <v>1</v>
      </c>
      <c r="G141" s="5">
        <v>1</v>
      </c>
      <c r="H141" s="5">
        <v>6</v>
      </c>
      <c r="I141" s="2">
        <f t="shared" si="0"/>
        <v>2.25</v>
      </c>
      <c r="J141" s="2"/>
      <c r="K141" s="2"/>
      <c r="L141" s="2"/>
      <c r="M141" s="2"/>
      <c r="N141" s="20"/>
      <c r="O141" s="2"/>
      <c r="P141" s="2"/>
    </row>
    <row r="142" spans="1:16" ht="14.25" customHeight="1" x14ac:dyDescent="0.35">
      <c r="A142" s="2"/>
      <c r="B142" s="109"/>
      <c r="C142" s="129"/>
      <c r="D142" s="92" t="s">
        <v>67</v>
      </c>
      <c r="E142" s="5">
        <v>0</v>
      </c>
      <c r="F142" s="5">
        <v>0</v>
      </c>
      <c r="G142" s="5">
        <v>1</v>
      </c>
      <c r="H142" s="5">
        <v>0</v>
      </c>
      <c r="I142" s="2">
        <f t="shared" si="0"/>
        <v>0.25</v>
      </c>
      <c r="J142" s="2"/>
      <c r="K142" s="2"/>
      <c r="L142" s="2"/>
      <c r="M142" s="2"/>
      <c r="N142" s="20"/>
      <c r="O142" s="2"/>
      <c r="P142" s="2"/>
    </row>
    <row r="143" spans="1:16" ht="14.25" customHeight="1" x14ac:dyDescent="0.35">
      <c r="A143" s="13">
        <v>44669</v>
      </c>
      <c r="B143" s="109">
        <f>B140+7</f>
        <v>320</v>
      </c>
      <c r="C143" s="129" t="str">
        <f>$C$125</f>
        <v>10% FBS R1</v>
      </c>
      <c r="D143" s="91" t="s">
        <v>65</v>
      </c>
      <c r="E143" s="5">
        <f t="shared" ref="E143:F143" si="3">72*4</f>
        <v>288</v>
      </c>
      <c r="F143" s="5">
        <f t="shared" si="3"/>
        <v>288</v>
      </c>
      <c r="G143" s="5">
        <f>52*4</f>
        <v>208</v>
      </c>
      <c r="H143" s="5">
        <f>59*4</f>
        <v>236</v>
      </c>
      <c r="I143" s="2">
        <f t="shared" si="0"/>
        <v>255</v>
      </c>
      <c r="J143" s="2">
        <f>I143*2*10000</f>
        <v>5100000</v>
      </c>
      <c r="K143" s="2">
        <f>$K$125</f>
        <v>3000000</v>
      </c>
      <c r="L143" s="2">
        <f>J143*5</f>
        <v>25500000</v>
      </c>
      <c r="M143" s="3">
        <f>I143/(I143+I144)*100</f>
        <v>91.72661870503596</v>
      </c>
      <c r="N143" s="22">
        <f>I145/I143*100</f>
        <v>0</v>
      </c>
      <c r="O143" s="4">
        <f>3.32*(LOG(L143)-LOG(K143))</f>
        <v>3.0856708333714522</v>
      </c>
      <c r="P143" s="4">
        <f>IF(O143&lt;0,P140,P140+O143)</f>
        <v>49.415653184499412</v>
      </c>
    </row>
    <row r="144" spans="1:16" ht="14.25" customHeight="1" x14ac:dyDescent="0.35">
      <c r="A144" s="2"/>
      <c r="B144" s="109"/>
      <c r="C144" s="129"/>
      <c r="D144" s="92" t="s">
        <v>66</v>
      </c>
      <c r="E144" s="5">
        <f>4*4</f>
        <v>16</v>
      </c>
      <c r="F144" s="5">
        <f>6*4</f>
        <v>24</v>
      </c>
      <c r="G144" s="5">
        <f>9*4</f>
        <v>36</v>
      </c>
      <c r="H144" s="5">
        <f>4*4</f>
        <v>16</v>
      </c>
      <c r="I144" s="2">
        <f t="shared" si="0"/>
        <v>23</v>
      </c>
      <c r="J144" s="2"/>
      <c r="K144" s="2"/>
      <c r="L144" s="2"/>
      <c r="M144" s="2"/>
      <c r="N144" s="20"/>
      <c r="O144" s="2"/>
      <c r="P144" s="2"/>
    </row>
    <row r="145" spans="1:17" ht="14.25" customHeight="1" x14ac:dyDescent="0.35">
      <c r="A145" s="2"/>
      <c r="B145" s="109"/>
      <c r="C145" s="129"/>
      <c r="D145" s="92" t="s">
        <v>67</v>
      </c>
      <c r="E145" s="5">
        <v>0</v>
      </c>
      <c r="F145" s="5">
        <v>0</v>
      </c>
      <c r="G145" s="5">
        <v>0</v>
      </c>
      <c r="H145" s="5">
        <v>0</v>
      </c>
      <c r="I145" s="2">
        <f t="shared" si="0"/>
        <v>0</v>
      </c>
      <c r="J145" s="2"/>
      <c r="K145" s="2"/>
      <c r="L145" s="2"/>
      <c r="M145" s="2"/>
      <c r="N145" s="20"/>
      <c r="O145" s="2"/>
      <c r="P145" s="2"/>
    </row>
    <row r="146" spans="1:17" ht="14.25" customHeight="1" x14ac:dyDescent="0.35">
      <c r="A146" s="13">
        <v>44676</v>
      </c>
      <c r="B146" s="109">
        <f>B143+7</f>
        <v>327</v>
      </c>
      <c r="C146" s="129" t="str">
        <f>$C$125</f>
        <v>10% FBS R1</v>
      </c>
      <c r="D146" s="91" t="s">
        <v>65</v>
      </c>
      <c r="E146" s="5">
        <f>59*4</f>
        <v>236</v>
      </c>
      <c r="F146" s="5">
        <f>50*4</f>
        <v>200</v>
      </c>
      <c r="G146" s="5">
        <f>75*4</f>
        <v>300</v>
      </c>
      <c r="H146" s="5">
        <f>55*4</f>
        <v>220</v>
      </c>
      <c r="I146" s="2">
        <f t="shared" si="0"/>
        <v>239</v>
      </c>
      <c r="J146" s="2">
        <f>I146*2*10000</f>
        <v>4780000</v>
      </c>
      <c r="K146" s="2">
        <f>$K$125</f>
        <v>3000000</v>
      </c>
      <c r="L146" s="2">
        <f>J146*5</f>
        <v>23900000</v>
      </c>
      <c r="M146" s="3">
        <f>I146/(I146+I147)*100</f>
        <v>86.281588447653434</v>
      </c>
      <c r="N146" s="22">
        <f>I148/I146*100</f>
        <v>0.41841004184100417</v>
      </c>
      <c r="O146" s="4">
        <f>3.32*(LOG(L146)-LOG(K146))</f>
        <v>2.9922384654785379</v>
      </c>
      <c r="P146" s="4">
        <f>IF(O146&lt;0,P143,P143+O146)</f>
        <v>52.407891649977948</v>
      </c>
    </row>
    <row r="147" spans="1:17" ht="14.25" customHeight="1" x14ac:dyDescent="0.35">
      <c r="A147" s="2"/>
      <c r="B147" s="109"/>
      <c r="C147" s="129"/>
      <c r="D147" s="92" t="s">
        <v>66</v>
      </c>
      <c r="E147" s="5">
        <f>11*4</f>
        <v>44</v>
      </c>
      <c r="F147" s="5">
        <f>9*4</f>
        <v>36</v>
      </c>
      <c r="G147" s="5">
        <f>11*4</f>
        <v>44</v>
      </c>
      <c r="H147" s="5">
        <f>7*4</f>
        <v>28</v>
      </c>
      <c r="I147" s="2">
        <f t="shared" si="0"/>
        <v>38</v>
      </c>
      <c r="J147" s="2"/>
      <c r="K147" s="2"/>
      <c r="L147" s="2"/>
      <c r="M147" s="2"/>
      <c r="N147" s="20"/>
      <c r="O147" s="2"/>
      <c r="P147" s="2"/>
    </row>
    <row r="148" spans="1:17" ht="14.25" customHeight="1" x14ac:dyDescent="0.35">
      <c r="A148" s="2"/>
      <c r="B148" s="109"/>
      <c r="C148" s="129"/>
      <c r="D148" s="92" t="s">
        <v>67</v>
      </c>
      <c r="E148" s="5">
        <v>0</v>
      </c>
      <c r="F148" s="5">
        <v>0</v>
      </c>
      <c r="G148" s="5">
        <f>1*4</f>
        <v>4</v>
      </c>
      <c r="H148" s="5">
        <v>0</v>
      </c>
      <c r="I148" s="2">
        <f t="shared" si="0"/>
        <v>1</v>
      </c>
      <c r="J148" s="2"/>
      <c r="K148" s="2"/>
      <c r="L148" s="2"/>
      <c r="M148" s="2"/>
      <c r="N148" s="20"/>
      <c r="O148" s="2"/>
      <c r="P148" s="2"/>
    </row>
    <row r="149" spans="1:17" ht="14.25" customHeight="1" x14ac:dyDescent="0.35">
      <c r="A149" s="13">
        <v>44683</v>
      </c>
      <c r="B149" s="109">
        <f>B146+7</f>
        <v>334</v>
      </c>
      <c r="C149" s="129" t="str">
        <f>$C$125</f>
        <v>10% FBS R1</v>
      </c>
      <c r="D149" s="91" t="s">
        <v>65</v>
      </c>
      <c r="E149" s="5">
        <v>188</v>
      </c>
      <c r="F149" s="5">
        <v>201</v>
      </c>
      <c r="G149" s="5">
        <v>247</v>
      </c>
      <c r="H149" s="5">
        <v>212</v>
      </c>
      <c r="I149" s="2">
        <f t="shared" si="0"/>
        <v>212</v>
      </c>
      <c r="J149" s="15">
        <f>I149*5*10000</f>
        <v>10600000</v>
      </c>
      <c r="K149" s="2">
        <f>$K$125</f>
        <v>3000000</v>
      </c>
      <c r="L149" s="2">
        <f>J149*5</f>
        <v>53000000</v>
      </c>
      <c r="M149" s="3">
        <f>I149/(I149+I150)*100</f>
        <v>84.546360917248251</v>
      </c>
      <c r="N149" s="22">
        <f>I151/I149*100</f>
        <v>0</v>
      </c>
      <c r="O149" s="4">
        <f>3.32*(LOG(L149)-LOG(K149))</f>
        <v>4.1405533214053403</v>
      </c>
      <c r="P149" s="4">
        <f>IF(O149&lt;0,P146,P146+O149)</f>
        <v>56.54844497138329</v>
      </c>
      <c r="Q149" s="62" t="s">
        <v>52</v>
      </c>
    </row>
    <row r="150" spans="1:17" ht="14.25" customHeight="1" x14ac:dyDescent="0.35">
      <c r="A150" s="2"/>
      <c r="B150" s="109"/>
      <c r="C150" s="129"/>
      <c r="D150" s="92" t="s">
        <v>66</v>
      </c>
      <c r="E150" s="5">
        <v>43</v>
      </c>
      <c r="F150" s="5">
        <v>50</v>
      </c>
      <c r="G150" s="5">
        <v>32</v>
      </c>
      <c r="H150" s="5">
        <v>30</v>
      </c>
      <c r="I150" s="2">
        <f t="shared" si="0"/>
        <v>38.75</v>
      </c>
      <c r="J150" s="15"/>
      <c r="K150" s="2"/>
      <c r="L150" s="2"/>
      <c r="M150" s="2"/>
      <c r="N150" s="20"/>
      <c r="O150" s="2"/>
      <c r="P150" s="2"/>
    </row>
    <row r="151" spans="1:17" ht="14" customHeight="1" x14ac:dyDescent="0.35">
      <c r="A151" s="2"/>
      <c r="B151" s="109"/>
      <c r="C151" s="129"/>
      <c r="D151" s="92" t="s">
        <v>67</v>
      </c>
      <c r="E151" s="5">
        <v>0</v>
      </c>
      <c r="F151" s="5">
        <v>0</v>
      </c>
      <c r="G151" s="5">
        <v>0</v>
      </c>
      <c r="H151" s="5">
        <v>0</v>
      </c>
      <c r="I151" s="2">
        <f t="shared" si="0"/>
        <v>0</v>
      </c>
      <c r="J151" s="15"/>
      <c r="K151" s="2"/>
      <c r="L151" s="2"/>
      <c r="M151" s="2"/>
      <c r="N151" s="20"/>
      <c r="O151" s="2"/>
      <c r="P151" s="2"/>
    </row>
    <row r="152" spans="1:17" ht="14.25" customHeight="1" x14ac:dyDescent="0.35">
      <c r="A152" s="13">
        <v>44687</v>
      </c>
      <c r="B152" s="109">
        <f>B149+4</f>
        <v>338</v>
      </c>
      <c r="C152" s="129" t="str">
        <f>$C$125</f>
        <v>10% FBS R1</v>
      </c>
      <c r="D152" s="91" t="s">
        <v>65</v>
      </c>
      <c r="E152" s="5">
        <f>90*4</f>
        <v>360</v>
      </c>
      <c r="F152" s="5">
        <f>50*4</f>
        <v>200</v>
      </c>
      <c r="G152" s="5">
        <f>73*4</f>
        <v>292</v>
      </c>
      <c r="H152" s="5">
        <f>65*4</f>
        <v>260</v>
      </c>
      <c r="I152" s="2">
        <f t="shared" si="0"/>
        <v>278</v>
      </c>
      <c r="J152" s="15">
        <f>I152*5*10000</f>
        <v>13900000</v>
      </c>
      <c r="K152" s="2">
        <f>$K$125</f>
        <v>3000000</v>
      </c>
      <c r="L152" s="2">
        <f>J152*5</f>
        <v>69500000</v>
      </c>
      <c r="M152" s="3">
        <f>I152/(I152+I153)*100</f>
        <v>77.222222222222229</v>
      </c>
      <c r="N152" s="22">
        <f>I154/I152*100</f>
        <v>0</v>
      </c>
      <c r="O152" s="4">
        <f>3.32*(LOG(L152)-LOG(K152))</f>
        <v>4.5313469855698978</v>
      </c>
      <c r="P152" s="4">
        <f>IF(O152&lt;0,P149,P149+O152)</f>
        <v>61.079791956953187</v>
      </c>
    </row>
    <row r="153" spans="1:17" ht="14.25" customHeight="1" x14ac:dyDescent="0.35">
      <c r="A153" s="2"/>
      <c r="B153" s="109"/>
      <c r="C153" s="129"/>
      <c r="D153" s="92" t="s">
        <v>66</v>
      </c>
      <c r="E153" s="5">
        <f t="shared" ref="E153:F153" si="4">22*4</f>
        <v>88</v>
      </c>
      <c r="F153" s="5">
        <f t="shared" si="4"/>
        <v>88</v>
      </c>
      <c r="G153" s="5">
        <f>17*4</f>
        <v>68</v>
      </c>
      <c r="H153" s="5">
        <f>21*4</f>
        <v>84</v>
      </c>
      <c r="I153" s="2">
        <f t="shared" si="0"/>
        <v>82</v>
      </c>
      <c r="J153" s="15"/>
      <c r="K153" s="2"/>
      <c r="L153" s="2"/>
      <c r="M153" s="2"/>
      <c r="N153" s="20"/>
      <c r="O153" s="2"/>
      <c r="P153" s="2"/>
    </row>
    <row r="154" spans="1:17" ht="14.25" customHeight="1" x14ac:dyDescent="0.35">
      <c r="A154" s="2"/>
      <c r="B154" s="109"/>
      <c r="C154" s="129"/>
      <c r="D154" s="92" t="s">
        <v>67</v>
      </c>
      <c r="E154" s="5">
        <v>0</v>
      </c>
      <c r="F154" s="5">
        <v>0</v>
      </c>
      <c r="G154" s="5">
        <v>0</v>
      </c>
      <c r="H154" s="5">
        <v>0</v>
      </c>
      <c r="I154" s="2">
        <f t="shared" si="0"/>
        <v>0</v>
      </c>
      <c r="J154" s="15"/>
      <c r="K154" s="2"/>
      <c r="L154" s="2"/>
      <c r="M154" s="2"/>
      <c r="N154" s="20"/>
      <c r="O154" s="2"/>
      <c r="P154" s="2"/>
    </row>
    <row r="155" spans="1:17" ht="14.25" customHeight="1" x14ac:dyDescent="0.35">
      <c r="A155" s="13">
        <v>44692</v>
      </c>
      <c r="B155" s="109">
        <f>B149+9</f>
        <v>343</v>
      </c>
      <c r="C155" s="129" t="str">
        <f>$C$125</f>
        <v>10% FBS R1</v>
      </c>
      <c r="D155" s="91" t="s">
        <v>65</v>
      </c>
      <c r="E155" s="5">
        <v>150</v>
      </c>
      <c r="F155" s="5">
        <v>123</v>
      </c>
      <c r="G155" s="5">
        <v>136</v>
      </c>
      <c r="H155" s="5">
        <v>140</v>
      </c>
      <c r="I155" s="2">
        <f t="shared" si="0"/>
        <v>137.25</v>
      </c>
      <c r="J155" s="15">
        <f>I155*5*10000</f>
        <v>6862500</v>
      </c>
      <c r="K155" s="2">
        <f>$K$125</f>
        <v>3000000</v>
      </c>
      <c r="L155" s="2">
        <f>J155*5</f>
        <v>34312500</v>
      </c>
      <c r="M155" s="3">
        <f>I155/(I155+I156)*100</f>
        <v>94.818652849740943</v>
      </c>
      <c r="N155" s="22">
        <f>I157/I155*100</f>
        <v>0.72859744990892528</v>
      </c>
      <c r="O155" s="4">
        <f>3.32*(LOG(L155)-LOG(K155))</f>
        <v>3.5136592754873557</v>
      </c>
      <c r="P155" s="4">
        <f>IF(O155&lt;0,P152,P152+O155)</f>
        <v>64.593451232440543</v>
      </c>
    </row>
    <row r="156" spans="1:17" ht="14.25" customHeight="1" x14ac:dyDescent="0.35">
      <c r="A156" s="2"/>
      <c r="B156" s="109"/>
      <c r="C156" s="129"/>
      <c r="D156" s="92" t="s">
        <v>66</v>
      </c>
      <c r="E156" s="5">
        <v>7</v>
      </c>
      <c r="F156" s="5">
        <v>5</v>
      </c>
      <c r="G156" s="5">
        <v>10</v>
      </c>
      <c r="H156" s="5">
        <v>8</v>
      </c>
      <c r="I156" s="2">
        <f t="shared" si="0"/>
        <v>7.5</v>
      </c>
      <c r="J156" s="15"/>
      <c r="K156" s="2"/>
      <c r="L156" s="2"/>
      <c r="M156" s="2"/>
      <c r="N156" s="20"/>
      <c r="O156" s="2"/>
      <c r="P156" s="2"/>
    </row>
    <row r="157" spans="1:17" ht="14.25" customHeight="1" x14ac:dyDescent="0.35">
      <c r="A157" s="2"/>
      <c r="B157" s="109"/>
      <c r="C157" s="129"/>
      <c r="D157" s="92" t="s">
        <v>67</v>
      </c>
      <c r="E157" s="5">
        <v>0</v>
      </c>
      <c r="F157" s="5">
        <v>0</v>
      </c>
      <c r="G157" s="5">
        <v>0</v>
      </c>
      <c r="H157" s="5">
        <v>0</v>
      </c>
      <c r="I157" s="2">
        <v>1</v>
      </c>
      <c r="J157" s="15"/>
      <c r="K157" s="2"/>
      <c r="L157" s="2"/>
      <c r="M157" s="2"/>
      <c r="N157" s="20"/>
      <c r="O157" s="2"/>
      <c r="P157" s="2"/>
    </row>
    <row r="158" spans="1:17" ht="14.25" customHeight="1" x14ac:dyDescent="0.35">
      <c r="A158" s="13">
        <v>44697</v>
      </c>
      <c r="B158" s="109">
        <f>B155+5</f>
        <v>348</v>
      </c>
      <c r="C158" s="129" t="str">
        <f>$C$125</f>
        <v>10% FBS R1</v>
      </c>
      <c r="D158" s="91" t="s">
        <v>65</v>
      </c>
      <c r="E158" s="5">
        <v>87</v>
      </c>
      <c r="F158" s="5">
        <v>101</v>
      </c>
      <c r="G158" s="5">
        <v>58</v>
      </c>
      <c r="H158" s="5">
        <v>110</v>
      </c>
      <c r="I158" s="2">
        <f t="shared" ref="I158:I349" si="5">AVERAGE(E158:H158)</f>
        <v>89</v>
      </c>
      <c r="J158" s="15">
        <f>I158*5*10000</f>
        <v>4450000</v>
      </c>
      <c r="K158" s="2">
        <f>$K$125</f>
        <v>3000000</v>
      </c>
      <c r="L158" s="2">
        <f>J158*5</f>
        <v>22250000</v>
      </c>
      <c r="M158" s="3">
        <f>I158/(I158+I159)*100</f>
        <v>95.442359249329755</v>
      </c>
      <c r="N158" s="22">
        <f>I160/I158*100</f>
        <v>0</v>
      </c>
      <c r="O158" s="4">
        <f>3.32*(LOG(L158)-LOG(K158))</f>
        <v>2.8890930851829966</v>
      </c>
      <c r="P158" s="4">
        <f>IF(O158&lt;0,P155,P155+O158)</f>
        <v>67.482544317623535</v>
      </c>
    </row>
    <row r="159" spans="1:17" ht="14.25" customHeight="1" x14ac:dyDescent="0.35">
      <c r="A159" s="2"/>
      <c r="B159" s="109"/>
      <c r="C159" s="129"/>
      <c r="D159" s="92" t="s">
        <v>66</v>
      </c>
      <c r="E159" s="5">
        <v>5</v>
      </c>
      <c r="F159" s="5">
        <v>5</v>
      </c>
      <c r="G159" s="5">
        <v>5</v>
      </c>
      <c r="H159" s="5">
        <v>2</v>
      </c>
      <c r="I159" s="2">
        <f t="shared" si="5"/>
        <v>4.25</v>
      </c>
      <c r="J159" s="15"/>
      <c r="K159" s="2"/>
      <c r="L159" s="2"/>
      <c r="M159" s="2"/>
      <c r="N159" s="20"/>
      <c r="O159" s="2"/>
      <c r="P159" s="2"/>
    </row>
    <row r="160" spans="1:17" ht="14.25" customHeight="1" x14ac:dyDescent="0.35">
      <c r="A160" s="2"/>
      <c r="B160" s="109"/>
      <c r="C160" s="129"/>
      <c r="D160" s="92" t="s">
        <v>67</v>
      </c>
      <c r="E160" s="5">
        <v>0</v>
      </c>
      <c r="F160" s="5">
        <v>0</v>
      </c>
      <c r="G160" s="5">
        <v>0</v>
      </c>
      <c r="H160" s="5">
        <v>0</v>
      </c>
      <c r="I160" s="11">
        <f t="shared" si="5"/>
        <v>0</v>
      </c>
      <c r="J160" s="15"/>
      <c r="K160" s="2"/>
      <c r="L160" s="2"/>
      <c r="M160" s="2"/>
      <c r="N160" s="20"/>
      <c r="O160" s="2"/>
      <c r="P160" s="2"/>
    </row>
    <row r="161" spans="1:16" ht="14.25" customHeight="1" x14ac:dyDescent="0.35">
      <c r="A161" s="13">
        <v>44704</v>
      </c>
      <c r="B161" s="109">
        <f>B158+7</f>
        <v>355</v>
      </c>
      <c r="C161" s="129" t="str">
        <f>$C$125</f>
        <v>10% FBS R1</v>
      </c>
      <c r="D161" s="91" t="s">
        <v>65</v>
      </c>
      <c r="E161" s="5">
        <v>167</v>
      </c>
      <c r="F161" s="5">
        <v>146</v>
      </c>
      <c r="G161" s="5">
        <v>164</v>
      </c>
      <c r="H161" s="5">
        <v>198</v>
      </c>
      <c r="I161" s="11">
        <f t="shared" si="5"/>
        <v>168.75</v>
      </c>
      <c r="J161" s="15">
        <f>I161*5*10000</f>
        <v>8437500</v>
      </c>
      <c r="K161" s="2">
        <f>$K$125</f>
        <v>3000000</v>
      </c>
      <c r="L161" s="2">
        <f>J161*5</f>
        <v>42187500</v>
      </c>
      <c r="M161" s="3">
        <f>I161/(I161+I162)*100</f>
        <v>97.262247838616716</v>
      </c>
      <c r="N161" s="22">
        <f>I163/I161*100</f>
        <v>0.14814814814814814</v>
      </c>
      <c r="O161" s="4">
        <f>3.32*(LOG(L161)-LOG(K161))</f>
        <v>3.8115676177120528</v>
      </c>
      <c r="P161" s="4">
        <f>IF(O161&lt;0,P158,P158+O161)</f>
        <v>71.294111935335593</v>
      </c>
    </row>
    <row r="162" spans="1:16" ht="14.25" customHeight="1" x14ac:dyDescent="0.35">
      <c r="A162" s="2"/>
      <c r="B162" s="109"/>
      <c r="C162" s="129"/>
      <c r="D162" s="92" t="s">
        <v>66</v>
      </c>
      <c r="E162" s="5">
        <v>4</v>
      </c>
      <c r="F162" s="5">
        <v>5</v>
      </c>
      <c r="G162" s="5">
        <v>5</v>
      </c>
      <c r="H162" s="5">
        <v>5</v>
      </c>
      <c r="I162" s="11">
        <f t="shared" si="5"/>
        <v>4.75</v>
      </c>
      <c r="J162" s="15"/>
      <c r="K162" s="2"/>
      <c r="L162" s="2"/>
      <c r="M162" s="2"/>
      <c r="N162" s="20"/>
      <c r="O162" s="2"/>
      <c r="P162" s="2"/>
    </row>
    <row r="163" spans="1:16" ht="14.25" customHeight="1" x14ac:dyDescent="0.35">
      <c r="A163" s="2"/>
      <c r="B163" s="109"/>
      <c r="C163" s="129"/>
      <c r="D163" s="92" t="s">
        <v>67</v>
      </c>
      <c r="E163" s="5">
        <v>0</v>
      </c>
      <c r="F163" s="5">
        <v>0</v>
      </c>
      <c r="G163" s="5">
        <v>1</v>
      </c>
      <c r="H163" s="5">
        <v>0</v>
      </c>
      <c r="I163" s="11">
        <f t="shared" si="5"/>
        <v>0.25</v>
      </c>
      <c r="J163" s="15"/>
      <c r="K163" s="2"/>
      <c r="L163" s="2"/>
      <c r="M163" s="2"/>
      <c r="N163" s="20"/>
      <c r="O163" s="2"/>
      <c r="P163" s="2"/>
    </row>
    <row r="164" spans="1:16" ht="14.25" customHeight="1" x14ac:dyDescent="0.35">
      <c r="A164" s="13">
        <v>44712</v>
      </c>
      <c r="B164" s="109">
        <f>B161+8</f>
        <v>363</v>
      </c>
      <c r="C164" s="129" t="str">
        <f>$C$125</f>
        <v>10% FBS R1</v>
      </c>
      <c r="D164" s="91" t="s">
        <v>65</v>
      </c>
      <c r="E164" s="5">
        <v>202</v>
      </c>
      <c r="F164" s="5">
        <v>237</v>
      </c>
      <c r="G164" s="5">
        <v>212</v>
      </c>
      <c r="H164" s="5">
        <v>183</v>
      </c>
      <c r="I164" s="11">
        <f t="shared" si="5"/>
        <v>208.5</v>
      </c>
      <c r="J164" s="15">
        <f>I164*4*10000</f>
        <v>8340000</v>
      </c>
      <c r="K164" s="2">
        <f>$K$125</f>
        <v>3000000</v>
      </c>
      <c r="L164" s="2">
        <f>J164*5</f>
        <v>41700000</v>
      </c>
      <c r="M164" s="3">
        <f>I164/(I164+I165)*100</f>
        <v>94.88054607508532</v>
      </c>
      <c r="N164" s="22">
        <f>I166/I164*100</f>
        <v>0</v>
      </c>
      <c r="O164" s="4">
        <f>3.32*(LOG(L164)-LOG(K164))</f>
        <v>3.794809136843595</v>
      </c>
      <c r="P164" s="4">
        <f>IF(O164&lt;0,P161,P161+O164)</f>
        <v>75.08892107217919</v>
      </c>
    </row>
    <row r="165" spans="1:16" ht="14.25" customHeight="1" x14ac:dyDescent="0.35">
      <c r="A165" s="2"/>
      <c r="B165" s="109"/>
      <c r="C165" s="129"/>
      <c r="D165" s="92" t="s">
        <v>66</v>
      </c>
      <c r="E165" s="5">
        <v>12</v>
      </c>
      <c r="F165" s="5">
        <v>14</v>
      </c>
      <c r="G165" s="5">
        <v>7</v>
      </c>
      <c r="H165" s="5">
        <v>12</v>
      </c>
      <c r="I165" s="11">
        <f t="shared" si="5"/>
        <v>11.25</v>
      </c>
      <c r="J165" s="15"/>
      <c r="K165" s="2"/>
      <c r="L165" s="2"/>
      <c r="M165" s="2"/>
      <c r="N165" s="20"/>
      <c r="O165" s="2"/>
      <c r="P165" s="2"/>
    </row>
    <row r="166" spans="1:16" ht="14.25" customHeight="1" x14ac:dyDescent="0.35">
      <c r="A166" s="2"/>
      <c r="B166" s="109"/>
      <c r="C166" s="129"/>
      <c r="D166" s="92" t="s">
        <v>67</v>
      </c>
      <c r="E166" s="5">
        <v>0</v>
      </c>
      <c r="F166" s="5">
        <v>0</v>
      </c>
      <c r="G166" s="5">
        <v>0</v>
      </c>
      <c r="H166" s="5">
        <v>0</v>
      </c>
      <c r="I166" s="11">
        <f t="shared" si="5"/>
        <v>0</v>
      </c>
      <c r="J166" s="15"/>
      <c r="K166" s="2"/>
      <c r="L166" s="2"/>
      <c r="M166" s="2"/>
      <c r="N166" s="20"/>
      <c r="O166" s="2"/>
      <c r="P166" s="2"/>
    </row>
    <row r="167" spans="1:16" ht="14.25" customHeight="1" x14ac:dyDescent="0.35">
      <c r="A167" s="13">
        <v>44718</v>
      </c>
      <c r="B167" s="109">
        <f>B164+6</f>
        <v>369</v>
      </c>
      <c r="C167" s="129" t="str">
        <f>$C$125</f>
        <v>10% FBS R1</v>
      </c>
      <c r="D167" s="91" t="s">
        <v>65</v>
      </c>
      <c r="E167" s="5">
        <f>59*4</f>
        <v>236</v>
      </c>
      <c r="F167" s="5">
        <f t="shared" ref="F167:G167" si="6">60*4</f>
        <v>240</v>
      </c>
      <c r="G167" s="5">
        <f t="shared" si="6"/>
        <v>240</v>
      </c>
      <c r="H167" s="5">
        <f>79*4</f>
        <v>316</v>
      </c>
      <c r="I167" s="11">
        <f t="shared" si="5"/>
        <v>258</v>
      </c>
      <c r="J167" s="15">
        <f>I167*5*10000</f>
        <v>12900000</v>
      </c>
      <c r="K167" s="2">
        <f>$K$125</f>
        <v>3000000</v>
      </c>
      <c r="L167" s="2">
        <f>J167*5</f>
        <v>64500000</v>
      </c>
      <c r="M167" s="3">
        <f>I167/(I167+I168)*100</f>
        <v>91.489361702127653</v>
      </c>
      <c r="N167" s="22">
        <f>I169/I167*100</f>
        <v>0</v>
      </c>
      <c r="O167" s="4">
        <f>3.32*(LOG(L167)-LOG(K167))</f>
        <v>4.4236956869198085</v>
      </c>
      <c r="P167" s="4">
        <f>IF(O167&lt;0,P164,P164+O167)</f>
        <v>79.512616759099004</v>
      </c>
    </row>
    <row r="168" spans="1:16" ht="14.25" customHeight="1" x14ac:dyDescent="0.35">
      <c r="A168" s="2"/>
      <c r="B168" s="109"/>
      <c r="C168" s="129"/>
      <c r="D168" s="92" t="s">
        <v>66</v>
      </c>
      <c r="E168" s="5">
        <f>7*4</f>
        <v>28</v>
      </c>
      <c r="F168" s="5">
        <f t="shared" ref="F168:G168" si="7">8*4</f>
        <v>32</v>
      </c>
      <c r="G168" s="5">
        <f t="shared" si="7"/>
        <v>32</v>
      </c>
      <c r="H168" s="5">
        <f>1*4</f>
        <v>4</v>
      </c>
      <c r="I168" s="11">
        <f t="shared" si="5"/>
        <v>24</v>
      </c>
      <c r="J168" s="15"/>
      <c r="K168" s="2"/>
      <c r="L168" s="2"/>
      <c r="M168" s="2"/>
      <c r="N168" s="20"/>
      <c r="O168" s="2"/>
      <c r="P168" s="2"/>
    </row>
    <row r="169" spans="1:16" ht="14.25" customHeight="1" x14ac:dyDescent="0.35">
      <c r="A169" s="2"/>
      <c r="B169" s="109"/>
      <c r="C169" s="129"/>
      <c r="D169" s="92" t="s">
        <v>67</v>
      </c>
      <c r="E169" s="5">
        <v>0</v>
      </c>
      <c r="F169" s="5">
        <v>0</v>
      </c>
      <c r="G169" s="5">
        <v>0</v>
      </c>
      <c r="H169" s="5">
        <v>0</v>
      </c>
      <c r="I169" s="11">
        <f t="shared" si="5"/>
        <v>0</v>
      </c>
      <c r="J169" s="15"/>
      <c r="K169" s="2"/>
      <c r="L169" s="2"/>
      <c r="M169" s="2"/>
      <c r="N169" s="20"/>
      <c r="O169" s="2"/>
      <c r="P169" s="2"/>
    </row>
    <row r="170" spans="1:16" ht="14.25" customHeight="1" x14ac:dyDescent="0.35">
      <c r="A170" s="13">
        <v>44721</v>
      </c>
      <c r="B170" s="109">
        <f>B167+3</f>
        <v>372</v>
      </c>
      <c r="C170" s="129" t="str">
        <f>$C$125</f>
        <v>10% FBS R1</v>
      </c>
      <c r="D170" s="91" t="s">
        <v>65</v>
      </c>
      <c r="E170" s="5">
        <v>165</v>
      </c>
      <c r="F170" s="5">
        <v>161</v>
      </c>
      <c r="G170" s="5">
        <v>157</v>
      </c>
      <c r="H170" s="5">
        <v>127</v>
      </c>
      <c r="I170" s="2">
        <f t="shared" si="5"/>
        <v>152.5</v>
      </c>
      <c r="J170" s="15">
        <f>I170*5*10000</f>
        <v>7625000</v>
      </c>
      <c r="K170" s="2">
        <f>$K$125</f>
        <v>3000000</v>
      </c>
      <c r="L170" s="2">
        <f>J170*5</f>
        <v>38125000</v>
      </c>
      <c r="M170" s="3">
        <f>I170/(I170+I171)*100</f>
        <v>92.284417549167927</v>
      </c>
      <c r="N170" s="22">
        <f>I172/I170*100</f>
        <v>0</v>
      </c>
      <c r="O170" s="4">
        <f>3.32*(LOG(L170)-LOG(K170))</f>
        <v>3.6655741441487959</v>
      </c>
      <c r="P170" s="4">
        <f>IF(O170&lt;0,P167,P167+O170)</f>
        <v>83.178190903247796</v>
      </c>
    </row>
    <row r="171" spans="1:16" ht="14.25" customHeight="1" x14ac:dyDescent="0.35">
      <c r="A171" s="2"/>
      <c r="B171" s="109"/>
      <c r="C171" s="129"/>
      <c r="D171" s="92" t="s">
        <v>66</v>
      </c>
      <c r="E171" s="5">
        <v>12</v>
      </c>
      <c r="F171" s="5">
        <v>19</v>
      </c>
      <c r="G171" s="5">
        <v>12</v>
      </c>
      <c r="H171" s="5">
        <v>8</v>
      </c>
      <c r="I171" s="2">
        <f t="shared" si="5"/>
        <v>12.75</v>
      </c>
      <c r="J171" s="15"/>
      <c r="K171" s="2"/>
      <c r="L171" s="2"/>
      <c r="M171" s="2"/>
      <c r="N171" s="20"/>
      <c r="O171" s="2"/>
      <c r="P171" s="2"/>
    </row>
    <row r="172" spans="1:16" ht="14.25" customHeight="1" x14ac:dyDescent="0.35">
      <c r="A172" s="2"/>
      <c r="B172" s="109"/>
      <c r="C172" s="129"/>
      <c r="D172" s="92" t="s">
        <v>67</v>
      </c>
      <c r="E172" s="5">
        <v>0</v>
      </c>
      <c r="F172" s="5">
        <v>0</v>
      </c>
      <c r="G172" s="5">
        <v>0</v>
      </c>
      <c r="H172" s="5">
        <v>0</v>
      </c>
      <c r="I172" s="2">
        <f t="shared" si="5"/>
        <v>0</v>
      </c>
      <c r="J172" s="15"/>
      <c r="K172" s="2"/>
      <c r="L172" s="2"/>
      <c r="M172" s="2"/>
      <c r="N172" s="20"/>
      <c r="O172" s="2"/>
      <c r="P172" s="2"/>
    </row>
    <row r="173" spans="1:16" ht="14.25" customHeight="1" x14ac:dyDescent="0.35">
      <c r="A173" s="13">
        <v>44725</v>
      </c>
      <c r="B173" s="109">
        <f>B170+4</f>
        <v>376</v>
      </c>
      <c r="C173" s="129" t="str">
        <f>$C$125</f>
        <v>10% FBS R1</v>
      </c>
      <c r="D173" s="91" t="s">
        <v>65</v>
      </c>
      <c r="E173" s="5">
        <v>214</v>
      </c>
      <c r="F173" s="5">
        <v>186</v>
      </c>
      <c r="G173" s="5">
        <v>169</v>
      </c>
      <c r="H173" s="5">
        <v>203</v>
      </c>
      <c r="I173" s="11">
        <f t="shared" si="5"/>
        <v>193</v>
      </c>
      <c r="J173" s="15">
        <f>I173*5*10000</f>
        <v>9650000</v>
      </c>
      <c r="K173" s="2">
        <f>$K$125</f>
        <v>3000000</v>
      </c>
      <c r="L173" s="2">
        <f>J173*5</f>
        <v>48250000</v>
      </c>
      <c r="M173" s="3">
        <f>I173/(I173+I174)*100</f>
        <v>90.186915887850475</v>
      </c>
      <c r="N173" s="22">
        <f>I175/I173*100</f>
        <v>0.1295336787564767</v>
      </c>
      <c r="O173" s="4">
        <f>3.32*(LOG(L173)-LOG(K173))</f>
        <v>4.0051685290276939</v>
      </c>
      <c r="P173" s="4">
        <f>IF(O173&lt;0,P170,P170+O173)</f>
        <v>87.183359432275495</v>
      </c>
    </row>
    <row r="174" spans="1:16" ht="14.25" customHeight="1" x14ac:dyDescent="0.35">
      <c r="A174" s="2"/>
      <c r="B174" s="109"/>
      <c r="C174" s="129"/>
      <c r="D174" s="92" t="s">
        <v>66</v>
      </c>
      <c r="E174" s="5">
        <v>21</v>
      </c>
      <c r="F174" s="5">
        <v>24</v>
      </c>
      <c r="G174" s="5">
        <v>20</v>
      </c>
      <c r="H174" s="5">
        <v>19</v>
      </c>
      <c r="I174" s="11">
        <f t="shared" si="5"/>
        <v>21</v>
      </c>
      <c r="J174" s="15"/>
      <c r="K174" s="2"/>
      <c r="L174" s="2"/>
      <c r="M174" s="2"/>
      <c r="N174" s="20"/>
      <c r="O174" s="2"/>
      <c r="P174" s="2"/>
    </row>
    <row r="175" spans="1:16" ht="14.25" customHeight="1" x14ac:dyDescent="0.35">
      <c r="A175" s="2"/>
      <c r="B175" s="109"/>
      <c r="C175" s="129"/>
      <c r="D175" s="92" t="s">
        <v>67</v>
      </c>
      <c r="E175" s="5">
        <v>1</v>
      </c>
      <c r="F175" s="5">
        <v>0</v>
      </c>
      <c r="G175" s="5">
        <v>0</v>
      </c>
      <c r="H175" s="5">
        <v>0</v>
      </c>
      <c r="I175" s="11">
        <f t="shared" si="5"/>
        <v>0.25</v>
      </c>
      <c r="J175" s="15"/>
      <c r="K175" s="2"/>
      <c r="L175" s="2"/>
      <c r="M175" s="2"/>
      <c r="N175" s="20"/>
      <c r="O175" s="2"/>
      <c r="P175" s="2"/>
    </row>
    <row r="176" spans="1:16" ht="14.25" customHeight="1" x14ac:dyDescent="0.35">
      <c r="A176" s="13">
        <v>44732</v>
      </c>
      <c r="B176" s="109">
        <f>B173+7</f>
        <v>383</v>
      </c>
      <c r="C176" s="129" t="str">
        <f>$C$125</f>
        <v>10% FBS R1</v>
      </c>
      <c r="D176" s="91" t="s">
        <v>65</v>
      </c>
      <c r="E176" s="5">
        <v>66</v>
      </c>
      <c r="F176" s="5">
        <v>73</v>
      </c>
      <c r="G176" s="5">
        <v>74</v>
      </c>
      <c r="H176" s="5">
        <v>56</v>
      </c>
      <c r="I176" s="11">
        <f t="shared" si="5"/>
        <v>67.25</v>
      </c>
      <c r="J176" s="15">
        <f>I176*5*10000</f>
        <v>3362500</v>
      </c>
      <c r="K176" s="2">
        <f>$K$125</f>
        <v>3000000</v>
      </c>
      <c r="L176" s="2">
        <f>J176*5</f>
        <v>16812500</v>
      </c>
      <c r="M176" s="3">
        <f>I176/(I176+I177)*100</f>
        <v>97.818181818181813</v>
      </c>
      <c r="N176" s="22">
        <f>I178/I176*100</f>
        <v>0</v>
      </c>
      <c r="O176" s="4">
        <f>3.32*(LOG(L176)-LOG(K176))</f>
        <v>2.4850566615210452</v>
      </c>
      <c r="P176" s="4">
        <f>IF(O176&lt;0,P173,P173+O176)</f>
        <v>89.668416093796537</v>
      </c>
    </row>
    <row r="177" spans="1:16" ht="14.25" customHeight="1" x14ac:dyDescent="0.35">
      <c r="A177" s="2"/>
      <c r="B177" s="109"/>
      <c r="C177" s="129"/>
      <c r="D177" s="92" t="s">
        <v>66</v>
      </c>
      <c r="E177" s="5">
        <v>2</v>
      </c>
      <c r="F177" s="5">
        <v>2</v>
      </c>
      <c r="G177" s="5">
        <v>1</v>
      </c>
      <c r="H177" s="5">
        <v>1</v>
      </c>
      <c r="I177" s="11">
        <f t="shared" si="5"/>
        <v>1.5</v>
      </c>
      <c r="J177" s="15"/>
      <c r="K177" s="2"/>
      <c r="L177" s="2"/>
      <c r="M177" s="2"/>
      <c r="N177" s="20"/>
      <c r="O177" s="2"/>
      <c r="P177" s="2"/>
    </row>
    <row r="178" spans="1:16" ht="14.25" customHeight="1" x14ac:dyDescent="0.35">
      <c r="A178" s="2"/>
      <c r="B178" s="109"/>
      <c r="C178" s="129"/>
      <c r="D178" s="92" t="s">
        <v>67</v>
      </c>
      <c r="E178" s="5">
        <v>0</v>
      </c>
      <c r="F178" s="5">
        <v>0</v>
      </c>
      <c r="G178" s="5">
        <v>0</v>
      </c>
      <c r="H178" s="5">
        <v>0</v>
      </c>
      <c r="I178" s="11">
        <f t="shared" si="5"/>
        <v>0</v>
      </c>
      <c r="J178" s="15"/>
      <c r="K178" s="2"/>
      <c r="L178" s="2"/>
      <c r="M178" s="2"/>
      <c r="N178" s="20"/>
      <c r="O178" s="2"/>
      <c r="P178" s="2"/>
    </row>
    <row r="179" spans="1:16" ht="14.25" customHeight="1" x14ac:dyDescent="0.35">
      <c r="A179" s="13">
        <v>44740</v>
      </c>
      <c r="B179" s="109">
        <f>B176+7</f>
        <v>390</v>
      </c>
      <c r="C179" s="129" t="str">
        <f>$C$125</f>
        <v>10% FBS R1</v>
      </c>
      <c r="D179" s="91" t="s">
        <v>65</v>
      </c>
      <c r="E179" s="5">
        <v>63</v>
      </c>
      <c r="F179" s="5">
        <v>59</v>
      </c>
      <c r="G179" s="5">
        <v>67</v>
      </c>
      <c r="H179" s="5">
        <v>84</v>
      </c>
      <c r="I179" s="11">
        <f t="shared" si="5"/>
        <v>68.25</v>
      </c>
      <c r="J179" s="15">
        <f>I179*5*10000</f>
        <v>3412500</v>
      </c>
      <c r="K179" s="2">
        <f>$K$125</f>
        <v>3000000</v>
      </c>
      <c r="L179" s="2">
        <f>J179*5</f>
        <v>17062500</v>
      </c>
      <c r="M179" s="3">
        <f>I179/(I179+I180)*100</f>
        <v>98.91304347826086</v>
      </c>
      <c r="N179" s="22">
        <f>I181/I179*100</f>
        <v>0</v>
      </c>
      <c r="O179" s="4">
        <f>3.32*(LOG(L179)-LOG(K179))</f>
        <v>2.5063390800883605</v>
      </c>
      <c r="P179" s="4">
        <f>IF(O179&lt;0,P176,P176+O179)</f>
        <v>92.174755173884904</v>
      </c>
    </row>
    <row r="180" spans="1:16" ht="14.25" customHeight="1" x14ac:dyDescent="0.35">
      <c r="A180" s="2"/>
      <c r="B180" s="109"/>
      <c r="C180" s="129"/>
      <c r="D180" s="92" t="s">
        <v>66</v>
      </c>
      <c r="E180" s="5">
        <v>0</v>
      </c>
      <c r="F180" s="5">
        <v>1</v>
      </c>
      <c r="G180" s="5">
        <v>0</v>
      </c>
      <c r="H180" s="5">
        <v>2</v>
      </c>
      <c r="I180" s="11">
        <f t="shared" si="5"/>
        <v>0.75</v>
      </c>
      <c r="J180" s="15"/>
      <c r="K180" s="2"/>
      <c r="L180" s="2"/>
      <c r="M180" s="2"/>
      <c r="N180" s="20"/>
      <c r="O180" s="2"/>
      <c r="P180" s="2"/>
    </row>
    <row r="181" spans="1:16" ht="14.25" customHeight="1" x14ac:dyDescent="0.35">
      <c r="A181" s="2"/>
      <c r="B181" s="109"/>
      <c r="C181" s="129"/>
      <c r="D181" s="92" t="s">
        <v>67</v>
      </c>
      <c r="E181" s="5">
        <v>0</v>
      </c>
      <c r="F181" s="5">
        <v>0</v>
      </c>
      <c r="G181" s="5">
        <v>0</v>
      </c>
      <c r="H181" s="5">
        <v>0</v>
      </c>
      <c r="I181" s="11">
        <f t="shared" si="5"/>
        <v>0</v>
      </c>
      <c r="J181" s="15"/>
      <c r="K181" s="2"/>
      <c r="L181" s="2"/>
      <c r="M181" s="2"/>
      <c r="N181" s="20"/>
      <c r="O181" s="2"/>
      <c r="P181" s="2"/>
    </row>
    <row r="182" spans="1:16" ht="14.25" customHeight="1" x14ac:dyDescent="0.35">
      <c r="A182" s="13">
        <v>44747</v>
      </c>
      <c r="B182" s="109">
        <f>B179+8</f>
        <v>398</v>
      </c>
      <c r="C182" s="129" t="str">
        <f>$C$125</f>
        <v>10% FBS R1</v>
      </c>
      <c r="D182" s="91" t="s">
        <v>65</v>
      </c>
      <c r="E182" s="5">
        <f>114*4</f>
        <v>456</v>
      </c>
      <c r="F182" s="5">
        <f>90*4</f>
        <v>360</v>
      </c>
      <c r="G182" s="5">
        <f>99*4</f>
        <v>396</v>
      </c>
      <c r="H182" s="5">
        <f>100*4</f>
        <v>400</v>
      </c>
      <c r="I182" s="11">
        <f t="shared" si="5"/>
        <v>403</v>
      </c>
      <c r="J182" s="15">
        <f>I182*5*10000</f>
        <v>20150000</v>
      </c>
      <c r="K182" s="2">
        <f>$K$125</f>
        <v>3000000</v>
      </c>
      <c r="L182" s="2">
        <f>J182*5</f>
        <v>100750000</v>
      </c>
      <c r="M182" s="3">
        <f>I182/(I182+I183)*100</f>
        <v>94.600938967136145</v>
      </c>
      <c r="N182" s="22">
        <f>I184/I182*100</f>
        <v>0</v>
      </c>
      <c r="O182" s="4">
        <f>3.32*(LOG(L182)-LOG(K182))</f>
        <v>5.0667310163103698</v>
      </c>
      <c r="P182" s="4">
        <f>IF(O182&lt;0,P179,P179+O182)</f>
        <v>97.241486190195275</v>
      </c>
    </row>
    <row r="183" spans="1:16" ht="14.25" customHeight="1" x14ac:dyDescent="0.35">
      <c r="A183" s="2"/>
      <c r="B183" s="109"/>
      <c r="C183" s="129"/>
      <c r="D183" s="92" t="s">
        <v>66</v>
      </c>
      <c r="E183" s="5">
        <f>3*4</f>
        <v>12</v>
      </c>
      <c r="F183" s="5">
        <f>4*4</f>
        <v>16</v>
      </c>
      <c r="G183" s="5">
        <f>11*4</f>
        <v>44</v>
      </c>
      <c r="H183" s="5">
        <f>5*4</f>
        <v>20</v>
      </c>
      <c r="I183" s="11">
        <f t="shared" si="5"/>
        <v>23</v>
      </c>
      <c r="J183" s="15"/>
      <c r="K183" s="2"/>
      <c r="L183" s="2"/>
      <c r="M183" s="2"/>
      <c r="N183" s="20"/>
      <c r="O183" s="2"/>
      <c r="P183" s="2"/>
    </row>
    <row r="184" spans="1:16" ht="14.25" customHeight="1" x14ac:dyDescent="0.35">
      <c r="A184" s="2"/>
      <c r="B184" s="109"/>
      <c r="C184" s="129"/>
      <c r="D184" s="92" t="s">
        <v>67</v>
      </c>
      <c r="E184" s="5">
        <v>0</v>
      </c>
      <c r="F184" s="5">
        <v>0</v>
      </c>
      <c r="G184" s="5">
        <v>0</v>
      </c>
      <c r="H184" s="5">
        <v>0</v>
      </c>
      <c r="I184" s="11">
        <f t="shared" si="5"/>
        <v>0</v>
      </c>
      <c r="J184" s="15"/>
      <c r="K184" s="2"/>
      <c r="L184" s="2"/>
      <c r="M184" s="2"/>
      <c r="N184" s="20"/>
      <c r="O184" s="2"/>
      <c r="P184" s="2"/>
    </row>
    <row r="185" spans="1:16" ht="14.25" customHeight="1" x14ac:dyDescent="0.35">
      <c r="A185" s="13">
        <v>44753</v>
      </c>
      <c r="B185" s="109">
        <f>B182+6</f>
        <v>404</v>
      </c>
      <c r="C185" s="129" t="str">
        <f>$C$125</f>
        <v>10% FBS R1</v>
      </c>
      <c r="D185" s="91" t="s">
        <v>65</v>
      </c>
      <c r="E185" s="5">
        <f>111*4</f>
        <v>444</v>
      </c>
      <c r="F185" s="5">
        <f>95*4</f>
        <v>380</v>
      </c>
      <c r="G185" s="5">
        <f>107*4</f>
        <v>428</v>
      </c>
      <c r="H185" s="5">
        <f>92*4</f>
        <v>368</v>
      </c>
      <c r="I185" s="11">
        <f t="shared" si="5"/>
        <v>405</v>
      </c>
      <c r="J185" s="15">
        <f>I185*5*10000</f>
        <v>20250000</v>
      </c>
      <c r="K185" s="2">
        <f>$K$125</f>
        <v>3000000</v>
      </c>
      <c r="L185" s="2">
        <f>J185*5</f>
        <v>101250000</v>
      </c>
      <c r="M185" s="3">
        <f>I185/(I185+I186)*100</f>
        <v>87.662337662337663</v>
      </c>
      <c r="N185" s="22">
        <f>I187/I185*100</f>
        <v>0</v>
      </c>
      <c r="O185" s="4">
        <f>3.32*(LOG(L185)-LOG(K185))</f>
        <v>5.0738689401945862</v>
      </c>
      <c r="P185" s="4">
        <f>IF(O185&lt;0,P182,P182+O185)</f>
        <v>102.31535513038986</v>
      </c>
    </row>
    <row r="186" spans="1:16" ht="14.25" customHeight="1" x14ac:dyDescent="0.35">
      <c r="A186" s="2"/>
      <c r="B186" s="109"/>
      <c r="C186" s="129"/>
      <c r="D186" s="92" t="s">
        <v>66</v>
      </c>
      <c r="E186" s="5">
        <f>14*4</f>
        <v>56</v>
      </c>
      <c r="F186" s="5">
        <f>12*4</f>
        <v>48</v>
      </c>
      <c r="G186" s="5">
        <f>14*4</f>
        <v>56</v>
      </c>
      <c r="H186" s="5">
        <f>17*4</f>
        <v>68</v>
      </c>
      <c r="I186" s="11">
        <f t="shared" si="5"/>
        <v>57</v>
      </c>
      <c r="J186" s="15"/>
      <c r="K186" s="2"/>
      <c r="L186" s="2"/>
      <c r="M186" s="2"/>
      <c r="N186" s="20"/>
      <c r="O186" s="2"/>
      <c r="P186" s="2"/>
    </row>
    <row r="187" spans="1:16" ht="14.25" customHeight="1" x14ac:dyDescent="0.35">
      <c r="A187" s="2"/>
      <c r="B187" s="109"/>
      <c r="C187" s="129"/>
      <c r="D187" s="92" t="s">
        <v>67</v>
      </c>
      <c r="E187" s="5">
        <v>0</v>
      </c>
      <c r="F187" s="5">
        <v>0</v>
      </c>
      <c r="G187" s="5">
        <v>0</v>
      </c>
      <c r="H187" s="5">
        <v>0</v>
      </c>
      <c r="I187" s="11">
        <f t="shared" si="5"/>
        <v>0</v>
      </c>
      <c r="J187" s="15"/>
      <c r="K187" s="2"/>
      <c r="L187" s="2"/>
      <c r="M187" s="2"/>
      <c r="N187" s="20"/>
      <c r="O187" s="2"/>
      <c r="P187" s="2"/>
    </row>
    <row r="188" spans="1:16" ht="14.25" customHeight="1" x14ac:dyDescent="0.35">
      <c r="A188" s="13">
        <v>44760</v>
      </c>
      <c r="B188" s="109">
        <f>B185+7</f>
        <v>411</v>
      </c>
      <c r="C188" s="129" t="str">
        <f>$C$125</f>
        <v>10% FBS R1</v>
      </c>
      <c r="D188" s="91" t="s">
        <v>65</v>
      </c>
      <c r="E188" s="5">
        <v>214</v>
      </c>
      <c r="F188" s="5">
        <v>216</v>
      </c>
      <c r="G188" s="5">
        <v>230</v>
      </c>
      <c r="H188" s="5">
        <v>239</v>
      </c>
      <c r="I188" s="11">
        <f t="shared" si="5"/>
        <v>224.75</v>
      </c>
      <c r="J188" s="15">
        <f>I188*5*10000</f>
        <v>11237500</v>
      </c>
      <c r="K188" s="2">
        <f>$K$125</f>
        <v>3000000</v>
      </c>
      <c r="L188" s="2">
        <f>J188*5</f>
        <v>56187500</v>
      </c>
      <c r="M188" s="3">
        <f>I188/(I188+I189)*100</f>
        <v>81.950774840474011</v>
      </c>
      <c r="N188" s="22">
        <f>I190/I188*100</f>
        <v>0</v>
      </c>
      <c r="O188" s="4">
        <f>3.32*(LOG(L188)-LOG(K188))</f>
        <v>4.2247612684673683</v>
      </c>
      <c r="P188" s="4">
        <f>IF(O188&lt;0,P185,P185+O188)</f>
        <v>106.54011639885724</v>
      </c>
    </row>
    <row r="189" spans="1:16" ht="14.25" customHeight="1" x14ac:dyDescent="0.35">
      <c r="A189" s="2"/>
      <c r="B189" s="109"/>
      <c r="C189" s="129"/>
      <c r="D189" s="92" t="s">
        <v>66</v>
      </c>
      <c r="E189" s="5">
        <v>51</v>
      </c>
      <c r="F189" s="5">
        <v>36</v>
      </c>
      <c r="G189" s="5">
        <v>49</v>
      </c>
      <c r="H189" s="5">
        <v>62</v>
      </c>
      <c r="I189" s="11">
        <f t="shared" si="5"/>
        <v>49.5</v>
      </c>
      <c r="J189" s="15"/>
      <c r="K189" s="2"/>
      <c r="L189" s="2"/>
      <c r="M189" s="2"/>
      <c r="N189" s="20"/>
      <c r="O189" s="2"/>
      <c r="P189" s="2"/>
    </row>
    <row r="190" spans="1:16" ht="14.25" customHeight="1" x14ac:dyDescent="0.35">
      <c r="A190" s="2"/>
      <c r="B190" s="109"/>
      <c r="C190" s="129"/>
      <c r="D190" s="92" t="s">
        <v>67</v>
      </c>
      <c r="E190" s="5">
        <v>0</v>
      </c>
      <c r="F190" s="5">
        <v>0</v>
      </c>
      <c r="G190" s="5">
        <v>0</v>
      </c>
      <c r="H190" s="5">
        <v>0</v>
      </c>
      <c r="I190" s="11">
        <f t="shared" si="5"/>
        <v>0</v>
      </c>
      <c r="J190" s="15"/>
      <c r="K190" s="2"/>
      <c r="L190" s="2"/>
      <c r="M190" s="2"/>
      <c r="N190" s="20"/>
      <c r="O190" s="2"/>
      <c r="P190" s="2"/>
    </row>
    <row r="191" spans="1:16" ht="14.25" customHeight="1" x14ac:dyDescent="0.35">
      <c r="A191" s="13">
        <v>44768</v>
      </c>
      <c r="B191" s="109">
        <f>B188+7</f>
        <v>418</v>
      </c>
      <c r="C191" s="129" t="str">
        <f>$C$125</f>
        <v>10% FBS R1</v>
      </c>
      <c r="D191" s="91" t="s">
        <v>65</v>
      </c>
      <c r="E191" s="5">
        <v>117</v>
      </c>
      <c r="F191" s="5">
        <v>99</v>
      </c>
      <c r="G191" s="5">
        <v>123</v>
      </c>
      <c r="H191" s="5">
        <v>98</v>
      </c>
      <c r="I191" s="11">
        <f t="shared" si="5"/>
        <v>109.25</v>
      </c>
      <c r="J191" s="15">
        <f>I191*5*10000</f>
        <v>5462500</v>
      </c>
      <c r="K191" s="2">
        <f>$K$125</f>
        <v>3000000</v>
      </c>
      <c r="L191" s="2">
        <f>J191*5</f>
        <v>27312500</v>
      </c>
      <c r="M191" s="3">
        <f>I191/(I191+I192)*100</f>
        <v>87.225548902195598</v>
      </c>
      <c r="N191" s="22">
        <f>I193/I191*100</f>
        <v>0</v>
      </c>
      <c r="O191" s="4">
        <f>3.32*(LOG(L191)-LOG(K191))</f>
        <v>3.1846774626548497</v>
      </c>
      <c r="P191" s="4">
        <f>IF(O191&lt;0,P188,P188+O191)</f>
        <v>109.72479386151208</v>
      </c>
    </row>
    <row r="192" spans="1:16" ht="14.25" customHeight="1" x14ac:dyDescent="0.35">
      <c r="A192" s="2"/>
      <c r="B192" s="109"/>
      <c r="C192" s="129"/>
      <c r="D192" s="92" t="s">
        <v>66</v>
      </c>
      <c r="E192" s="5">
        <v>11</v>
      </c>
      <c r="F192" s="5">
        <v>13</v>
      </c>
      <c r="G192" s="5">
        <v>20</v>
      </c>
      <c r="H192" s="5">
        <v>20</v>
      </c>
      <c r="I192" s="11">
        <f t="shared" si="5"/>
        <v>16</v>
      </c>
      <c r="J192" s="15"/>
      <c r="K192" s="2"/>
      <c r="L192" s="2"/>
      <c r="M192" s="2"/>
      <c r="N192" s="20"/>
      <c r="O192" s="2"/>
      <c r="P192" s="2"/>
    </row>
    <row r="193" spans="1:16" ht="14.25" customHeight="1" x14ac:dyDescent="0.35">
      <c r="A193" s="2"/>
      <c r="B193" s="109"/>
      <c r="C193" s="129"/>
      <c r="D193" s="92" t="s">
        <v>67</v>
      </c>
      <c r="E193" s="5">
        <v>0</v>
      </c>
      <c r="F193" s="5">
        <v>0</v>
      </c>
      <c r="G193" s="5">
        <v>0</v>
      </c>
      <c r="H193" s="5">
        <v>0</v>
      </c>
      <c r="I193" s="11">
        <f t="shared" si="5"/>
        <v>0</v>
      </c>
      <c r="J193" s="15"/>
      <c r="K193" s="2"/>
      <c r="L193" s="2"/>
      <c r="M193" s="2"/>
      <c r="N193" s="20"/>
      <c r="O193" s="2"/>
      <c r="P193" s="2"/>
    </row>
    <row r="194" spans="1:16" ht="14.25" customHeight="1" x14ac:dyDescent="0.35">
      <c r="A194" s="13">
        <v>44775</v>
      </c>
      <c r="B194" s="109">
        <f>B191+7</f>
        <v>425</v>
      </c>
      <c r="C194" s="129" t="str">
        <f>$C$125</f>
        <v>10% FBS R1</v>
      </c>
      <c r="D194" s="91" t="s">
        <v>65</v>
      </c>
      <c r="E194" s="5">
        <v>52</v>
      </c>
      <c r="F194" s="5">
        <v>60</v>
      </c>
      <c r="G194" s="5">
        <v>68</v>
      </c>
      <c r="H194" s="5">
        <v>62</v>
      </c>
      <c r="I194" s="11">
        <f t="shared" si="5"/>
        <v>60.5</v>
      </c>
      <c r="J194" s="15">
        <f>I194*5*10000</f>
        <v>3025000</v>
      </c>
      <c r="K194" s="2">
        <f>$K$125</f>
        <v>3000000</v>
      </c>
      <c r="L194" s="2">
        <f>J194*5</f>
        <v>15125000</v>
      </c>
      <c r="M194" s="3">
        <f>I194/(I194+I195)*100</f>
        <v>100</v>
      </c>
      <c r="N194" s="22">
        <f>I196/I194*100</f>
        <v>0</v>
      </c>
      <c r="O194" s="4">
        <f>3.32*(LOG(L194)-LOG(K194))</f>
        <v>2.3325461069680804</v>
      </c>
      <c r="P194" s="4">
        <f>IF(O194&lt;0,P191,P191+O194)</f>
        <v>112.05733996848016</v>
      </c>
    </row>
    <row r="195" spans="1:16" ht="14.25" customHeight="1" x14ac:dyDescent="0.35">
      <c r="A195" s="2"/>
      <c r="B195" s="109"/>
      <c r="C195" s="129"/>
      <c r="D195" s="92" t="s">
        <v>66</v>
      </c>
      <c r="E195" s="5">
        <v>0</v>
      </c>
      <c r="F195" s="5">
        <v>0</v>
      </c>
      <c r="G195" s="5">
        <v>0</v>
      </c>
      <c r="H195" s="5">
        <v>0</v>
      </c>
      <c r="I195" s="11">
        <f t="shared" si="5"/>
        <v>0</v>
      </c>
      <c r="J195" s="15"/>
      <c r="K195" s="2"/>
      <c r="L195" s="2"/>
      <c r="M195" s="2"/>
      <c r="N195" s="20"/>
      <c r="O195" s="2"/>
      <c r="P195" s="2"/>
    </row>
    <row r="196" spans="1:16" ht="14.25" customHeight="1" x14ac:dyDescent="0.35">
      <c r="A196" s="2"/>
      <c r="B196" s="109"/>
      <c r="C196" s="129"/>
      <c r="D196" s="92" t="s">
        <v>67</v>
      </c>
      <c r="E196" s="5">
        <v>0</v>
      </c>
      <c r="F196" s="5">
        <v>0</v>
      </c>
      <c r="G196" s="5">
        <v>0</v>
      </c>
      <c r="H196" s="5">
        <v>0</v>
      </c>
      <c r="I196" s="11">
        <f t="shared" si="5"/>
        <v>0</v>
      </c>
      <c r="J196" s="15"/>
      <c r="K196" s="2"/>
      <c r="L196" s="2"/>
      <c r="M196" s="2"/>
      <c r="N196" s="20"/>
      <c r="O196" s="2"/>
      <c r="P196" s="2"/>
    </row>
    <row r="197" spans="1:16" ht="14.25" customHeight="1" x14ac:dyDescent="0.35">
      <c r="A197" s="13">
        <v>44782</v>
      </c>
      <c r="B197" s="109">
        <f>B194+7</f>
        <v>432</v>
      </c>
      <c r="C197" s="129" t="str">
        <f>$C$125</f>
        <v>10% FBS R1</v>
      </c>
      <c r="D197" s="91" t="s">
        <v>65</v>
      </c>
      <c r="E197" s="5">
        <v>55</v>
      </c>
      <c r="F197" s="5">
        <v>59</v>
      </c>
      <c r="G197" s="5">
        <v>48</v>
      </c>
      <c r="H197" s="5">
        <v>43</v>
      </c>
      <c r="I197" s="11">
        <f t="shared" si="5"/>
        <v>51.25</v>
      </c>
      <c r="J197" s="15">
        <f>I197*5*10000</f>
        <v>2562500</v>
      </c>
      <c r="K197" s="2">
        <f>$K$125</f>
        <v>3000000</v>
      </c>
      <c r="L197" s="2">
        <f>J197*5</f>
        <v>12812500</v>
      </c>
      <c r="M197" s="3">
        <f>I197/(I197+I198)*100</f>
        <v>97.61904761904762</v>
      </c>
      <c r="N197" s="22">
        <f>I199/I197*100</f>
        <v>0</v>
      </c>
      <c r="O197" s="4">
        <f>3.32*(LOG(L197)-LOG(K197))</f>
        <v>2.0933019106181527</v>
      </c>
      <c r="P197" s="4">
        <f>IF(O197&lt;0,P194,P194+O197)</f>
        <v>114.15064187909832</v>
      </c>
    </row>
    <row r="198" spans="1:16" ht="14.25" customHeight="1" x14ac:dyDescent="0.35">
      <c r="A198" s="2"/>
      <c r="B198" s="109"/>
      <c r="C198" s="129"/>
      <c r="D198" s="92" t="s">
        <v>66</v>
      </c>
      <c r="E198" s="5">
        <v>0</v>
      </c>
      <c r="F198" s="5">
        <v>3</v>
      </c>
      <c r="G198" s="5">
        <v>2</v>
      </c>
      <c r="H198" s="5">
        <v>0</v>
      </c>
      <c r="I198" s="11">
        <f t="shared" si="5"/>
        <v>1.25</v>
      </c>
      <c r="J198" s="15"/>
      <c r="K198" s="2"/>
      <c r="L198" s="2"/>
      <c r="M198" s="2"/>
      <c r="N198" s="20"/>
      <c r="O198" s="2"/>
      <c r="P198" s="2"/>
    </row>
    <row r="199" spans="1:16" ht="14.25" customHeight="1" x14ac:dyDescent="0.35">
      <c r="A199" s="2"/>
      <c r="B199" s="109"/>
      <c r="C199" s="129"/>
      <c r="D199" s="92" t="s">
        <v>67</v>
      </c>
      <c r="E199" s="5">
        <v>0</v>
      </c>
      <c r="F199" s="5">
        <v>0</v>
      </c>
      <c r="G199" s="5">
        <v>0</v>
      </c>
      <c r="H199" s="5">
        <v>0</v>
      </c>
      <c r="I199" s="11">
        <f t="shared" si="5"/>
        <v>0</v>
      </c>
      <c r="J199" s="15"/>
      <c r="K199" s="2"/>
      <c r="L199" s="2"/>
      <c r="M199" s="2"/>
      <c r="N199" s="20"/>
      <c r="O199" s="2"/>
      <c r="P199" s="2"/>
    </row>
    <row r="200" spans="1:16" ht="14.25" customHeight="1" x14ac:dyDescent="0.35">
      <c r="A200" s="13">
        <v>44789</v>
      </c>
      <c r="B200" s="109">
        <f>B197+7</f>
        <v>439</v>
      </c>
      <c r="C200" s="129" t="str">
        <f>$C$125</f>
        <v>10% FBS R1</v>
      </c>
      <c r="D200" s="91" t="s">
        <v>65</v>
      </c>
      <c r="E200" s="5">
        <v>99</v>
      </c>
      <c r="F200" s="5">
        <v>89</v>
      </c>
      <c r="G200" s="5">
        <v>107</v>
      </c>
      <c r="H200" s="5">
        <v>80</v>
      </c>
      <c r="I200" s="11">
        <f t="shared" si="5"/>
        <v>93.75</v>
      </c>
      <c r="J200" s="15">
        <f>I200*5*10000</f>
        <v>4687500</v>
      </c>
      <c r="K200" s="2">
        <f>$K$125</f>
        <v>3000000</v>
      </c>
      <c r="L200" s="2">
        <f>J200*5</f>
        <v>23437500</v>
      </c>
      <c r="M200" s="3">
        <f>I200/(I200+I201)*100</f>
        <v>98.167539267015698</v>
      </c>
      <c r="N200" s="22">
        <f>I202/I200*100</f>
        <v>0</v>
      </c>
      <c r="O200" s="4">
        <f>3.32*(LOG(L200)-LOG(K200))</f>
        <v>2.9640629007690755</v>
      </c>
      <c r="P200" s="4">
        <f>IF(O200&lt;0,P197,P197+O200)</f>
        <v>117.1147047798674</v>
      </c>
    </row>
    <row r="201" spans="1:16" ht="14.25" customHeight="1" x14ac:dyDescent="0.35">
      <c r="A201" s="2"/>
      <c r="B201" s="109"/>
      <c r="C201" s="129"/>
      <c r="D201" s="92" t="s">
        <v>66</v>
      </c>
      <c r="E201" s="5">
        <v>1</v>
      </c>
      <c r="F201" s="5">
        <v>2</v>
      </c>
      <c r="G201" s="5">
        <v>0</v>
      </c>
      <c r="H201" s="5">
        <v>4</v>
      </c>
      <c r="I201" s="11">
        <f t="shared" si="5"/>
        <v>1.75</v>
      </c>
      <c r="J201" s="15"/>
      <c r="K201" s="2"/>
      <c r="L201" s="2"/>
      <c r="M201" s="2"/>
      <c r="N201" s="20"/>
      <c r="O201" s="2"/>
      <c r="P201" s="2"/>
    </row>
    <row r="202" spans="1:16" ht="14.25" customHeight="1" x14ac:dyDescent="0.35">
      <c r="A202" s="2"/>
      <c r="B202" s="109"/>
      <c r="C202" s="129"/>
      <c r="D202" s="92" t="s">
        <v>67</v>
      </c>
      <c r="E202" s="5">
        <v>0</v>
      </c>
      <c r="F202" s="5">
        <v>0</v>
      </c>
      <c r="G202" s="5">
        <v>0</v>
      </c>
      <c r="H202" s="5">
        <v>0</v>
      </c>
      <c r="I202" s="11">
        <f t="shared" si="5"/>
        <v>0</v>
      </c>
      <c r="J202" s="15"/>
      <c r="K202" s="2"/>
      <c r="L202" s="2"/>
      <c r="M202" s="2"/>
      <c r="N202" s="20"/>
      <c r="O202" s="2"/>
      <c r="P202" s="2"/>
    </row>
    <row r="203" spans="1:16" ht="14.25" customHeight="1" x14ac:dyDescent="0.35">
      <c r="A203" s="13">
        <v>44795</v>
      </c>
      <c r="B203" s="109">
        <f>B200+6</f>
        <v>445</v>
      </c>
      <c r="C203" s="129" t="str">
        <f>$C$125</f>
        <v>10% FBS R1</v>
      </c>
      <c r="D203" s="91" t="s">
        <v>65</v>
      </c>
      <c r="E203" s="5">
        <v>101</v>
      </c>
      <c r="F203" s="5">
        <v>125</v>
      </c>
      <c r="G203" s="5">
        <v>120</v>
      </c>
      <c r="H203" s="5">
        <v>101</v>
      </c>
      <c r="I203" s="11">
        <f t="shared" si="5"/>
        <v>111.75</v>
      </c>
      <c r="J203" s="15">
        <f>I203*5*10000</f>
        <v>5587500</v>
      </c>
      <c r="K203" s="2">
        <f>$K$125</f>
        <v>3000000</v>
      </c>
      <c r="L203" s="2">
        <f>J203*5</f>
        <v>27937500</v>
      </c>
      <c r="M203" s="3">
        <f>I203/(I203+I204)*100</f>
        <v>98.026315789473685</v>
      </c>
      <c r="N203" s="22">
        <f>I205/I203*100</f>
        <v>0</v>
      </c>
      <c r="O203" s="4">
        <f>3.32*(LOG(L203)-LOG(K203))</f>
        <v>3.2173000687110784</v>
      </c>
      <c r="P203" s="4">
        <f>IF(O203&lt;0,P200,P200+O203)</f>
        <v>120.33200484857848</v>
      </c>
    </row>
    <row r="204" spans="1:16" ht="14.25" customHeight="1" x14ac:dyDescent="0.35">
      <c r="A204" s="2"/>
      <c r="B204" s="109"/>
      <c r="C204" s="129"/>
      <c r="D204" s="92" t="s">
        <v>66</v>
      </c>
      <c r="E204" s="5">
        <v>1</v>
      </c>
      <c r="F204" s="5">
        <v>4</v>
      </c>
      <c r="G204" s="5">
        <v>2</v>
      </c>
      <c r="H204" s="5">
        <v>2</v>
      </c>
      <c r="I204" s="11">
        <f t="shared" si="5"/>
        <v>2.25</v>
      </c>
      <c r="J204" s="15"/>
      <c r="K204" s="2"/>
      <c r="L204" s="2"/>
      <c r="M204" s="2"/>
      <c r="N204" s="20"/>
      <c r="O204" s="2"/>
      <c r="P204" s="2"/>
    </row>
    <row r="205" spans="1:16" ht="14.25" customHeight="1" x14ac:dyDescent="0.35">
      <c r="A205" s="2"/>
      <c r="B205" s="109"/>
      <c r="C205" s="129"/>
      <c r="D205" s="92" t="s">
        <v>67</v>
      </c>
      <c r="E205" s="5">
        <v>0</v>
      </c>
      <c r="F205" s="5">
        <v>0</v>
      </c>
      <c r="G205" s="5">
        <v>0</v>
      </c>
      <c r="H205" s="5">
        <v>0</v>
      </c>
      <c r="I205" s="11">
        <f t="shared" si="5"/>
        <v>0</v>
      </c>
      <c r="J205" s="15"/>
      <c r="K205" s="2"/>
      <c r="L205" s="2"/>
      <c r="M205" s="2"/>
      <c r="N205" s="20"/>
      <c r="O205" s="2"/>
      <c r="P205" s="2"/>
    </row>
    <row r="206" spans="1:16" ht="14.25" customHeight="1" x14ac:dyDescent="0.35">
      <c r="A206" s="13">
        <v>44802</v>
      </c>
      <c r="B206" s="109">
        <f>B203+7</f>
        <v>452</v>
      </c>
      <c r="C206" s="129" t="str">
        <f>$C$125</f>
        <v>10% FBS R1</v>
      </c>
      <c r="D206" s="91" t="s">
        <v>65</v>
      </c>
      <c r="E206" s="5">
        <v>157</v>
      </c>
      <c r="F206" s="5">
        <v>139</v>
      </c>
      <c r="G206" s="5">
        <v>153</v>
      </c>
      <c r="H206" s="5">
        <v>149</v>
      </c>
      <c r="I206" s="11">
        <f t="shared" si="5"/>
        <v>149.5</v>
      </c>
      <c r="J206" s="15">
        <f>I206*5*10000</f>
        <v>7475000</v>
      </c>
      <c r="K206" s="2">
        <f>$K$125</f>
        <v>3000000</v>
      </c>
      <c r="L206" s="2">
        <f>J206*5</f>
        <v>37375000</v>
      </c>
      <c r="M206" s="3">
        <f>I206/(I206+I207)*100</f>
        <v>97.235772357723576</v>
      </c>
      <c r="N206" s="22">
        <f>I208/I206*100</f>
        <v>0</v>
      </c>
      <c r="O206" s="4">
        <f>3.32*(LOG(L206)-LOG(K206))</f>
        <v>3.6369270227545742</v>
      </c>
      <c r="P206" s="4">
        <f>IF(O206&lt;0,P203,P203+O206)</f>
        <v>123.96893187133306</v>
      </c>
    </row>
    <row r="207" spans="1:16" ht="14.25" customHeight="1" x14ac:dyDescent="0.35">
      <c r="A207" s="2"/>
      <c r="B207" s="109"/>
      <c r="C207" s="129"/>
      <c r="D207" s="92" t="s">
        <v>66</v>
      </c>
      <c r="E207" s="5">
        <v>3</v>
      </c>
      <c r="F207" s="5">
        <v>3</v>
      </c>
      <c r="G207" s="5">
        <v>6</v>
      </c>
      <c r="H207" s="5">
        <v>5</v>
      </c>
      <c r="I207" s="11">
        <f t="shared" si="5"/>
        <v>4.25</v>
      </c>
      <c r="J207" s="15"/>
      <c r="K207" s="2"/>
      <c r="L207" s="2"/>
      <c r="M207" s="2"/>
      <c r="N207" s="20"/>
      <c r="O207" s="2"/>
      <c r="P207" s="2"/>
    </row>
    <row r="208" spans="1:16" ht="14.25" customHeight="1" x14ac:dyDescent="0.35">
      <c r="A208" s="2"/>
      <c r="B208" s="109"/>
      <c r="C208" s="129"/>
      <c r="D208" s="92" t="s">
        <v>67</v>
      </c>
      <c r="E208" s="5">
        <v>0</v>
      </c>
      <c r="F208" s="5">
        <v>0</v>
      </c>
      <c r="G208" s="5">
        <v>0</v>
      </c>
      <c r="H208" s="5">
        <v>0</v>
      </c>
      <c r="I208" s="11">
        <f t="shared" si="5"/>
        <v>0</v>
      </c>
      <c r="J208" s="15"/>
      <c r="K208" s="2"/>
      <c r="L208" s="2"/>
      <c r="M208" s="2"/>
      <c r="N208" s="20"/>
      <c r="O208" s="2"/>
      <c r="P208" s="2"/>
    </row>
    <row r="209" spans="1:16" ht="14.25" customHeight="1" x14ac:dyDescent="0.35">
      <c r="A209" s="13">
        <v>44810</v>
      </c>
      <c r="B209" s="109">
        <f>B206+8</f>
        <v>460</v>
      </c>
      <c r="C209" s="129" t="str">
        <f>$C$125</f>
        <v>10% FBS R1</v>
      </c>
      <c r="D209" s="91" t="s">
        <v>65</v>
      </c>
      <c r="E209" s="5">
        <f>97*4</f>
        <v>388</v>
      </c>
      <c r="F209" s="5">
        <f>110*4</f>
        <v>440</v>
      </c>
      <c r="G209" s="5">
        <f>74*4</f>
        <v>296</v>
      </c>
      <c r="H209" s="5">
        <f>85*4</f>
        <v>340</v>
      </c>
      <c r="I209" s="11">
        <f t="shared" si="5"/>
        <v>366</v>
      </c>
      <c r="J209" s="15">
        <f>I209*5*10000</f>
        <v>18300000</v>
      </c>
      <c r="K209" s="2">
        <f>$K$125</f>
        <v>3000000</v>
      </c>
      <c r="L209" s="2">
        <f>J209*5</f>
        <v>91500000</v>
      </c>
      <c r="M209" s="3">
        <f>I209/(I209+I210)*100</f>
        <v>95.064935064935057</v>
      </c>
      <c r="N209" s="22">
        <f>I211/I209*100</f>
        <v>0</v>
      </c>
      <c r="O209" s="4">
        <f>3.32*(LOG(L209)-LOG(K209))</f>
        <v>4.9278754666313285</v>
      </c>
      <c r="P209" s="4">
        <f>IF(O209&lt;0,P206,P206+O209)</f>
        <v>128.89680733796439</v>
      </c>
    </row>
    <row r="210" spans="1:16" ht="14.25" customHeight="1" x14ac:dyDescent="0.35">
      <c r="A210" s="2"/>
      <c r="B210" s="109"/>
      <c r="C210" s="129"/>
      <c r="D210" s="92" t="s">
        <v>66</v>
      </c>
      <c r="E210" s="5">
        <f>6*4</f>
        <v>24</v>
      </c>
      <c r="F210" s="5">
        <f>3*4</f>
        <v>12</v>
      </c>
      <c r="G210" s="5">
        <f>6*4</f>
        <v>24</v>
      </c>
      <c r="H210" s="5">
        <f>4*4</f>
        <v>16</v>
      </c>
      <c r="I210" s="11">
        <f t="shared" si="5"/>
        <v>19</v>
      </c>
      <c r="J210" s="15"/>
      <c r="K210" s="2"/>
      <c r="L210" s="2"/>
      <c r="M210" s="2"/>
      <c r="N210" s="20"/>
      <c r="O210" s="2"/>
      <c r="P210" s="2"/>
    </row>
    <row r="211" spans="1:16" ht="14.25" customHeight="1" x14ac:dyDescent="0.35">
      <c r="A211" s="2"/>
      <c r="B211" s="109"/>
      <c r="C211" s="129"/>
      <c r="D211" s="92" t="s">
        <v>67</v>
      </c>
      <c r="E211" s="5">
        <v>0</v>
      </c>
      <c r="F211" s="5">
        <v>0</v>
      </c>
      <c r="G211" s="5">
        <v>0</v>
      </c>
      <c r="H211" s="5">
        <v>0</v>
      </c>
      <c r="I211" s="11">
        <f t="shared" si="5"/>
        <v>0</v>
      </c>
      <c r="J211" s="15"/>
      <c r="K211" s="2"/>
      <c r="L211" s="2"/>
      <c r="M211" s="2"/>
      <c r="N211" s="20"/>
      <c r="O211" s="2"/>
      <c r="P211" s="2"/>
    </row>
    <row r="212" spans="1:16" ht="14.25" customHeight="1" x14ac:dyDescent="0.35">
      <c r="A212" s="13">
        <v>44816</v>
      </c>
      <c r="B212" s="109">
        <f>B209+6</f>
        <v>466</v>
      </c>
      <c r="C212" s="129" t="str">
        <f>$C$125</f>
        <v>10% FBS R1</v>
      </c>
      <c r="D212" s="91" t="s">
        <v>65</v>
      </c>
      <c r="E212" s="5">
        <v>214</v>
      </c>
      <c r="F212" s="5">
        <v>236</v>
      </c>
      <c r="G212" s="5">
        <v>317</v>
      </c>
      <c r="H212" s="5">
        <v>237</v>
      </c>
      <c r="I212" s="11">
        <f t="shared" si="5"/>
        <v>251</v>
      </c>
      <c r="J212" s="15">
        <f>I212*5*10000</f>
        <v>12550000</v>
      </c>
      <c r="K212" s="2">
        <f>$K$125</f>
        <v>3000000</v>
      </c>
      <c r="L212" s="2">
        <f>J212*5</f>
        <v>62750000</v>
      </c>
      <c r="M212" s="3">
        <f>I212/(I212+I213)*100</f>
        <v>94.538606403013176</v>
      </c>
      <c r="N212" s="22">
        <f>I214/I212*100</f>
        <v>0</v>
      </c>
      <c r="O212" s="4">
        <f>3.32*(LOG(L212)-LOG(K212))</f>
        <v>4.3840350184389321</v>
      </c>
      <c r="P212" s="4">
        <f>IF(O212&lt;0,P209,P209+O212)</f>
        <v>133.28084235640333</v>
      </c>
    </row>
    <row r="213" spans="1:16" ht="14.25" customHeight="1" x14ac:dyDescent="0.35">
      <c r="A213" s="2"/>
      <c r="B213" s="109"/>
      <c r="C213" s="129"/>
      <c r="D213" s="92" t="s">
        <v>66</v>
      </c>
      <c r="E213" s="5">
        <v>17</v>
      </c>
      <c r="F213" s="5">
        <v>20</v>
      </c>
      <c r="G213" s="5">
        <v>11</v>
      </c>
      <c r="H213" s="5">
        <v>10</v>
      </c>
      <c r="I213" s="11">
        <f t="shared" si="5"/>
        <v>14.5</v>
      </c>
      <c r="J213" s="15"/>
      <c r="K213" s="2"/>
      <c r="L213" s="2"/>
      <c r="M213" s="2"/>
      <c r="N213" s="20"/>
      <c r="O213" s="2"/>
      <c r="P213" s="2"/>
    </row>
    <row r="214" spans="1:16" ht="14.25" customHeight="1" x14ac:dyDescent="0.35">
      <c r="A214" s="2"/>
      <c r="B214" s="109"/>
      <c r="C214" s="129"/>
      <c r="D214" s="92" t="s">
        <v>67</v>
      </c>
      <c r="E214" s="5">
        <v>0</v>
      </c>
      <c r="F214" s="5">
        <v>0</v>
      </c>
      <c r="G214" s="5">
        <v>0</v>
      </c>
      <c r="H214" s="5">
        <v>0</v>
      </c>
      <c r="I214" s="11">
        <f t="shared" si="5"/>
        <v>0</v>
      </c>
      <c r="J214" s="15"/>
      <c r="K214" s="2"/>
      <c r="L214" s="2"/>
      <c r="M214" s="2"/>
      <c r="N214" s="20"/>
      <c r="O214" s="2"/>
      <c r="P214" s="2"/>
    </row>
    <row r="215" spans="1:16" ht="14.25" customHeight="1" x14ac:dyDescent="0.35">
      <c r="A215" s="13">
        <v>44823</v>
      </c>
      <c r="B215" s="109">
        <f>B212+7</f>
        <v>473</v>
      </c>
      <c r="C215" s="129" t="str">
        <f>$C$125</f>
        <v>10% FBS R1</v>
      </c>
      <c r="D215" s="91" t="s">
        <v>65</v>
      </c>
      <c r="E215" s="5">
        <v>272</v>
      </c>
      <c r="F215" s="5">
        <v>198</v>
      </c>
      <c r="G215" s="5">
        <v>296</v>
      </c>
      <c r="H215" s="5">
        <v>308</v>
      </c>
      <c r="I215" s="11">
        <f t="shared" si="5"/>
        <v>268.5</v>
      </c>
      <c r="J215" s="15">
        <f>I215*5*10000</f>
        <v>13425000</v>
      </c>
      <c r="K215" s="2">
        <f>$K$125</f>
        <v>3000000</v>
      </c>
      <c r="L215" s="2">
        <f>J215*5</f>
        <v>67125000</v>
      </c>
      <c r="M215" s="3">
        <f>I215/(I215+I216)*100</f>
        <v>92.746113989637308</v>
      </c>
      <c r="N215" s="22">
        <f>I217/I215*100</f>
        <v>9.3109869646182494E-2</v>
      </c>
      <c r="O215" s="4">
        <f>3.32*(LOG(L215)-LOG(K215))</f>
        <v>4.4812133060399919</v>
      </c>
      <c r="P215" s="4">
        <f>IF(O215&lt;0,P212,P212+O215)</f>
        <v>137.76205566244332</v>
      </c>
    </row>
    <row r="216" spans="1:16" ht="14.25" customHeight="1" x14ac:dyDescent="0.35">
      <c r="A216" s="2"/>
      <c r="B216" s="109"/>
      <c r="C216" s="129"/>
      <c r="D216" s="92" t="s">
        <v>66</v>
      </c>
      <c r="E216" s="5">
        <v>14</v>
      </c>
      <c r="F216" s="5">
        <v>27</v>
      </c>
      <c r="G216" s="5">
        <v>29</v>
      </c>
      <c r="H216" s="5">
        <v>14</v>
      </c>
      <c r="I216" s="11">
        <f t="shared" si="5"/>
        <v>21</v>
      </c>
      <c r="J216" s="15"/>
      <c r="K216" s="2"/>
      <c r="L216" s="2"/>
      <c r="M216" s="2"/>
      <c r="N216" s="20"/>
      <c r="O216" s="2"/>
      <c r="P216" s="2"/>
    </row>
    <row r="217" spans="1:16" ht="14.25" customHeight="1" x14ac:dyDescent="0.35">
      <c r="A217" s="2"/>
      <c r="B217" s="109"/>
      <c r="C217" s="129"/>
      <c r="D217" s="92" t="s">
        <v>67</v>
      </c>
      <c r="E217" s="5">
        <v>0</v>
      </c>
      <c r="F217" s="5">
        <v>0</v>
      </c>
      <c r="G217" s="5">
        <v>0</v>
      </c>
      <c r="H217" s="5">
        <v>1</v>
      </c>
      <c r="I217" s="11">
        <f t="shared" si="5"/>
        <v>0.25</v>
      </c>
      <c r="J217" s="15"/>
      <c r="K217" s="2"/>
      <c r="L217" s="2"/>
      <c r="M217" s="2"/>
      <c r="N217" s="20"/>
      <c r="O217" s="2"/>
      <c r="P217" s="2"/>
    </row>
    <row r="218" spans="1:16" ht="14.25" customHeight="1" x14ac:dyDescent="0.35">
      <c r="A218" s="13">
        <v>44830</v>
      </c>
      <c r="B218" s="109">
        <f>B215+7</f>
        <v>480</v>
      </c>
      <c r="C218" s="129" t="str">
        <f>$C$125</f>
        <v>10% FBS R1</v>
      </c>
      <c r="D218" s="91" t="s">
        <v>65</v>
      </c>
      <c r="E218" s="5">
        <f>97*4</f>
        <v>388</v>
      </c>
      <c r="F218" s="5">
        <f>95*4</f>
        <v>380</v>
      </c>
      <c r="G218" s="5">
        <f>81*4</f>
        <v>324</v>
      </c>
      <c r="H218" s="5">
        <f>92*4</f>
        <v>368</v>
      </c>
      <c r="I218" s="11">
        <f t="shared" si="5"/>
        <v>365</v>
      </c>
      <c r="J218" s="15">
        <f>I218*5*10000</f>
        <v>18250000</v>
      </c>
      <c r="K218" s="2">
        <f>$K$125</f>
        <v>3000000</v>
      </c>
      <c r="L218" s="2">
        <f>J218*5</f>
        <v>91250000</v>
      </c>
      <c r="M218" s="3">
        <f>I218/(I218+I219)*100</f>
        <v>92.171717171717177</v>
      </c>
      <c r="N218" s="22">
        <f>I220/I218*100</f>
        <v>0</v>
      </c>
      <c r="O218" s="4">
        <f>3.32*(LOG(L218)-LOG(K218))</f>
        <v>4.9239305731173806</v>
      </c>
      <c r="P218" s="4">
        <f>IF(O218&lt;0,P215,P215+O218)</f>
        <v>142.6859862355607</v>
      </c>
    </row>
    <row r="219" spans="1:16" ht="14.25" customHeight="1" x14ac:dyDescent="0.35">
      <c r="A219" s="2"/>
      <c r="B219" s="109"/>
      <c r="C219" s="129"/>
      <c r="D219" s="92" t="s">
        <v>66</v>
      </c>
      <c r="E219" s="5">
        <f>6*4</f>
        <v>24</v>
      </c>
      <c r="F219" s="5">
        <f>8*4</f>
        <v>32</v>
      </c>
      <c r="G219" s="5">
        <f>AVERAGE(B219:F219)</f>
        <v>28</v>
      </c>
      <c r="H219" s="5">
        <f>40</f>
        <v>40</v>
      </c>
      <c r="I219" s="11">
        <f t="shared" si="5"/>
        <v>31</v>
      </c>
      <c r="J219" s="15"/>
      <c r="K219" s="2"/>
      <c r="L219" s="2"/>
      <c r="M219" s="2"/>
      <c r="N219" s="20"/>
      <c r="O219" s="2"/>
      <c r="P219" s="2"/>
    </row>
    <row r="220" spans="1:16" ht="14.25" customHeight="1" x14ac:dyDescent="0.35">
      <c r="A220" s="2"/>
      <c r="B220" s="109"/>
      <c r="C220" s="129"/>
      <c r="D220" s="92" t="s">
        <v>67</v>
      </c>
      <c r="E220" s="5">
        <v>0</v>
      </c>
      <c r="F220" s="5">
        <v>0</v>
      </c>
      <c r="G220" s="5">
        <v>0</v>
      </c>
      <c r="H220" s="5">
        <v>0</v>
      </c>
      <c r="I220" s="11">
        <f t="shared" si="5"/>
        <v>0</v>
      </c>
      <c r="J220" s="15"/>
      <c r="K220" s="2"/>
      <c r="L220" s="2"/>
      <c r="M220" s="2"/>
      <c r="N220" s="20"/>
      <c r="O220" s="2"/>
      <c r="P220" s="2"/>
    </row>
    <row r="221" spans="1:16" ht="14.25" customHeight="1" x14ac:dyDescent="0.35">
      <c r="A221" s="13">
        <v>44837</v>
      </c>
      <c r="B221" s="109">
        <f>B218+7</f>
        <v>487</v>
      </c>
      <c r="C221" s="129" t="str">
        <f>$C$125</f>
        <v>10% FBS R1</v>
      </c>
      <c r="D221" s="91" t="s">
        <v>65</v>
      </c>
      <c r="E221" s="5">
        <f>84*4</f>
        <v>336</v>
      </c>
      <c r="F221" s="5">
        <f>76*4</f>
        <v>304</v>
      </c>
      <c r="G221" s="5">
        <f>74*4</f>
        <v>296</v>
      </c>
      <c r="H221" s="5">
        <f>71*4</f>
        <v>284</v>
      </c>
      <c r="I221" s="11">
        <f t="shared" si="5"/>
        <v>305</v>
      </c>
      <c r="J221" s="15">
        <f>I221*5*10000</f>
        <v>15250000</v>
      </c>
      <c r="K221" s="2">
        <f>$K$125</f>
        <v>3000000</v>
      </c>
      <c r="L221" s="2">
        <f>J221*5</f>
        <v>76250000</v>
      </c>
      <c r="M221" s="3">
        <f>I221/(I221+I222)*100</f>
        <v>89.970501474926252</v>
      </c>
      <c r="N221" s="22">
        <f>I223/I221*100</f>
        <v>0</v>
      </c>
      <c r="O221" s="4">
        <f>3.32*(LOG(L221)-LOG(K221))</f>
        <v>4.6649937297532134</v>
      </c>
      <c r="P221" s="4">
        <f>IF(O221&lt;0,P218,P218+O221)</f>
        <v>147.35097996531391</v>
      </c>
    </row>
    <row r="222" spans="1:16" ht="14.25" customHeight="1" x14ac:dyDescent="0.35">
      <c r="A222" s="2"/>
      <c r="B222" s="109"/>
      <c r="C222" s="129"/>
      <c r="D222" s="92" t="s">
        <v>66</v>
      </c>
      <c r="E222" s="5">
        <f>6*4</f>
        <v>24</v>
      </c>
      <c r="F222" s="5">
        <f>8*4</f>
        <v>32</v>
      </c>
      <c r="G222" s="5">
        <f t="shared" ref="G222:H222" si="8">10*4</f>
        <v>40</v>
      </c>
      <c r="H222" s="5">
        <f t="shared" si="8"/>
        <v>40</v>
      </c>
      <c r="I222" s="11">
        <f t="shared" si="5"/>
        <v>34</v>
      </c>
      <c r="J222" s="15"/>
      <c r="K222" s="2"/>
      <c r="L222" s="2"/>
      <c r="M222" s="2"/>
      <c r="N222" s="20"/>
      <c r="O222" s="2"/>
      <c r="P222" s="2"/>
    </row>
    <row r="223" spans="1:16" ht="14.25" customHeight="1" x14ac:dyDescent="0.35">
      <c r="A223" s="2"/>
      <c r="B223" s="109"/>
      <c r="C223" s="129"/>
      <c r="D223" s="92" t="s">
        <v>67</v>
      </c>
      <c r="E223" s="5">
        <v>0</v>
      </c>
      <c r="F223" s="5">
        <v>0</v>
      </c>
      <c r="G223" s="5">
        <v>0</v>
      </c>
      <c r="H223" s="5">
        <v>0</v>
      </c>
      <c r="I223" s="11">
        <f t="shared" si="5"/>
        <v>0</v>
      </c>
      <c r="J223" s="15"/>
      <c r="K223" s="2"/>
      <c r="L223" s="2"/>
      <c r="M223" s="2"/>
      <c r="N223" s="20"/>
      <c r="O223" s="2"/>
      <c r="P223" s="2"/>
    </row>
    <row r="224" spans="1:16" ht="14.25" customHeight="1" x14ac:dyDescent="0.35">
      <c r="A224" s="13">
        <v>44844</v>
      </c>
      <c r="B224" s="109">
        <f>B221+7</f>
        <v>494</v>
      </c>
      <c r="C224" s="129" t="str">
        <f>$C$125</f>
        <v>10% FBS R1</v>
      </c>
      <c r="D224" s="91" t="s">
        <v>65</v>
      </c>
      <c r="E224" s="5">
        <f>82*4</f>
        <v>328</v>
      </c>
      <c r="F224" s="5">
        <f>74*4</f>
        <v>296</v>
      </c>
      <c r="G224" s="5">
        <f>59*4</f>
        <v>236</v>
      </c>
      <c r="H224" s="5">
        <f>85*4</f>
        <v>340</v>
      </c>
      <c r="I224" s="11">
        <f t="shared" si="5"/>
        <v>300</v>
      </c>
      <c r="J224" s="15">
        <f>I224*5*10000</f>
        <v>15000000</v>
      </c>
      <c r="K224" s="2">
        <f>$K$125</f>
        <v>3000000</v>
      </c>
      <c r="L224" s="2">
        <f>J224*5</f>
        <v>75000000</v>
      </c>
      <c r="M224" s="3">
        <f>I224/(I224+I225)*100</f>
        <v>91.743119266055047</v>
      </c>
      <c r="N224" s="22">
        <f>I226/I224*100</f>
        <v>0</v>
      </c>
      <c r="O224" s="4">
        <f>3.32*(LOG(L224)-LOG(K224))</f>
        <v>4.6411608287911639</v>
      </c>
      <c r="P224" s="4">
        <f>IF(O224&lt;0,P221,P221+O224)</f>
        <v>151.99214079410507</v>
      </c>
    </row>
    <row r="225" spans="1:16" ht="14.25" customHeight="1" x14ac:dyDescent="0.35">
      <c r="A225" s="2"/>
      <c r="B225" s="109"/>
      <c r="C225" s="129"/>
      <c r="D225" s="92" t="s">
        <v>66</v>
      </c>
      <c r="E225" s="5">
        <f>4*4</f>
        <v>16</v>
      </c>
      <c r="F225" s="5">
        <f>5*4</f>
        <v>20</v>
      </c>
      <c r="G225" s="5">
        <f>8*4</f>
        <v>32</v>
      </c>
      <c r="H225" s="5">
        <f>10*4</f>
        <v>40</v>
      </c>
      <c r="I225" s="11">
        <f t="shared" si="5"/>
        <v>27</v>
      </c>
      <c r="J225" s="15"/>
      <c r="K225" s="2"/>
      <c r="L225" s="2"/>
      <c r="M225" s="2"/>
      <c r="N225" s="20"/>
      <c r="O225" s="2"/>
      <c r="P225" s="2"/>
    </row>
    <row r="226" spans="1:16" ht="14.25" customHeight="1" x14ac:dyDescent="0.35">
      <c r="A226" s="2"/>
      <c r="B226" s="109"/>
      <c r="C226" s="129"/>
      <c r="D226" s="92" t="s">
        <v>67</v>
      </c>
      <c r="E226" s="5">
        <v>0</v>
      </c>
      <c r="F226" s="5">
        <v>0</v>
      </c>
      <c r="G226" s="5">
        <v>0</v>
      </c>
      <c r="H226" s="5">
        <v>0</v>
      </c>
      <c r="I226" s="11">
        <f t="shared" si="5"/>
        <v>0</v>
      </c>
      <c r="J226" s="15"/>
      <c r="K226" s="2"/>
      <c r="L226" s="2"/>
      <c r="M226" s="2"/>
      <c r="N226" s="20"/>
      <c r="O226" s="2"/>
      <c r="P226" s="2"/>
    </row>
    <row r="227" spans="1:16" ht="14.25" customHeight="1" x14ac:dyDescent="0.35">
      <c r="A227" s="13">
        <v>44851</v>
      </c>
      <c r="B227" s="109">
        <f>B224+7</f>
        <v>501</v>
      </c>
      <c r="C227" s="129" t="str">
        <f>$C$125</f>
        <v>10% FBS R1</v>
      </c>
      <c r="D227" s="91" t="s">
        <v>65</v>
      </c>
      <c r="E227" s="5">
        <v>272</v>
      </c>
      <c r="F227" s="5">
        <v>288</v>
      </c>
      <c r="G227" s="5">
        <v>205</v>
      </c>
      <c r="H227" s="5">
        <v>242</v>
      </c>
      <c r="I227" s="11">
        <f t="shared" si="5"/>
        <v>251.75</v>
      </c>
      <c r="J227" s="15">
        <f>I227*5*10000</f>
        <v>12587500</v>
      </c>
      <c r="K227" s="2">
        <f>$K$125</f>
        <v>3000000</v>
      </c>
      <c r="L227" s="2">
        <f>J227*5</f>
        <v>62937500</v>
      </c>
      <c r="M227" s="3">
        <f>I227/(I227+I228)*100</f>
        <v>93.240740740740748</v>
      </c>
      <c r="N227" s="22">
        <f>I229/I227*100</f>
        <v>0</v>
      </c>
      <c r="O227" s="4">
        <f>3.32*(LOG(L227)-LOG(K227))</f>
        <v>4.3883369341510603</v>
      </c>
      <c r="P227" s="4">
        <f>IF(O227&lt;0,P224,P224+O227)</f>
        <v>156.38047772825612</v>
      </c>
    </row>
    <row r="228" spans="1:16" ht="14.25" customHeight="1" x14ac:dyDescent="0.35">
      <c r="A228" s="2"/>
      <c r="B228" s="109"/>
      <c r="C228" s="129"/>
      <c r="D228" s="92" t="s">
        <v>66</v>
      </c>
      <c r="E228" s="5">
        <v>12</v>
      </c>
      <c r="F228" s="5">
        <v>14</v>
      </c>
      <c r="G228" s="5">
        <v>26</v>
      </c>
      <c r="H228" s="5">
        <v>21</v>
      </c>
      <c r="I228" s="11">
        <f t="shared" si="5"/>
        <v>18.25</v>
      </c>
      <c r="J228" s="15"/>
      <c r="K228" s="2"/>
      <c r="L228" s="2"/>
      <c r="M228" s="2"/>
      <c r="N228" s="20"/>
      <c r="O228" s="2"/>
      <c r="P228" s="2"/>
    </row>
    <row r="229" spans="1:16" ht="14.25" customHeight="1" x14ac:dyDescent="0.35">
      <c r="A229" s="2"/>
      <c r="B229" s="109"/>
      <c r="C229" s="129"/>
      <c r="D229" s="92" t="s">
        <v>67</v>
      </c>
      <c r="E229" s="5">
        <v>0</v>
      </c>
      <c r="F229" s="5">
        <v>0</v>
      </c>
      <c r="G229" s="5">
        <v>0</v>
      </c>
      <c r="H229" s="5">
        <v>0</v>
      </c>
      <c r="I229" s="11">
        <f t="shared" si="5"/>
        <v>0</v>
      </c>
      <c r="J229" s="15"/>
      <c r="K229" s="2"/>
      <c r="L229" s="2"/>
      <c r="M229" s="2"/>
      <c r="N229" s="20"/>
      <c r="O229" s="2"/>
      <c r="P229" s="2"/>
    </row>
    <row r="230" spans="1:16" ht="14.25" customHeight="1" x14ac:dyDescent="0.35">
      <c r="A230" s="13">
        <v>44858</v>
      </c>
      <c r="B230" s="109">
        <f>B227+7</f>
        <v>508</v>
      </c>
      <c r="C230" s="129" t="str">
        <f>$C$125</f>
        <v>10% FBS R1</v>
      </c>
      <c r="D230" s="91" t="s">
        <v>65</v>
      </c>
      <c r="E230" s="5">
        <f>102*4</f>
        <v>408</v>
      </c>
      <c r="F230" s="5">
        <f>99*4</f>
        <v>396</v>
      </c>
      <c r="G230" s="5">
        <f>98*4</f>
        <v>392</v>
      </c>
      <c r="H230" s="5">
        <f>115*4</f>
        <v>460</v>
      </c>
      <c r="I230" s="11">
        <f t="shared" si="5"/>
        <v>414</v>
      </c>
      <c r="J230" s="15">
        <f>I230*5*10000</f>
        <v>20700000</v>
      </c>
      <c r="K230" s="2">
        <f>$K$125</f>
        <v>3000000</v>
      </c>
      <c r="L230" s="6">
        <f>J230*5</f>
        <v>103500000</v>
      </c>
      <c r="M230" s="3">
        <f>I230/(I230+I231)*100</f>
        <v>90.789473684210535</v>
      </c>
      <c r="N230" s="22">
        <f>I232/I230*100</f>
        <v>0</v>
      </c>
      <c r="O230" s="4">
        <f>3.32*(LOG(L230)-LOG(K230))</f>
        <v>5.1055593956432705</v>
      </c>
      <c r="P230" s="4">
        <f>IF(O230&lt;0,P227,P227+O230)</f>
        <v>161.48603712389939</v>
      </c>
    </row>
    <row r="231" spans="1:16" ht="14.25" customHeight="1" x14ac:dyDescent="0.35">
      <c r="A231" s="2"/>
      <c r="B231" s="109"/>
      <c r="C231" s="129"/>
      <c r="D231" s="92" t="s">
        <v>66</v>
      </c>
      <c r="E231" s="5">
        <f>7*4</f>
        <v>28</v>
      </c>
      <c r="F231" s="5">
        <f>11*4</f>
        <v>44</v>
      </c>
      <c r="G231" s="5">
        <f>10*4</f>
        <v>40</v>
      </c>
      <c r="H231" s="5">
        <f>14*4</f>
        <v>56</v>
      </c>
      <c r="I231" s="11">
        <f t="shared" si="5"/>
        <v>42</v>
      </c>
      <c r="J231" s="15"/>
      <c r="K231" s="2"/>
      <c r="L231" s="2"/>
      <c r="M231" s="2"/>
      <c r="N231" s="20"/>
      <c r="O231" s="2"/>
      <c r="P231" s="2"/>
    </row>
    <row r="232" spans="1:16" ht="14.25" customHeight="1" x14ac:dyDescent="0.35">
      <c r="A232" s="2"/>
      <c r="B232" s="109"/>
      <c r="C232" s="129"/>
      <c r="D232" s="92" t="s">
        <v>67</v>
      </c>
      <c r="E232" s="5">
        <v>0</v>
      </c>
      <c r="F232" s="5">
        <v>0</v>
      </c>
      <c r="G232" s="5">
        <v>0</v>
      </c>
      <c r="H232" s="5">
        <v>0</v>
      </c>
      <c r="I232" s="11">
        <f t="shared" si="5"/>
        <v>0</v>
      </c>
      <c r="J232" s="15"/>
      <c r="K232" s="2"/>
      <c r="L232" s="2"/>
      <c r="M232" s="2"/>
      <c r="N232" s="20"/>
      <c r="O232" s="2"/>
      <c r="P232" s="2"/>
    </row>
    <row r="233" spans="1:16" ht="14.25" customHeight="1" x14ac:dyDescent="0.35">
      <c r="A233" s="13">
        <v>44865</v>
      </c>
      <c r="B233" s="109">
        <f>B230+7</f>
        <v>515</v>
      </c>
      <c r="C233" s="129" t="str">
        <f>$C$125</f>
        <v>10% FBS R1</v>
      </c>
      <c r="D233" s="91" t="s">
        <v>65</v>
      </c>
      <c r="E233" s="5">
        <f>128*4</f>
        <v>512</v>
      </c>
      <c r="F233" s="5">
        <f>104*4</f>
        <v>416</v>
      </c>
      <c r="G233" s="5">
        <f>94*4</f>
        <v>376</v>
      </c>
      <c r="H233" s="5">
        <f>122*4</f>
        <v>488</v>
      </c>
      <c r="I233" s="11">
        <f t="shared" si="5"/>
        <v>448</v>
      </c>
      <c r="J233" s="15">
        <f>I233*5*10000</f>
        <v>22400000</v>
      </c>
      <c r="K233" s="2">
        <f>$K$125</f>
        <v>3000000</v>
      </c>
      <c r="L233" s="2">
        <f>J233*5</f>
        <v>112000000</v>
      </c>
      <c r="M233" s="3">
        <f>I233/(I233+I234)*100</f>
        <v>89.065606361829026</v>
      </c>
      <c r="N233" s="22">
        <f>I235/I233*100</f>
        <v>0</v>
      </c>
      <c r="O233" s="4">
        <f>3.32*(LOG(L233)-LOG(K233))</f>
        <v>5.2193612695957237</v>
      </c>
      <c r="P233" s="4">
        <f>IF(O233&lt;0,P230,P230+O233)</f>
        <v>166.70539839349513</v>
      </c>
    </row>
    <row r="234" spans="1:16" ht="14.25" customHeight="1" x14ac:dyDescent="0.35">
      <c r="A234" s="2"/>
      <c r="B234" s="109"/>
      <c r="C234" s="129"/>
      <c r="D234" s="92" t="s">
        <v>66</v>
      </c>
      <c r="E234" s="5">
        <f>11*4</f>
        <v>44</v>
      </c>
      <c r="F234" s="5">
        <f>12*4</f>
        <v>48</v>
      </c>
      <c r="G234" s="5">
        <f>20*4</f>
        <v>80</v>
      </c>
      <c r="H234" s="5">
        <f>12*4</f>
        <v>48</v>
      </c>
      <c r="I234" s="11">
        <f t="shared" si="5"/>
        <v>55</v>
      </c>
      <c r="J234" s="15"/>
      <c r="K234" s="2"/>
      <c r="L234" s="2"/>
      <c r="M234" s="2"/>
      <c r="N234" s="20"/>
      <c r="O234" s="2"/>
      <c r="P234" s="2"/>
    </row>
    <row r="235" spans="1:16" ht="14.25" customHeight="1" x14ac:dyDescent="0.35">
      <c r="A235" s="2"/>
      <c r="B235" s="109"/>
      <c r="C235" s="129"/>
      <c r="D235" s="92" t="s">
        <v>67</v>
      </c>
      <c r="E235" s="5">
        <v>0</v>
      </c>
      <c r="F235" s="5">
        <v>0</v>
      </c>
      <c r="G235" s="5">
        <v>0</v>
      </c>
      <c r="H235" s="5">
        <v>0</v>
      </c>
      <c r="I235" s="11">
        <f t="shared" si="5"/>
        <v>0</v>
      </c>
      <c r="J235" s="15"/>
      <c r="K235" s="2"/>
      <c r="L235" s="2"/>
      <c r="M235" s="2"/>
      <c r="N235" s="20"/>
      <c r="O235" s="2"/>
      <c r="P235" s="2"/>
    </row>
    <row r="236" spans="1:16" ht="14.25" customHeight="1" x14ac:dyDescent="0.35">
      <c r="A236" s="13">
        <v>44872</v>
      </c>
      <c r="B236" s="109">
        <f>B233+7</f>
        <v>522</v>
      </c>
      <c r="C236" s="129" t="str">
        <f>$C$125</f>
        <v>10% FBS R1</v>
      </c>
      <c r="D236" s="91" t="s">
        <v>65</v>
      </c>
      <c r="E236" s="5">
        <f>102*4</f>
        <v>408</v>
      </c>
      <c r="F236" s="5">
        <f>115*4</f>
        <v>460</v>
      </c>
      <c r="G236" s="5">
        <f>107*4</f>
        <v>428</v>
      </c>
      <c r="H236" s="5">
        <f>117*4</f>
        <v>468</v>
      </c>
      <c r="I236" s="11">
        <f t="shared" si="5"/>
        <v>441</v>
      </c>
      <c r="J236" s="15">
        <f>I236*5*10000</f>
        <v>22050000</v>
      </c>
      <c r="K236" s="2">
        <f>$K$125</f>
        <v>3000000</v>
      </c>
      <c r="L236" s="2">
        <f>J236*5</f>
        <v>110250000</v>
      </c>
      <c r="M236" s="3">
        <f>I236/(I236+I237)*100</f>
        <v>85.964912280701753</v>
      </c>
      <c r="N236" s="22">
        <f>I238/I236*100</f>
        <v>0</v>
      </c>
      <c r="O236" s="4">
        <f>3.32*(LOG(L236)-LOG(K236))</f>
        <v>5.1966543801551097</v>
      </c>
      <c r="P236" s="4">
        <f>IF(O236&lt;0,P233,P233+O236)</f>
        <v>171.90205277365024</v>
      </c>
    </row>
    <row r="237" spans="1:16" ht="14.25" customHeight="1" x14ac:dyDescent="0.35">
      <c r="A237" s="2"/>
      <c r="B237" s="109"/>
      <c r="C237" s="129"/>
      <c r="D237" s="92" t="s">
        <v>66</v>
      </c>
      <c r="E237" s="5">
        <f t="shared" ref="E237:F237" si="9">15*4</f>
        <v>60</v>
      </c>
      <c r="F237" s="5">
        <f t="shared" si="9"/>
        <v>60</v>
      </c>
      <c r="G237" s="5">
        <f>24*4</f>
        <v>96</v>
      </c>
      <c r="H237" s="5">
        <f>18*4</f>
        <v>72</v>
      </c>
      <c r="I237" s="11">
        <f t="shared" si="5"/>
        <v>72</v>
      </c>
      <c r="J237" s="15"/>
      <c r="K237" s="2"/>
      <c r="L237" s="2"/>
      <c r="M237" s="2"/>
      <c r="N237" s="20"/>
      <c r="O237" s="2"/>
      <c r="P237" s="2"/>
    </row>
    <row r="238" spans="1:16" ht="14.25" customHeight="1" x14ac:dyDescent="0.35">
      <c r="A238" s="2"/>
      <c r="B238" s="109"/>
      <c r="C238" s="129"/>
      <c r="D238" s="92" t="s">
        <v>67</v>
      </c>
      <c r="E238" s="5">
        <v>0</v>
      </c>
      <c r="F238" s="5">
        <v>0</v>
      </c>
      <c r="G238" s="5">
        <v>0</v>
      </c>
      <c r="H238" s="5">
        <v>0</v>
      </c>
      <c r="I238" s="11">
        <f t="shared" si="5"/>
        <v>0</v>
      </c>
      <c r="J238" s="15"/>
      <c r="K238" s="2"/>
      <c r="L238" s="2"/>
      <c r="M238" s="2"/>
      <c r="N238" s="20"/>
      <c r="O238" s="2"/>
      <c r="P238" s="2"/>
    </row>
    <row r="239" spans="1:16" ht="14.25" customHeight="1" x14ac:dyDescent="0.35">
      <c r="A239" s="13">
        <v>44879</v>
      </c>
      <c r="B239" s="109">
        <f>B236+7</f>
        <v>529</v>
      </c>
      <c r="C239" s="129" t="str">
        <f>$C$125</f>
        <v>10% FBS R1</v>
      </c>
      <c r="D239" s="91" t="s">
        <v>65</v>
      </c>
      <c r="E239" s="5">
        <f>52*4</f>
        <v>208</v>
      </c>
      <c r="F239" s="5">
        <f>61*4</f>
        <v>244</v>
      </c>
      <c r="G239" s="5">
        <f>76*4</f>
        <v>304</v>
      </c>
      <c r="H239" s="5">
        <f>52*4</f>
        <v>208</v>
      </c>
      <c r="I239" s="11">
        <f t="shared" si="5"/>
        <v>241</v>
      </c>
      <c r="J239" s="15">
        <f>I239*5*10000</f>
        <v>12050000</v>
      </c>
      <c r="K239" s="2">
        <f>$K$125</f>
        <v>3000000</v>
      </c>
      <c r="L239" s="2">
        <f>J239*5</f>
        <v>60250000</v>
      </c>
      <c r="M239" s="3">
        <f>I239/(I239+I240)*100</f>
        <v>88.278388278388277</v>
      </c>
      <c r="N239" s="22">
        <f>I241/I239*100</f>
        <v>0</v>
      </c>
      <c r="O239" s="4">
        <f>3.32*(LOG(L239)-LOG(K239))</f>
        <v>4.3254148444704477</v>
      </c>
      <c r="P239" s="4">
        <f>IF(O239&lt;0,P236,P236+O239)</f>
        <v>176.2274676181207</v>
      </c>
    </row>
    <row r="240" spans="1:16" ht="14.25" customHeight="1" x14ac:dyDescent="0.35">
      <c r="A240" s="2"/>
      <c r="B240" s="109"/>
      <c r="C240" s="129"/>
      <c r="D240" s="92" t="s">
        <v>66</v>
      </c>
      <c r="E240" s="5">
        <f>7*4</f>
        <v>28</v>
      </c>
      <c r="F240" s="5">
        <f t="shared" ref="F240:G240" si="10">9*4</f>
        <v>36</v>
      </c>
      <c r="G240" s="5">
        <f t="shared" si="10"/>
        <v>36</v>
      </c>
      <c r="H240" s="5">
        <f>7*4</f>
        <v>28</v>
      </c>
      <c r="I240" s="11">
        <f t="shared" si="5"/>
        <v>32</v>
      </c>
      <c r="J240" s="15"/>
      <c r="K240" s="2"/>
      <c r="L240" s="2"/>
      <c r="M240" s="2"/>
      <c r="N240" s="20"/>
      <c r="O240" s="2"/>
      <c r="P240" s="2"/>
    </row>
    <row r="241" spans="1:16" ht="14.25" customHeight="1" x14ac:dyDescent="0.35">
      <c r="A241" s="2"/>
      <c r="B241" s="109"/>
      <c r="C241" s="129"/>
      <c r="D241" s="92" t="s">
        <v>67</v>
      </c>
      <c r="E241" s="5">
        <v>0</v>
      </c>
      <c r="F241" s="5">
        <v>0</v>
      </c>
      <c r="G241" s="5">
        <v>0</v>
      </c>
      <c r="H241" s="5">
        <v>0</v>
      </c>
      <c r="I241" s="11">
        <f t="shared" si="5"/>
        <v>0</v>
      </c>
      <c r="J241" s="15"/>
      <c r="K241" s="2"/>
      <c r="L241" s="2"/>
      <c r="M241" s="2"/>
      <c r="N241" s="20"/>
      <c r="O241" s="2"/>
      <c r="P241" s="2"/>
    </row>
    <row r="242" spans="1:16" ht="14.25" customHeight="1" x14ac:dyDescent="0.35">
      <c r="A242" s="13">
        <v>44886</v>
      </c>
      <c r="B242" s="109">
        <f>B239+7</f>
        <v>536</v>
      </c>
      <c r="C242" s="129" t="str">
        <f>$C$125</f>
        <v>10% FBS R1</v>
      </c>
      <c r="D242" s="91" t="s">
        <v>65</v>
      </c>
      <c r="E242" s="5">
        <f>59*4</f>
        <v>236</v>
      </c>
      <c r="F242" s="5">
        <f>43*4</f>
        <v>172</v>
      </c>
      <c r="G242" s="5">
        <f>51*4</f>
        <v>204</v>
      </c>
      <c r="H242" s="5">
        <f>57*4</f>
        <v>228</v>
      </c>
      <c r="I242" s="11">
        <f t="shared" si="5"/>
        <v>210</v>
      </c>
      <c r="J242" s="15">
        <f>I242*5*10000</f>
        <v>10500000</v>
      </c>
      <c r="K242" s="2">
        <f>$K$125</f>
        <v>3000000</v>
      </c>
      <c r="L242" s="2">
        <f>J242*5</f>
        <v>52500000</v>
      </c>
      <c r="M242" s="3">
        <f>I242/(I242+I243)*100</f>
        <v>91.304347826086953</v>
      </c>
      <c r="N242" s="22">
        <f>I244/I242*100</f>
        <v>0</v>
      </c>
      <c r="O242" s="4">
        <f>3.32*(LOG(L242)-LOG(K242))</f>
        <v>4.126886321638497</v>
      </c>
      <c r="P242" s="4">
        <f>IF(O242&lt;0,P239,P239+O242)</f>
        <v>180.35435393975919</v>
      </c>
    </row>
    <row r="243" spans="1:16" ht="14.25" customHeight="1" x14ac:dyDescent="0.35">
      <c r="A243" s="2"/>
      <c r="B243" s="109"/>
      <c r="C243" s="129"/>
      <c r="D243" s="92" t="s">
        <v>66</v>
      </c>
      <c r="E243" s="5">
        <f>4*4</f>
        <v>16</v>
      </c>
      <c r="F243" s="5">
        <f>2*4</f>
        <v>8</v>
      </c>
      <c r="G243" s="5">
        <f>4*4</f>
        <v>16</v>
      </c>
      <c r="H243" s="5">
        <f>10*4</f>
        <v>40</v>
      </c>
      <c r="I243" s="11">
        <f t="shared" si="5"/>
        <v>20</v>
      </c>
      <c r="J243" s="15"/>
      <c r="K243" s="2"/>
      <c r="L243" s="2"/>
      <c r="M243" s="2"/>
      <c r="N243" s="20"/>
      <c r="O243" s="2"/>
      <c r="P243" s="2"/>
    </row>
    <row r="244" spans="1:16" ht="14.25" customHeight="1" x14ac:dyDescent="0.35">
      <c r="A244" s="2"/>
      <c r="B244" s="109"/>
      <c r="C244" s="129"/>
      <c r="D244" s="92" t="s">
        <v>67</v>
      </c>
      <c r="E244" s="5">
        <v>0</v>
      </c>
      <c r="F244" s="5">
        <v>0</v>
      </c>
      <c r="G244" s="5">
        <v>0</v>
      </c>
      <c r="H244" s="5">
        <v>0</v>
      </c>
      <c r="I244" s="11">
        <f t="shared" si="5"/>
        <v>0</v>
      </c>
      <c r="J244" s="15"/>
      <c r="K244" s="2"/>
      <c r="L244" s="2"/>
      <c r="M244" s="2"/>
      <c r="N244" s="20"/>
      <c r="O244" s="2"/>
      <c r="P244" s="2"/>
    </row>
    <row r="245" spans="1:16" ht="14.25" customHeight="1" x14ac:dyDescent="0.35">
      <c r="A245" s="13">
        <v>44893</v>
      </c>
      <c r="B245" s="109">
        <f>B242+7</f>
        <v>543</v>
      </c>
      <c r="C245" s="129" t="str">
        <f>$C$125</f>
        <v>10% FBS R1</v>
      </c>
      <c r="D245" s="91" t="s">
        <v>65</v>
      </c>
      <c r="E245" s="5">
        <f>82*4</f>
        <v>328</v>
      </c>
      <c r="F245" s="5">
        <f>106*4</f>
        <v>424</v>
      </c>
      <c r="G245" s="5">
        <f>108*4</f>
        <v>432</v>
      </c>
      <c r="H245" s="5">
        <f>77*4</f>
        <v>308</v>
      </c>
      <c r="I245" s="11">
        <f t="shared" si="5"/>
        <v>373</v>
      </c>
      <c r="J245" s="15">
        <f>I245*5*10000</f>
        <v>18650000</v>
      </c>
      <c r="K245" s="2">
        <f>$K$125</f>
        <v>3000000</v>
      </c>
      <c r="L245" s="2">
        <f>J245*5</f>
        <v>93250000</v>
      </c>
      <c r="M245" s="3">
        <f>I245/(I245+I246)*100</f>
        <v>96.382428940568474</v>
      </c>
      <c r="N245" s="22">
        <f>I247/I245*100</f>
        <v>0</v>
      </c>
      <c r="O245" s="4">
        <f>3.32*(LOG(L245)-LOG(K245))</f>
        <v>4.9551915847267276</v>
      </c>
      <c r="P245" s="4">
        <f>IF(O245&lt;0,P242,P242+O245)</f>
        <v>185.30954552448591</v>
      </c>
    </row>
    <row r="246" spans="1:16" ht="14.25" customHeight="1" x14ac:dyDescent="0.35">
      <c r="A246" s="2"/>
      <c r="B246" s="109"/>
      <c r="C246" s="129"/>
      <c r="D246" s="92" t="s">
        <v>66</v>
      </c>
      <c r="E246" s="5">
        <f>6*4</f>
        <v>24</v>
      </c>
      <c r="F246" s="5">
        <f>1*4</f>
        <v>4</v>
      </c>
      <c r="G246" s="5">
        <f>3*4</f>
        <v>12</v>
      </c>
      <c r="H246" s="5">
        <f>4*4</f>
        <v>16</v>
      </c>
      <c r="I246" s="11">
        <f t="shared" si="5"/>
        <v>14</v>
      </c>
      <c r="J246" s="15"/>
      <c r="K246" s="2"/>
      <c r="L246" s="2"/>
      <c r="M246" s="2"/>
      <c r="N246" s="20"/>
      <c r="O246" s="2"/>
      <c r="P246" s="2"/>
    </row>
    <row r="247" spans="1:16" ht="14.25" customHeight="1" x14ac:dyDescent="0.35">
      <c r="A247" s="2"/>
      <c r="B247" s="109"/>
      <c r="C247" s="129"/>
      <c r="D247" s="92" t="s">
        <v>67</v>
      </c>
      <c r="E247" s="5">
        <v>0</v>
      </c>
      <c r="F247" s="5">
        <v>0</v>
      </c>
      <c r="G247" s="5">
        <v>0</v>
      </c>
      <c r="H247" s="5">
        <v>0</v>
      </c>
      <c r="I247" s="11">
        <f t="shared" si="5"/>
        <v>0</v>
      </c>
      <c r="J247" s="15"/>
      <c r="K247" s="2"/>
      <c r="L247" s="2"/>
      <c r="M247" s="2"/>
      <c r="N247" s="20"/>
      <c r="O247" s="2"/>
      <c r="P247" s="2"/>
    </row>
    <row r="248" spans="1:16" ht="14.25" customHeight="1" x14ac:dyDescent="0.35">
      <c r="A248" s="13">
        <v>44900</v>
      </c>
      <c r="B248" s="109">
        <f>B245+7</f>
        <v>550</v>
      </c>
      <c r="C248" s="129" t="str">
        <f>$C$125</f>
        <v>10% FBS R1</v>
      </c>
      <c r="D248" s="91" t="s">
        <v>65</v>
      </c>
      <c r="E248" s="5">
        <f>96*4</f>
        <v>384</v>
      </c>
      <c r="F248" s="5">
        <f>93*4</f>
        <v>372</v>
      </c>
      <c r="G248" s="5">
        <f>107*4</f>
        <v>428</v>
      </c>
      <c r="H248" s="5">
        <f>87*4</f>
        <v>348</v>
      </c>
      <c r="I248" s="11">
        <f t="shared" si="5"/>
        <v>383</v>
      </c>
      <c r="J248" s="15">
        <f>I248*5*10000</f>
        <v>19150000</v>
      </c>
      <c r="K248" s="2">
        <f>$K$125</f>
        <v>3000000</v>
      </c>
      <c r="L248" s="2">
        <f>J248*5</f>
        <v>95750000</v>
      </c>
      <c r="M248" s="3">
        <f>I248/(I248+I249)*100</f>
        <v>98.520900321543408</v>
      </c>
      <c r="N248" s="22">
        <f>I250/I248*100</f>
        <v>0</v>
      </c>
      <c r="O248" s="4">
        <f>3.32*(LOG(L248)-LOG(K248))</f>
        <v>4.9933381926977125</v>
      </c>
      <c r="P248" s="4">
        <f>IF(O248&lt;0,P245,P245+O248)</f>
        <v>190.30288371718362</v>
      </c>
    </row>
    <row r="249" spans="1:16" ht="14.25" customHeight="1" x14ac:dyDescent="0.35">
      <c r="A249" s="2"/>
      <c r="B249" s="109"/>
      <c r="C249" s="129"/>
      <c r="D249" s="92" t="s">
        <v>66</v>
      </c>
      <c r="E249" s="5">
        <v>5</v>
      </c>
      <c r="F249" s="5">
        <v>4</v>
      </c>
      <c r="G249" s="5">
        <v>3</v>
      </c>
      <c r="H249" s="5">
        <v>11</v>
      </c>
      <c r="I249" s="11">
        <f t="shared" si="5"/>
        <v>5.75</v>
      </c>
      <c r="J249" s="15"/>
      <c r="K249" s="2"/>
      <c r="L249" s="2"/>
      <c r="M249" s="2"/>
      <c r="N249" s="20"/>
      <c r="O249" s="2"/>
      <c r="P249" s="2"/>
    </row>
    <row r="250" spans="1:16" ht="14.25" customHeight="1" x14ac:dyDescent="0.35">
      <c r="A250" s="2"/>
      <c r="B250" s="109"/>
      <c r="C250" s="129"/>
      <c r="D250" s="92" t="s">
        <v>67</v>
      </c>
      <c r="E250" s="5">
        <v>0</v>
      </c>
      <c r="F250" s="5">
        <v>0</v>
      </c>
      <c r="G250" s="5">
        <v>0</v>
      </c>
      <c r="H250" s="5">
        <v>0</v>
      </c>
      <c r="I250" s="11">
        <f t="shared" si="5"/>
        <v>0</v>
      </c>
      <c r="J250" s="15"/>
      <c r="K250" s="2"/>
      <c r="L250" s="2"/>
      <c r="M250" s="2"/>
      <c r="N250" s="20"/>
      <c r="O250" s="2"/>
      <c r="P250" s="2"/>
    </row>
    <row r="251" spans="1:16" ht="14.25" customHeight="1" x14ac:dyDescent="0.35">
      <c r="A251" s="13">
        <v>44907</v>
      </c>
      <c r="B251" s="109">
        <f>B248+7</f>
        <v>557</v>
      </c>
      <c r="C251" s="129" t="str">
        <f>$C$125</f>
        <v>10% FBS R1</v>
      </c>
      <c r="D251" s="91" t="s">
        <v>65</v>
      </c>
      <c r="E251" s="5">
        <f>66*4</f>
        <v>264</v>
      </c>
      <c r="F251" s="5">
        <v>200</v>
      </c>
      <c r="G251" s="5">
        <v>207</v>
      </c>
      <c r="H251" s="5">
        <v>203</v>
      </c>
      <c r="I251" s="11">
        <f t="shared" si="5"/>
        <v>218.5</v>
      </c>
      <c r="J251" s="15">
        <f>I251*5*10000</f>
        <v>10925000</v>
      </c>
      <c r="K251" s="2">
        <f>$K$125</f>
        <v>3000000</v>
      </c>
      <c r="L251" s="2">
        <f>J251*5</f>
        <v>54625000</v>
      </c>
      <c r="M251" s="3">
        <f>I251/(I251+I252)*100</f>
        <v>94.691224268689055</v>
      </c>
      <c r="N251" s="22">
        <f>I253/I251*100</f>
        <v>0</v>
      </c>
      <c r="O251" s="4">
        <f>3.32*(LOG(L251)-LOG(K251))</f>
        <v>4.1840970482592672</v>
      </c>
      <c r="P251" s="4">
        <f>IF(O251&lt;0,P248,P248+O251)</f>
        <v>194.48698076544289</v>
      </c>
    </row>
    <row r="252" spans="1:16" ht="14.25" customHeight="1" x14ac:dyDescent="0.35">
      <c r="A252" s="2"/>
      <c r="B252" s="109"/>
      <c r="C252" s="129"/>
      <c r="D252" s="92" t="s">
        <v>66</v>
      </c>
      <c r="E252" s="5">
        <f>4*4</f>
        <v>16</v>
      </c>
      <c r="F252" s="5">
        <v>9</v>
      </c>
      <c r="G252" s="5">
        <v>11</v>
      </c>
      <c r="H252" s="5">
        <v>13</v>
      </c>
      <c r="I252" s="11">
        <f t="shared" si="5"/>
        <v>12.25</v>
      </c>
      <c r="J252" s="15"/>
      <c r="K252" s="2"/>
      <c r="L252" s="2"/>
      <c r="M252" s="2"/>
      <c r="N252" s="20"/>
      <c r="O252" s="2"/>
      <c r="P252" s="2"/>
    </row>
    <row r="253" spans="1:16" ht="14.25" customHeight="1" x14ac:dyDescent="0.35">
      <c r="A253" s="2"/>
      <c r="B253" s="109"/>
      <c r="C253" s="129"/>
      <c r="D253" s="92" t="s">
        <v>67</v>
      </c>
      <c r="E253" s="5">
        <v>0</v>
      </c>
      <c r="F253" s="5">
        <v>0</v>
      </c>
      <c r="G253" s="5">
        <v>0</v>
      </c>
      <c r="H253" s="5">
        <v>0</v>
      </c>
      <c r="I253" s="11">
        <f t="shared" si="5"/>
        <v>0</v>
      </c>
      <c r="J253" s="15"/>
      <c r="K253" s="2"/>
      <c r="L253" s="2"/>
      <c r="M253" s="2"/>
      <c r="N253" s="20"/>
      <c r="O253" s="2"/>
      <c r="P253" s="2"/>
    </row>
    <row r="254" spans="1:16" ht="14.25" customHeight="1" x14ac:dyDescent="0.35">
      <c r="A254" s="13">
        <v>44914</v>
      </c>
      <c r="B254" s="109">
        <f>B251+7</f>
        <v>564</v>
      </c>
      <c r="C254" s="129" t="str">
        <f>$C$125</f>
        <v>10% FBS R1</v>
      </c>
      <c r="D254" s="91" t="s">
        <v>65</v>
      </c>
      <c r="E254" s="5">
        <v>102</v>
      </c>
      <c r="F254" s="5">
        <v>110</v>
      </c>
      <c r="G254" s="5">
        <v>101</v>
      </c>
      <c r="H254" s="5">
        <v>125</v>
      </c>
      <c r="I254" s="11">
        <f t="shared" si="5"/>
        <v>109.5</v>
      </c>
      <c r="J254" s="15">
        <f>I254*5*10000</f>
        <v>5475000</v>
      </c>
      <c r="K254" s="2">
        <f>$K$125</f>
        <v>3000000</v>
      </c>
      <c r="L254" s="2">
        <f>J254*5</f>
        <v>27375000</v>
      </c>
      <c r="M254" s="3">
        <f>I254/(I254+I255)*100</f>
        <v>90.871369294605813</v>
      </c>
      <c r="N254" s="22">
        <f>I256/I254*100</f>
        <v>0</v>
      </c>
      <c r="O254" s="4">
        <f>3.32*(LOG(L254)-LOG(K254))</f>
        <v>3.1879731387866603</v>
      </c>
      <c r="P254" s="4">
        <f>IF(O254&lt;0,P251,P251+O254)</f>
        <v>197.67495390422957</v>
      </c>
    </row>
    <row r="255" spans="1:16" ht="14.25" customHeight="1" x14ac:dyDescent="0.35">
      <c r="A255" s="2"/>
      <c r="B255" s="109"/>
      <c r="C255" s="129"/>
      <c r="D255" s="92" t="s">
        <v>66</v>
      </c>
      <c r="E255" s="5">
        <v>6</v>
      </c>
      <c r="F255" s="5">
        <v>11</v>
      </c>
      <c r="G255" s="5">
        <v>7</v>
      </c>
      <c r="H255" s="5">
        <v>20</v>
      </c>
      <c r="I255" s="11">
        <f t="shared" si="5"/>
        <v>11</v>
      </c>
      <c r="J255" s="15"/>
      <c r="K255" s="2"/>
      <c r="L255" s="2"/>
      <c r="M255" s="2"/>
      <c r="N255" s="20"/>
      <c r="O255" s="2"/>
      <c r="P255" s="2"/>
    </row>
    <row r="256" spans="1:16" ht="14.25" customHeight="1" x14ac:dyDescent="0.35">
      <c r="A256" s="2"/>
      <c r="B256" s="109"/>
      <c r="C256" s="129"/>
      <c r="D256" s="92" t="s">
        <v>67</v>
      </c>
      <c r="E256" s="5">
        <v>0</v>
      </c>
      <c r="F256" s="5">
        <v>0</v>
      </c>
      <c r="G256" s="5">
        <v>0</v>
      </c>
      <c r="H256" s="5">
        <v>0</v>
      </c>
      <c r="I256" s="11">
        <f t="shared" si="5"/>
        <v>0</v>
      </c>
      <c r="J256" s="15"/>
      <c r="K256" s="2"/>
      <c r="L256" s="2"/>
      <c r="M256" s="2"/>
      <c r="N256" s="20"/>
      <c r="O256" s="2"/>
      <c r="P256" s="2"/>
    </row>
    <row r="257" spans="1:16" ht="14.25" customHeight="1" x14ac:dyDescent="0.35">
      <c r="A257" s="13">
        <v>44922</v>
      </c>
      <c r="B257" s="109">
        <f>B254+8</f>
        <v>572</v>
      </c>
      <c r="C257" s="129" t="str">
        <f>$C$125</f>
        <v>10% FBS R1</v>
      </c>
      <c r="D257" s="91" t="s">
        <v>65</v>
      </c>
      <c r="E257" s="5">
        <v>88</v>
      </c>
      <c r="F257" s="5">
        <v>99</v>
      </c>
      <c r="G257" s="5">
        <v>83</v>
      </c>
      <c r="H257" s="5">
        <v>94</v>
      </c>
      <c r="I257" s="11">
        <f t="shared" si="5"/>
        <v>91</v>
      </c>
      <c r="J257" s="15">
        <f>I257*5*10000</f>
        <v>4550000</v>
      </c>
      <c r="K257" s="2">
        <f>$K$125</f>
        <v>3000000</v>
      </c>
      <c r="L257" s="2">
        <f>J257*5</f>
        <v>22750000</v>
      </c>
      <c r="M257" s="3">
        <f>I257/(I257+I258)*100</f>
        <v>94.05684754521964</v>
      </c>
      <c r="N257" s="22">
        <f>I259/I257*100</f>
        <v>0</v>
      </c>
      <c r="O257" s="4">
        <f>3.32*(LOG(L257)-LOG(K257))</f>
        <v>2.9211356856279163</v>
      </c>
      <c r="P257" s="4">
        <f>IF(O257&lt;0,P254,P254+O257)</f>
        <v>200.59608958985748</v>
      </c>
    </row>
    <row r="258" spans="1:16" ht="14.25" customHeight="1" x14ac:dyDescent="0.35">
      <c r="A258" s="2"/>
      <c r="B258" s="109"/>
      <c r="C258" s="129"/>
      <c r="D258" s="92" t="s">
        <v>66</v>
      </c>
      <c r="E258" s="5">
        <v>6</v>
      </c>
      <c r="F258" s="5">
        <v>5</v>
      </c>
      <c r="G258" s="5">
        <v>5</v>
      </c>
      <c r="H258" s="5">
        <v>7</v>
      </c>
      <c r="I258" s="11">
        <f t="shared" si="5"/>
        <v>5.75</v>
      </c>
      <c r="J258" s="15"/>
      <c r="K258" s="2"/>
      <c r="L258" s="2"/>
      <c r="M258" s="2"/>
      <c r="N258" s="20"/>
      <c r="O258" s="2"/>
      <c r="P258" s="2"/>
    </row>
    <row r="259" spans="1:16" ht="14.25" customHeight="1" x14ac:dyDescent="0.35">
      <c r="A259" s="2"/>
      <c r="B259" s="109"/>
      <c r="C259" s="129"/>
      <c r="D259" s="92" t="s">
        <v>67</v>
      </c>
      <c r="E259" s="5">
        <v>0</v>
      </c>
      <c r="F259" s="5">
        <v>0</v>
      </c>
      <c r="G259" s="5">
        <v>0</v>
      </c>
      <c r="H259" s="5">
        <v>0</v>
      </c>
      <c r="I259" s="11">
        <f t="shared" si="5"/>
        <v>0</v>
      </c>
      <c r="J259" s="15"/>
      <c r="K259" s="2"/>
      <c r="L259" s="2"/>
      <c r="M259" s="2"/>
      <c r="N259" s="20"/>
      <c r="O259" s="2"/>
      <c r="P259" s="2"/>
    </row>
    <row r="260" spans="1:16" ht="14.25" customHeight="1" x14ac:dyDescent="0.35">
      <c r="A260" s="13">
        <v>44929</v>
      </c>
      <c r="B260" s="109">
        <f>B257+6</f>
        <v>578</v>
      </c>
      <c r="C260" s="129" t="str">
        <f>$C$125</f>
        <v>10% FBS R1</v>
      </c>
      <c r="D260" s="91" t="s">
        <v>65</v>
      </c>
      <c r="E260" s="5">
        <f>99*4</f>
        <v>396</v>
      </c>
      <c r="F260" s="5">
        <f>103*4</f>
        <v>412</v>
      </c>
      <c r="G260" s="5">
        <f>106*4</f>
        <v>424</v>
      </c>
      <c r="H260" s="5">
        <f>87*4</f>
        <v>348</v>
      </c>
      <c r="I260" s="11">
        <f t="shared" si="5"/>
        <v>395</v>
      </c>
      <c r="J260" s="15">
        <f>I260*5*10000</f>
        <v>19750000</v>
      </c>
      <c r="K260" s="2">
        <f>$K$125</f>
        <v>3000000</v>
      </c>
      <c r="L260" s="2">
        <f>J260*5</f>
        <v>98750000</v>
      </c>
      <c r="M260" s="3">
        <f>I260/(I260+I261)*100</f>
        <v>93.712930011862397</v>
      </c>
      <c r="N260" s="22">
        <f>I262/I260*100</f>
        <v>0</v>
      </c>
      <c r="O260" s="4">
        <f>3.32*(LOG(L260)-LOG(K260))</f>
        <v>5.0378206206017335</v>
      </c>
      <c r="P260" s="4">
        <f>IF(O260&lt;0,P257,P257+O260)</f>
        <v>205.63391021045922</v>
      </c>
    </row>
    <row r="261" spans="1:16" ht="14.25" customHeight="1" x14ac:dyDescent="0.35">
      <c r="A261" s="2"/>
      <c r="B261" s="109"/>
      <c r="C261" s="129"/>
      <c r="D261" s="92" t="s">
        <v>66</v>
      </c>
      <c r="E261" s="5">
        <f>4*4</f>
        <v>16</v>
      </c>
      <c r="F261" s="5">
        <f>8*4</f>
        <v>32</v>
      </c>
      <c r="G261" s="5">
        <f>5*6</f>
        <v>30</v>
      </c>
      <c r="H261" s="5">
        <f>7*4</f>
        <v>28</v>
      </c>
      <c r="I261" s="11">
        <f t="shared" si="5"/>
        <v>26.5</v>
      </c>
      <c r="J261" s="15"/>
      <c r="K261" s="2"/>
      <c r="L261" s="2"/>
      <c r="M261" s="2"/>
      <c r="N261" s="20"/>
      <c r="O261" s="2"/>
      <c r="P261" s="2"/>
    </row>
    <row r="262" spans="1:16" ht="14.25" customHeight="1" x14ac:dyDescent="0.35">
      <c r="A262" s="2"/>
      <c r="B262" s="109"/>
      <c r="C262" s="129"/>
      <c r="D262" s="92" t="s">
        <v>67</v>
      </c>
      <c r="E262" s="5">
        <v>0</v>
      </c>
      <c r="F262" s="5">
        <v>0</v>
      </c>
      <c r="G262" s="5">
        <v>0</v>
      </c>
      <c r="H262" s="5">
        <v>0</v>
      </c>
      <c r="I262" s="11">
        <f t="shared" si="5"/>
        <v>0</v>
      </c>
      <c r="J262" s="15"/>
      <c r="K262" s="2"/>
      <c r="L262" s="2"/>
      <c r="M262" s="2"/>
      <c r="N262" s="20"/>
      <c r="O262" s="2"/>
      <c r="P262" s="2"/>
    </row>
    <row r="263" spans="1:16" ht="14.25" customHeight="1" x14ac:dyDescent="0.35">
      <c r="A263" s="13">
        <f t="shared" ref="A263:B263" si="11">A260+6</f>
        <v>44935</v>
      </c>
      <c r="B263" s="109">
        <f t="shared" si="11"/>
        <v>584</v>
      </c>
      <c r="C263" s="129" t="str">
        <f>$C$125</f>
        <v>10% FBS R1</v>
      </c>
      <c r="D263" s="91" t="s">
        <v>65</v>
      </c>
      <c r="E263" s="5">
        <f>56*4</f>
        <v>224</v>
      </c>
      <c r="F263" s="5">
        <f>75*4</f>
        <v>300</v>
      </c>
      <c r="G263" s="5">
        <f>56*4</f>
        <v>224</v>
      </c>
      <c r="H263" s="5">
        <f>61*4</f>
        <v>244</v>
      </c>
      <c r="I263" s="11">
        <f t="shared" si="5"/>
        <v>248</v>
      </c>
      <c r="J263" s="15">
        <f>I263*5*10000</f>
        <v>12400000</v>
      </c>
      <c r="K263" s="2">
        <f>$K$125</f>
        <v>3000000</v>
      </c>
      <c r="L263" s="2">
        <f>J263*5</f>
        <v>62000000</v>
      </c>
      <c r="M263" s="3">
        <f>I263/(I263+I264)*100</f>
        <v>91.17647058823529</v>
      </c>
      <c r="N263" s="22">
        <f>I265/I263*100</f>
        <v>0</v>
      </c>
      <c r="O263" s="4">
        <f>3.32*(LOG(L263)-LOG(K263))</f>
        <v>4.3666978434649213</v>
      </c>
      <c r="P263" s="4">
        <f>IF(O263&lt;0,P260,P260+O263)</f>
        <v>210.00060805392414</v>
      </c>
    </row>
    <row r="264" spans="1:16" ht="14.25" customHeight="1" x14ac:dyDescent="0.35">
      <c r="A264" s="2"/>
      <c r="B264" s="109"/>
      <c r="C264" s="129"/>
      <c r="D264" s="92" t="s">
        <v>66</v>
      </c>
      <c r="E264" s="5">
        <f>6*4</f>
        <v>24</v>
      </c>
      <c r="F264" s="5">
        <f>15*4</f>
        <v>60</v>
      </c>
      <c r="G264" s="5">
        <v>4</v>
      </c>
      <c r="H264" s="5">
        <f>2*4</f>
        <v>8</v>
      </c>
      <c r="I264" s="11">
        <f t="shared" si="5"/>
        <v>24</v>
      </c>
      <c r="J264" s="15"/>
      <c r="K264" s="2"/>
      <c r="L264" s="2"/>
      <c r="M264" s="2"/>
      <c r="N264" s="20"/>
      <c r="O264" s="2"/>
      <c r="P264" s="2"/>
    </row>
    <row r="265" spans="1:16" ht="14.25" customHeight="1" x14ac:dyDescent="0.35">
      <c r="A265" s="2"/>
      <c r="B265" s="109"/>
      <c r="C265" s="129"/>
      <c r="D265" s="92" t="s">
        <v>67</v>
      </c>
      <c r="E265" s="5">
        <v>0</v>
      </c>
      <c r="F265" s="5">
        <v>0</v>
      </c>
      <c r="G265" s="5">
        <v>0</v>
      </c>
      <c r="H265" s="5">
        <v>0</v>
      </c>
      <c r="I265" s="11">
        <f t="shared" si="5"/>
        <v>0</v>
      </c>
      <c r="J265" s="15"/>
      <c r="K265" s="2"/>
      <c r="L265" s="2"/>
      <c r="M265" s="2"/>
      <c r="N265" s="20"/>
      <c r="O265" s="2"/>
      <c r="P265" s="2"/>
    </row>
    <row r="266" spans="1:16" ht="14.25" customHeight="1" x14ac:dyDescent="0.35">
      <c r="A266" s="13">
        <f t="shared" ref="A266:B266" si="12">A263+3</f>
        <v>44938</v>
      </c>
      <c r="B266" s="109">
        <f t="shared" si="12"/>
        <v>587</v>
      </c>
      <c r="C266" s="129" t="str">
        <f>$C$125</f>
        <v>10% FBS R1</v>
      </c>
      <c r="D266" s="91" t="s">
        <v>65</v>
      </c>
      <c r="E266" s="5">
        <f>89*4</f>
        <v>356</v>
      </c>
      <c r="F266" s="5">
        <f>84*4</f>
        <v>336</v>
      </c>
      <c r="G266" s="5">
        <f>93*4</f>
        <v>372</v>
      </c>
      <c r="H266" s="5">
        <f>100*4</f>
        <v>400</v>
      </c>
      <c r="I266" s="2">
        <f t="shared" si="5"/>
        <v>366</v>
      </c>
      <c r="J266" s="15">
        <f>I266*5*10000</f>
        <v>18300000</v>
      </c>
      <c r="K266" s="2">
        <f>$K$125</f>
        <v>3000000</v>
      </c>
      <c r="L266" s="2">
        <f>J266*5</f>
        <v>91500000</v>
      </c>
      <c r="M266" s="3">
        <f>I266/(I266+I267)*100</f>
        <v>89.486552567237169</v>
      </c>
      <c r="N266" s="22">
        <f>I268/I266*100</f>
        <v>0</v>
      </c>
      <c r="O266" s="4">
        <f>3.32*(LOG(L266)-LOG(K266))</f>
        <v>4.9278754666313285</v>
      </c>
      <c r="P266" s="4">
        <f>IF(O266&lt;0,P263,P263+O266)</f>
        <v>214.92848352055546</v>
      </c>
    </row>
    <row r="267" spans="1:16" ht="14.25" customHeight="1" x14ac:dyDescent="0.35">
      <c r="A267" s="2"/>
      <c r="B267" s="109"/>
      <c r="C267" s="129"/>
      <c r="D267" s="92" t="s">
        <v>66</v>
      </c>
      <c r="E267" s="5">
        <f>11*4</f>
        <v>44</v>
      </c>
      <c r="F267" s="5">
        <f>13*4</f>
        <v>52</v>
      </c>
      <c r="G267" s="5">
        <f>8*4</f>
        <v>32</v>
      </c>
      <c r="H267" s="5">
        <f>11*4</f>
        <v>44</v>
      </c>
      <c r="I267" s="2">
        <f t="shared" si="5"/>
        <v>43</v>
      </c>
      <c r="J267" s="15"/>
      <c r="K267" s="2"/>
      <c r="L267" s="2"/>
      <c r="M267" s="2"/>
      <c r="N267" s="20"/>
      <c r="O267" s="2"/>
      <c r="P267" s="2"/>
    </row>
    <row r="268" spans="1:16" ht="14.25" customHeight="1" x14ac:dyDescent="0.35">
      <c r="A268" s="2"/>
      <c r="B268" s="109"/>
      <c r="C268" s="129"/>
      <c r="D268" s="92" t="s">
        <v>67</v>
      </c>
      <c r="E268" s="5">
        <v>0</v>
      </c>
      <c r="F268" s="5">
        <v>0</v>
      </c>
      <c r="G268" s="5">
        <v>0</v>
      </c>
      <c r="H268" s="5">
        <v>0</v>
      </c>
      <c r="I268" s="2">
        <f t="shared" si="5"/>
        <v>0</v>
      </c>
      <c r="J268" s="15"/>
      <c r="K268" s="2"/>
      <c r="L268" s="2"/>
      <c r="M268" s="2"/>
      <c r="N268" s="20"/>
      <c r="O268" s="2"/>
      <c r="P268" s="2"/>
    </row>
    <row r="269" spans="1:16" ht="14.25" customHeight="1" x14ac:dyDescent="0.35">
      <c r="A269" s="13">
        <f t="shared" ref="A269:B269" si="13">A266+5</f>
        <v>44943</v>
      </c>
      <c r="B269" s="109">
        <f t="shared" si="13"/>
        <v>592</v>
      </c>
      <c r="C269" s="129" t="str">
        <f>$C$125</f>
        <v>10% FBS R1</v>
      </c>
      <c r="D269" s="91" t="s">
        <v>65</v>
      </c>
      <c r="E269" s="5">
        <f>138*4</f>
        <v>552</v>
      </c>
      <c r="F269" s="5">
        <f>130*4</f>
        <v>520</v>
      </c>
      <c r="G269" s="5">
        <f>135*4</f>
        <v>540</v>
      </c>
      <c r="H269" s="5">
        <f>155*4</f>
        <v>620</v>
      </c>
      <c r="I269" s="11">
        <f t="shared" si="5"/>
        <v>558</v>
      </c>
      <c r="J269" s="15">
        <f>I269*5*10000</f>
        <v>27900000</v>
      </c>
      <c r="K269" s="2">
        <f>$K$125</f>
        <v>3000000</v>
      </c>
      <c r="L269" s="2">
        <f>J269*5</f>
        <v>139500000</v>
      </c>
      <c r="M269" s="3">
        <f>I269/(I269+I270)*100</f>
        <v>93</v>
      </c>
      <c r="N269" s="22">
        <f>I271/I269*100</f>
        <v>0</v>
      </c>
      <c r="O269" s="4">
        <f>3.32*(LOG(L269)-LOG(K269))</f>
        <v>5.5359438035946482</v>
      </c>
      <c r="P269" s="4">
        <f>IF(O269&lt;0,P266,P266+O269)</f>
        <v>220.46442732415011</v>
      </c>
    </row>
    <row r="270" spans="1:16" ht="14.25" customHeight="1" x14ac:dyDescent="0.35">
      <c r="A270" s="2"/>
      <c r="B270" s="109"/>
      <c r="C270" s="129"/>
      <c r="D270" s="92" t="s">
        <v>66</v>
      </c>
      <c r="E270" s="5">
        <f>40</f>
        <v>40</v>
      </c>
      <c r="F270" s="5">
        <v>44</v>
      </c>
      <c r="G270" s="5">
        <f>7*4</f>
        <v>28</v>
      </c>
      <c r="H270" s="5">
        <f>14*4</f>
        <v>56</v>
      </c>
      <c r="I270" s="11">
        <f t="shared" si="5"/>
        <v>42</v>
      </c>
      <c r="J270" s="15"/>
      <c r="K270" s="2"/>
      <c r="L270" s="2"/>
      <c r="M270" s="2"/>
      <c r="N270" s="20"/>
      <c r="O270" s="2"/>
      <c r="P270" s="2"/>
    </row>
    <row r="271" spans="1:16" ht="14.25" customHeight="1" x14ac:dyDescent="0.35">
      <c r="A271" s="2"/>
      <c r="B271" s="109"/>
      <c r="C271" s="129"/>
      <c r="D271" s="92" t="s">
        <v>67</v>
      </c>
      <c r="E271" s="5">
        <v>0</v>
      </c>
      <c r="F271" s="5">
        <v>0</v>
      </c>
      <c r="G271" s="5">
        <v>0</v>
      </c>
      <c r="H271" s="5">
        <v>0</v>
      </c>
      <c r="I271" s="11">
        <f t="shared" si="5"/>
        <v>0</v>
      </c>
      <c r="J271" s="15"/>
      <c r="K271" s="2"/>
      <c r="L271" s="2"/>
      <c r="M271" s="2"/>
      <c r="N271" s="20"/>
      <c r="O271" s="2"/>
      <c r="P271" s="2"/>
    </row>
    <row r="272" spans="1:16" ht="14.25" customHeight="1" x14ac:dyDescent="0.35">
      <c r="A272" s="13">
        <f t="shared" ref="A272:B272" si="14">A269+6</f>
        <v>44949</v>
      </c>
      <c r="B272" s="109">
        <f t="shared" si="14"/>
        <v>598</v>
      </c>
      <c r="C272" s="129" t="str">
        <f>$C$125</f>
        <v>10% FBS R1</v>
      </c>
      <c r="D272" s="91" t="s">
        <v>65</v>
      </c>
      <c r="E272" s="5">
        <f>96*4</f>
        <v>384</v>
      </c>
      <c r="F272" s="5">
        <f>139*4</f>
        <v>556</v>
      </c>
      <c r="G272" s="5">
        <f>114*4</f>
        <v>456</v>
      </c>
      <c r="H272" s="5">
        <f>115*4</f>
        <v>460</v>
      </c>
      <c r="I272" s="11">
        <f t="shared" si="5"/>
        <v>464</v>
      </c>
      <c r="J272" s="15">
        <f>I272*5*10000</f>
        <v>23200000</v>
      </c>
      <c r="K272" s="2">
        <f>$K$125</f>
        <v>3000000</v>
      </c>
      <c r="L272" s="2">
        <f>J272*5</f>
        <v>116000000</v>
      </c>
      <c r="M272" s="3">
        <f>I272/(I272+I273)*100</f>
        <v>89.402697495183048</v>
      </c>
      <c r="N272" s="22">
        <f>I274/I272*100</f>
        <v>0</v>
      </c>
      <c r="O272" s="4">
        <f>3.32*(LOG(L272)-LOG(K272))</f>
        <v>5.2699579585640883</v>
      </c>
      <c r="P272" s="4">
        <f>IF(O272&lt;0,P269,P269+O272)</f>
        <v>225.73438528271419</v>
      </c>
    </row>
    <row r="273" spans="1:17" ht="14.25" customHeight="1" x14ac:dyDescent="0.35">
      <c r="A273" s="2"/>
      <c r="B273" s="109"/>
      <c r="C273" s="129"/>
      <c r="D273" s="92" t="s">
        <v>66</v>
      </c>
      <c r="E273" s="5">
        <f>15*4</f>
        <v>60</v>
      </c>
      <c r="F273" s="5">
        <f>8*4</f>
        <v>32</v>
      </c>
      <c r="G273" s="5">
        <f>14*4</f>
        <v>56</v>
      </c>
      <c r="H273" s="5">
        <f>18*4</f>
        <v>72</v>
      </c>
      <c r="I273" s="11">
        <f t="shared" si="5"/>
        <v>55</v>
      </c>
      <c r="J273" s="15"/>
      <c r="K273" s="2"/>
      <c r="L273" s="2"/>
      <c r="M273" s="2"/>
      <c r="N273" s="20"/>
      <c r="O273" s="2"/>
      <c r="P273" s="2"/>
    </row>
    <row r="274" spans="1:17" ht="14.25" customHeight="1" x14ac:dyDescent="0.35">
      <c r="A274" s="2"/>
      <c r="B274" s="109"/>
      <c r="C274" s="129"/>
      <c r="D274" s="92" t="s">
        <v>67</v>
      </c>
      <c r="E274" s="5">
        <v>0</v>
      </c>
      <c r="F274" s="5">
        <v>0</v>
      </c>
      <c r="G274" s="5">
        <v>0</v>
      </c>
      <c r="H274" s="5">
        <v>0</v>
      </c>
      <c r="I274" s="11">
        <f t="shared" si="5"/>
        <v>0</v>
      </c>
      <c r="J274" s="15"/>
      <c r="K274" s="2"/>
      <c r="L274" s="2"/>
      <c r="M274" s="2"/>
      <c r="N274" s="20"/>
      <c r="O274" s="2"/>
      <c r="P274" s="2"/>
    </row>
    <row r="275" spans="1:17" ht="14.25" customHeight="1" x14ac:dyDescent="0.35">
      <c r="A275" s="13">
        <f t="shared" ref="A275:B275" si="15">A272+8</f>
        <v>44957</v>
      </c>
      <c r="B275" s="109">
        <f t="shared" si="15"/>
        <v>606</v>
      </c>
      <c r="C275" s="129" t="str">
        <f>$C$125</f>
        <v>10% FBS R1</v>
      </c>
      <c r="D275" s="91" t="s">
        <v>65</v>
      </c>
      <c r="E275" s="5">
        <f>73*4</f>
        <v>292</v>
      </c>
      <c r="F275" s="5">
        <f>80*4</f>
        <v>320</v>
      </c>
      <c r="G275" s="5">
        <f>66*4</f>
        <v>264</v>
      </c>
      <c r="H275" s="5">
        <f>65*4</f>
        <v>260</v>
      </c>
      <c r="I275" s="11">
        <f t="shared" si="5"/>
        <v>284</v>
      </c>
      <c r="J275" s="15">
        <f>I275*5*10000</f>
        <v>14200000</v>
      </c>
      <c r="K275" s="2">
        <f>$K$125</f>
        <v>3000000</v>
      </c>
      <c r="L275" s="2">
        <f>J275*5</f>
        <v>71000000</v>
      </c>
      <c r="M275" s="3">
        <f>I275/(I275+I276)*100</f>
        <v>86.58536585365853</v>
      </c>
      <c r="N275" s="22">
        <f>I277/I275*100</f>
        <v>0</v>
      </c>
      <c r="O275" s="4">
        <f>3.32*(LOG(L275)-LOG(K275))</f>
        <v>4.5621351520780502</v>
      </c>
      <c r="P275" s="4">
        <f>IF(O275&lt;0,P272,P272+O275)</f>
        <v>230.29652043479223</v>
      </c>
    </row>
    <row r="276" spans="1:17" ht="14.25" customHeight="1" x14ac:dyDescent="0.35">
      <c r="A276" s="2"/>
      <c r="B276" s="109"/>
      <c r="C276" s="129"/>
      <c r="D276" s="92" t="s">
        <v>66</v>
      </c>
      <c r="E276" s="5">
        <f>9*4</f>
        <v>36</v>
      </c>
      <c r="F276" s="5">
        <f>8*4</f>
        <v>32</v>
      </c>
      <c r="G276" s="5">
        <f>15*4</f>
        <v>60</v>
      </c>
      <c r="H276" s="5">
        <f>12*4</f>
        <v>48</v>
      </c>
      <c r="I276" s="11">
        <f t="shared" si="5"/>
        <v>44</v>
      </c>
      <c r="J276" s="15"/>
      <c r="K276" s="2"/>
      <c r="L276" s="2"/>
      <c r="M276" s="2"/>
      <c r="N276" s="20"/>
      <c r="O276" s="2"/>
      <c r="P276" s="2"/>
    </row>
    <row r="277" spans="1:17" ht="14.25" customHeight="1" x14ac:dyDescent="0.35">
      <c r="A277" s="2"/>
      <c r="B277" s="109"/>
      <c r="C277" s="129"/>
      <c r="D277" s="92" t="s">
        <v>67</v>
      </c>
      <c r="E277" s="5">
        <v>0</v>
      </c>
      <c r="F277" s="5">
        <v>0</v>
      </c>
      <c r="G277" s="5">
        <v>0</v>
      </c>
      <c r="H277" s="5">
        <v>0</v>
      </c>
      <c r="I277" s="11">
        <f t="shared" si="5"/>
        <v>0</v>
      </c>
      <c r="J277" s="15"/>
      <c r="K277" s="2"/>
      <c r="L277" s="2"/>
      <c r="M277" s="2"/>
      <c r="N277" s="20"/>
      <c r="O277" s="2"/>
      <c r="P277" s="2"/>
    </row>
    <row r="278" spans="1:17" ht="14.25" customHeight="1" x14ac:dyDescent="0.35">
      <c r="A278" s="13">
        <f t="shared" ref="A278:B278" si="16">A275+6</f>
        <v>44963</v>
      </c>
      <c r="B278" s="109">
        <f t="shared" si="16"/>
        <v>612</v>
      </c>
      <c r="C278" s="129" t="str">
        <f>$C$125</f>
        <v>10% FBS R1</v>
      </c>
      <c r="D278" s="91" t="s">
        <v>65</v>
      </c>
      <c r="E278" s="5">
        <f>68*4</f>
        <v>272</v>
      </c>
      <c r="F278" s="5">
        <f>56*4</f>
        <v>224</v>
      </c>
      <c r="G278" s="5">
        <f>59*4</f>
        <v>236</v>
      </c>
      <c r="H278" s="5">
        <f>53*4</f>
        <v>212</v>
      </c>
      <c r="I278" s="11">
        <f t="shared" si="5"/>
        <v>236</v>
      </c>
      <c r="J278" s="15">
        <f>I278*5*10000</f>
        <v>11800000</v>
      </c>
      <c r="K278" s="2">
        <f>$K$125</f>
        <v>3000000</v>
      </c>
      <c r="L278" s="2">
        <f>J278*5</f>
        <v>59000000</v>
      </c>
      <c r="M278" s="3">
        <f>I278/(I278+I279)*100</f>
        <v>93.650793650793645</v>
      </c>
      <c r="N278" s="22">
        <f>I280/I278*100</f>
        <v>0</v>
      </c>
      <c r="O278" s="4">
        <f>3.32*(LOG(L278)-LOG(K278))</f>
        <v>4.2951861129826376</v>
      </c>
      <c r="P278" s="4">
        <f>IF(O278&lt;0,P275,P275+O278)</f>
        <v>234.59170654777486</v>
      </c>
    </row>
    <row r="279" spans="1:17" ht="14.25" customHeight="1" x14ac:dyDescent="0.35">
      <c r="A279" s="2"/>
      <c r="B279" s="109"/>
      <c r="C279" s="129"/>
      <c r="D279" s="92" t="s">
        <v>66</v>
      </c>
      <c r="E279" s="5">
        <f>2*4</f>
        <v>8</v>
      </c>
      <c r="F279" s="5">
        <f>6*4</f>
        <v>24</v>
      </c>
      <c r="G279" s="5">
        <f>2*4</f>
        <v>8</v>
      </c>
      <c r="H279" s="5">
        <f>6*4</f>
        <v>24</v>
      </c>
      <c r="I279" s="11">
        <f t="shared" si="5"/>
        <v>16</v>
      </c>
      <c r="J279" s="15"/>
      <c r="K279" s="2"/>
      <c r="L279" s="2"/>
      <c r="M279" s="2"/>
      <c r="N279" s="20"/>
      <c r="O279" s="2"/>
      <c r="P279" s="2"/>
    </row>
    <row r="280" spans="1:17" ht="14.25" customHeight="1" x14ac:dyDescent="0.35">
      <c r="A280" s="2"/>
      <c r="B280" s="109"/>
      <c r="C280" s="129"/>
      <c r="D280" s="92" t="s">
        <v>67</v>
      </c>
      <c r="E280" s="5">
        <v>0</v>
      </c>
      <c r="F280" s="5">
        <v>0</v>
      </c>
      <c r="G280" s="5">
        <v>0</v>
      </c>
      <c r="H280" s="5">
        <v>0</v>
      </c>
      <c r="I280" s="11">
        <f t="shared" si="5"/>
        <v>0</v>
      </c>
      <c r="J280" s="15"/>
      <c r="K280" s="2"/>
      <c r="L280" s="2"/>
      <c r="M280" s="2"/>
      <c r="N280" s="20"/>
      <c r="O280" s="2"/>
      <c r="P280" s="2"/>
    </row>
    <row r="281" spans="1:17" ht="14.25" customHeight="1" x14ac:dyDescent="0.35">
      <c r="A281" s="13">
        <f t="shared" ref="A281:B281" si="17">A278+7</f>
        <v>44970</v>
      </c>
      <c r="B281" s="109">
        <f t="shared" si="17"/>
        <v>619</v>
      </c>
      <c r="C281" s="130" t="str">
        <f>$C$125</f>
        <v>10% FBS R1</v>
      </c>
      <c r="D281" s="91" t="s">
        <v>65</v>
      </c>
      <c r="E281" s="9">
        <v>174</v>
      </c>
      <c r="F281" s="9">
        <v>124</v>
      </c>
      <c r="G281" s="9">
        <v>155</v>
      </c>
      <c r="H281" s="9">
        <v>147</v>
      </c>
      <c r="I281" s="49">
        <f t="shared" si="5"/>
        <v>150</v>
      </c>
      <c r="J281" s="15">
        <f>I281*5*10000</f>
        <v>7500000</v>
      </c>
      <c r="K281" s="2">
        <f>$K$125</f>
        <v>3000000</v>
      </c>
      <c r="L281" s="2">
        <f>J281*5</f>
        <v>37500000</v>
      </c>
      <c r="M281" s="3">
        <f>I281/(I281+I282)*100</f>
        <v>93.023255813953483</v>
      </c>
      <c r="N281" s="22">
        <f>I283/I281*100</f>
        <v>0</v>
      </c>
      <c r="O281" s="4">
        <f>3.32*(LOG(L281)-LOG(K281))</f>
        <v>3.6417412431867464</v>
      </c>
      <c r="P281" s="4">
        <f>IF(O281&lt;0,P278,P278+O281)</f>
        <v>238.23344779096161</v>
      </c>
    </row>
    <row r="282" spans="1:17" ht="14.25" customHeight="1" x14ac:dyDescent="0.35">
      <c r="A282" s="2"/>
      <c r="B282" s="132"/>
      <c r="C282" s="101"/>
      <c r="D282" s="92" t="s">
        <v>66</v>
      </c>
      <c r="E282" s="21">
        <v>9</v>
      </c>
      <c r="F282" s="21">
        <v>13</v>
      </c>
      <c r="G282" s="21">
        <v>12</v>
      </c>
      <c r="H282" s="21">
        <v>11</v>
      </c>
      <c r="I282" s="51">
        <f t="shared" si="5"/>
        <v>11.25</v>
      </c>
      <c r="J282" s="48"/>
      <c r="K282" s="2"/>
      <c r="L282" s="2"/>
      <c r="M282" s="2"/>
      <c r="N282" s="20"/>
      <c r="O282" s="2"/>
      <c r="P282" s="2"/>
    </row>
    <row r="283" spans="1:17" ht="14.25" customHeight="1" x14ac:dyDescent="0.35">
      <c r="A283" s="2"/>
      <c r="B283" s="132"/>
      <c r="C283" s="101"/>
      <c r="D283" s="92" t="s">
        <v>67</v>
      </c>
      <c r="E283" s="21">
        <v>0</v>
      </c>
      <c r="F283" s="21">
        <v>0</v>
      </c>
      <c r="G283" s="21">
        <v>0</v>
      </c>
      <c r="H283" s="21">
        <v>0</v>
      </c>
      <c r="I283" s="51">
        <f t="shared" si="5"/>
        <v>0</v>
      </c>
      <c r="J283" s="48"/>
      <c r="K283" s="2"/>
      <c r="L283" s="2"/>
      <c r="M283" s="2"/>
      <c r="N283" s="20"/>
      <c r="O283" s="2"/>
      <c r="P283" s="2"/>
    </row>
    <row r="284" spans="1:17" ht="14.25" customHeight="1" x14ac:dyDescent="0.35">
      <c r="A284" s="13">
        <f t="shared" ref="A284:B284" si="18">A281+7</f>
        <v>44977</v>
      </c>
      <c r="B284" s="132">
        <f t="shared" si="18"/>
        <v>626</v>
      </c>
      <c r="C284" s="101" t="str">
        <f>$C$125</f>
        <v>10% FBS R1</v>
      </c>
      <c r="D284" s="91" t="s">
        <v>65</v>
      </c>
      <c r="E284" s="21">
        <v>195</v>
      </c>
      <c r="F284" s="21">
        <v>159</v>
      </c>
      <c r="G284" s="21">
        <v>159</v>
      </c>
      <c r="H284" s="21">
        <v>158</v>
      </c>
      <c r="I284" s="20">
        <f t="shared" si="5"/>
        <v>167.75</v>
      </c>
      <c r="J284" s="48">
        <f>I284*5*10000</f>
        <v>8387500</v>
      </c>
      <c r="K284" s="2">
        <f>$K$125</f>
        <v>3000000</v>
      </c>
      <c r="L284" s="2">
        <f>J284*5</f>
        <v>41937500</v>
      </c>
      <c r="M284" s="3">
        <f>I284/(I284+I285)*100</f>
        <v>97.105643994211292</v>
      </c>
      <c r="N284" s="22">
        <f>I286/I284*100</f>
        <v>0</v>
      </c>
      <c r="O284" s="4">
        <f>3.32*(LOG(L284)-LOG(K284))</f>
        <v>3.8029978588741042</v>
      </c>
      <c r="P284" s="4">
        <f>IF(O284&lt;0,P281,P281+O284)</f>
        <v>242.03644564983571</v>
      </c>
    </row>
    <row r="285" spans="1:17" ht="14.25" customHeight="1" x14ac:dyDescent="0.35">
      <c r="A285" s="2"/>
      <c r="B285" s="132"/>
      <c r="C285" s="101"/>
      <c r="D285" s="92" t="s">
        <v>66</v>
      </c>
      <c r="E285" s="21">
        <v>4</v>
      </c>
      <c r="F285" s="21">
        <v>6</v>
      </c>
      <c r="G285" s="21">
        <v>5</v>
      </c>
      <c r="H285" s="21">
        <v>5</v>
      </c>
      <c r="I285" s="51">
        <f t="shared" si="5"/>
        <v>5</v>
      </c>
      <c r="J285" s="48"/>
      <c r="K285" s="2"/>
      <c r="L285" s="2"/>
      <c r="M285" s="2"/>
      <c r="N285" s="20"/>
      <c r="O285" s="2"/>
      <c r="P285" s="2"/>
    </row>
    <row r="286" spans="1:17" ht="14.25" customHeight="1" x14ac:dyDescent="0.35">
      <c r="A286" s="2"/>
      <c r="B286" s="132"/>
      <c r="C286" s="101"/>
      <c r="D286" s="92" t="s">
        <v>67</v>
      </c>
      <c r="E286" s="21">
        <v>0</v>
      </c>
      <c r="F286" s="21">
        <v>0</v>
      </c>
      <c r="G286" s="21">
        <v>0</v>
      </c>
      <c r="H286" s="21">
        <v>0</v>
      </c>
      <c r="I286" s="51">
        <f t="shared" si="5"/>
        <v>0</v>
      </c>
      <c r="J286" s="48"/>
      <c r="K286" s="2"/>
      <c r="L286" s="2"/>
      <c r="M286" s="2"/>
      <c r="N286" s="20"/>
      <c r="O286" s="2"/>
      <c r="P286" s="2"/>
    </row>
    <row r="287" spans="1:17" ht="14.25" customHeight="1" x14ac:dyDescent="0.35">
      <c r="A287" s="13">
        <f t="shared" ref="A287:B287" si="19">A284+7</f>
        <v>44984</v>
      </c>
      <c r="B287" s="132">
        <f t="shared" si="19"/>
        <v>633</v>
      </c>
      <c r="C287" s="101" t="str">
        <f>$C$125</f>
        <v>10% FBS R1</v>
      </c>
      <c r="D287" s="91" t="s">
        <v>65</v>
      </c>
      <c r="E287" s="21">
        <v>94</v>
      </c>
      <c r="F287" s="21">
        <v>119</v>
      </c>
      <c r="G287" s="21">
        <v>116</v>
      </c>
      <c r="H287" s="21">
        <v>96</v>
      </c>
      <c r="I287" s="51">
        <f t="shared" si="5"/>
        <v>106.25</v>
      </c>
      <c r="J287" s="48">
        <f>I287*2*10000</f>
        <v>2125000</v>
      </c>
      <c r="K287" s="2">
        <f>$K$125</f>
        <v>3000000</v>
      </c>
      <c r="L287" s="2">
        <f>J287*5</f>
        <v>10625000</v>
      </c>
      <c r="M287" s="3">
        <f>I287/(I287+I288)*100</f>
        <v>98.607888631090489</v>
      </c>
      <c r="N287" s="22">
        <f>I289/I287*100</f>
        <v>0</v>
      </c>
      <c r="O287" s="4">
        <f>3.32*(LOG(L287)-LOG(K287))</f>
        <v>1.823369510888919</v>
      </c>
      <c r="P287" s="4">
        <f>IF(O287&lt;0,P284,P284+O287)</f>
        <v>243.85981516072462</v>
      </c>
      <c r="Q287" s="15" t="s">
        <v>51</v>
      </c>
    </row>
    <row r="288" spans="1:17" ht="14.25" customHeight="1" x14ac:dyDescent="0.35">
      <c r="A288" s="2"/>
      <c r="B288" s="109"/>
      <c r="C288" s="128"/>
      <c r="D288" s="92" t="s">
        <v>66</v>
      </c>
      <c r="E288" s="26">
        <v>1</v>
      </c>
      <c r="F288" s="26">
        <v>2</v>
      </c>
      <c r="G288" s="26">
        <v>2</v>
      </c>
      <c r="H288" s="26">
        <v>1</v>
      </c>
      <c r="I288" s="50">
        <f t="shared" si="5"/>
        <v>1.5</v>
      </c>
      <c r="J288" s="15"/>
      <c r="K288" s="2"/>
      <c r="L288" s="2"/>
      <c r="M288" s="2"/>
      <c r="N288" s="20"/>
      <c r="O288" s="2"/>
      <c r="P288" s="2"/>
    </row>
    <row r="289" spans="1:16" ht="14.25" customHeight="1" x14ac:dyDescent="0.35">
      <c r="A289" s="2"/>
      <c r="B289" s="109"/>
      <c r="C289" s="129"/>
      <c r="D289" s="92" t="s">
        <v>67</v>
      </c>
      <c r="E289" s="5">
        <v>0</v>
      </c>
      <c r="F289" s="5">
        <v>0</v>
      </c>
      <c r="G289" s="5">
        <v>0</v>
      </c>
      <c r="H289" s="5">
        <v>0</v>
      </c>
      <c r="I289" s="11">
        <f t="shared" si="5"/>
        <v>0</v>
      </c>
      <c r="J289" s="15"/>
      <c r="K289" s="2"/>
      <c r="L289" s="2"/>
      <c r="M289" s="2"/>
      <c r="N289" s="20"/>
      <c r="O289" s="2"/>
      <c r="P289" s="2"/>
    </row>
    <row r="290" spans="1:16" ht="14.25" customHeight="1" x14ac:dyDescent="0.35">
      <c r="A290" s="13">
        <f t="shared" ref="A290:B290" si="20">A287+7</f>
        <v>44991</v>
      </c>
      <c r="B290" s="109">
        <f t="shared" si="20"/>
        <v>640</v>
      </c>
      <c r="C290" s="129" t="str">
        <f>$C$125</f>
        <v>10% FBS R1</v>
      </c>
      <c r="D290" s="91" t="s">
        <v>65</v>
      </c>
      <c r="E290" s="5">
        <v>364</v>
      </c>
      <c r="F290" s="5">
        <v>452</v>
      </c>
      <c r="G290" s="5">
        <v>420</v>
      </c>
      <c r="H290" s="5">
        <v>346</v>
      </c>
      <c r="I290" s="11">
        <f t="shared" si="5"/>
        <v>395.5</v>
      </c>
      <c r="J290" s="15">
        <f>I290*2*10000</f>
        <v>7910000</v>
      </c>
      <c r="K290" s="2">
        <f>$K$125</f>
        <v>3000000</v>
      </c>
      <c r="L290" s="2">
        <f>J290*5</f>
        <v>39550000</v>
      </c>
      <c r="M290" s="3">
        <f>I290/(I290+I291)*100</f>
        <v>99.87373737373737</v>
      </c>
      <c r="N290" s="22">
        <f>I292/I290*100</f>
        <v>0</v>
      </c>
      <c r="O290" s="4">
        <f>3.32*(LOG(L290)-LOG(K290))</f>
        <v>3.7184837739385896</v>
      </c>
      <c r="P290" s="4">
        <f>IF(O290&lt;0,P287,P287+O290)</f>
        <v>247.57829893466322</v>
      </c>
    </row>
    <row r="291" spans="1:16" ht="14.25" customHeight="1" x14ac:dyDescent="0.35">
      <c r="A291" s="2"/>
      <c r="B291" s="109"/>
      <c r="C291" s="129"/>
      <c r="D291" s="92" t="s">
        <v>66</v>
      </c>
      <c r="E291" s="5">
        <v>0</v>
      </c>
      <c r="F291" s="5">
        <v>1</v>
      </c>
      <c r="G291" s="5">
        <v>1</v>
      </c>
      <c r="H291" s="5">
        <v>0</v>
      </c>
      <c r="I291" s="11">
        <f t="shared" si="5"/>
        <v>0.5</v>
      </c>
      <c r="J291" s="15"/>
      <c r="K291" s="2"/>
      <c r="L291" s="2"/>
      <c r="M291" s="2"/>
      <c r="N291" s="20"/>
      <c r="O291" s="2"/>
      <c r="P291" s="2"/>
    </row>
    <row r="292" spans="1:16" ht="14.25" customHeight="1" x14ac:dyDescent="0.35">
      <c r="A292" s="2"/>
      <c r="B292" s="109"/>
      <c r="C292" s="129"/>
      <c r="D292" s="92" t="s">
        <v>67</v>
      </c>
      <c r="E292" s="5">
        <v>0</v>
      </c>
      <c r="F292" s="5">
        <v>0</v>
      </c>
      <c r="G292" s="5">
        <v>0</v>
      </c>
      <c r="H292" s="5">
        <v>0</v>
      </c>
      <c r="I292" s="11">
        <f t="shared" si="5"/>
        <v>0</v>
      </c>
      <c r="J292" s="15"/>
      <c r="K292" s="2"/>
      <c r="L292" s="2"/>
      <c r="M292" s="2"/>
      <c r="N292" s="20"/>
      <c r="O292" s="2"/>
      <c r="P292" s="2"/>
    </row>
    <row r="293" spans="1:16" ht="14.25" customHeight="1" x14ac:dyDescent="0.35">
      <c r="A293" s="13">
        <f t="shared" ref="A293:B293" si="21">A290+7</f>
        <v>44998</v>
      </c>
      <c r="B293" s="109">
        <f t="shared" si="21"/>
        <v>647</v>
      </c>
      <c r="C293" s="129" t="str">
        <f>$C$125</f>
        <v>10% FBS R1</v>
      </c>
      <c r="D293" s="91" t="s">
        <v>65</v>
      </c>
      <c r="E293" s="5">
        <v>198</v>
      </c>
      <c r="F293" s="5">
        <v>189</v>
      </c>
      <c r="G293" s="5">
        <v>170</v>
      </c>
      <c r="H293" s="5">
        <v>209</v>
      </c>
      <c r="I293" s="11">
        <f t="shared" si="5"/>
        <v>191.5</v>
      </c>
      <c r="J293" s="15">
        <f>I293*2*10000</f>
        <v>3830000</v>
      </c>
      <c r="K293" s="2">
        <f>$K$125</f>
        <v>3000000</v>
      </c>
      <c r="L293" s="2">
        <f>J293*5</f>
        <v>19150000</v>
      </c>
      <c r="M293" s="3">
        <f>I293/(I293+I294)*100</f>
        <v>98.205128205128204</v>
      </c>
      <c r="N293" s="22">
        <f>I295/I293*100</f>
        <v>0</v>
      </c>
      <c r="O293" s="4">
        <f>3.32*(LOG(L293)-LOG(K293))</f>
        <v>2.6727577783021301</v>
      </c>
      <c r="P293" s="4">
        <f>IF(O293&lt;0,P290,P290+O293)</f>
        <v>250.25105671296535</v>
      </c>
    </row>
    <row r="294" spans="1:16" ht="14.25" customHeight="1" x14ac:dyDescent="0.35">
      <c r="A294" s="2"/>
      <c r="B294" s="109"/>
      <c r="C294" s="129"/>
      <c r="D294" s="92" t="s">
        <v>66</v>
      </c>
      <c r="E294" s="5">
        <v>3</v>
      </c>
      <c r="F294" s="5">
        <v>3</v>
      </c>
      <c r="G294" s="5">
        <v>4</v>
      </c>
      <c r="H294" s="5">
        <v>4</v>
      </c>
      <c r="I294" s="11">
        <f t="shared" si="5"/>
        <v>3.5</v>
      </c>
      <c r="J294" s="15"/>
      <c r="K294" s="2"/>
      <c r="L294" s="2"/>
      <c r="M294" s="2"/>
      <c r="N294" s="20"/>
      <c r="O294" s="2"/>
      <c r="P294" s="2"/>
    </row>
    <row r="295" spans="1:16" ht="14.25" customHeight="1" x14ac:dyDescent="0.35">
      <c r="A295" s="2"/>
      <c r="B295" s="109"/>
      <c r="C295" s="129"/>
      <c r="D295" s="92" t="s">
        <v>67</v>
      </c>
      <c r="E295" s="5">
        <v>0</v>
      </c>
      <c r="F295" s="5">
        <v>0</v>
      </c>
      <c r="G295" s="5">
        <v>0</v>
      </c>
      <c r="H295" s="5">
        <v>0</v>
      </c>
      <c r="I295" s="11">
        <f t="shared" si="5"/>
        <v>0</v>
      </c>
      <c r="J295" s="15"/>
      <c r="K295" s="2"/>
      <c r="L295" s="2"/>
      <c r="M295" s="2"/>
      <c r="N295" s="20"/>
      <c r="O295" s="2"/>
      <c r="P295" s="2"/>
    </row>
    <row r="296" spans="1:16" ht="14.25" customHeight="1" x14ac:dyDescent="0.35">
      <c r="A296" s="13">
        <f t="shared" ref="A296:B296" si="22">A293+7</f>
        <v>45005</v>
      </c>
      <c r="B296" s="109">
        <f t="shared" si="22"/>
        <v>654</v>
      </c>
      <c r="C296" s="129" t="str">
        <f>$C$125</f>
        <v>10% FBS R1</v>
      </c>
      <c r="D296" s="91" t="s">
        <v>65</v>
      </c>
      <c r="E296" s="5">
        <v>178</v>
      </c>
      <c r="F296" s="5">
        <v>187</v>
      </c>
      <c r="G296" s="5">
        <v>141</v>
      </c>
      <c r="H296" s="5">
        <v>171</v>
      </c>
      <c r="I296" s="11">
        <f t="shared" si="5"/>
        <v>169.25</v>
      </c>
      <c r="J296" s="15">
        <f>I296*2*10000</f>
        <v>3385000</v>
      </c>
      <c r="K296" s="2">
        <f>$K$125</f>
        <v>3000000</v>
      </c>
      <c r="L296" s="2">
        <f>J296*5</f>
        <v>16925000</v>
      </c>
      <c r="M296" s="3">
        <f>I296/(I296+I297)*100</f>
        <v>97.9739507959479</v>
      </c>
      <c r="N296" s="22">
        <f>I298/I296*100</f>
        <v>0</v>
      </c>
      <c r="O296" s="4">
        <f>3.32*(LOG(L296)-LOG(K296))</f>
        <v>2.4946726431565636</v>
      </c>
      <c r="P296" s="4">
        <f>IF(O296&lt;0,P293,P293+O296)</f>
        <v>252.74572935612193</v>
      </c>
    </row>
    <row r="297" spans="1:16" ht="14.25" customHeight="1" x14ac:dyDescent="0.35">
      <c r="A297" s="2"/>
      <c r="B297" s="109"/>
      <c r="C297" s="129"/>
      <c r="D297" s="92" t="s">
        <v>66</v>
      </c>
      <c r="E297" s="5">
        <v>2</v>
      </c>
      <c r="F297" s="5">
        <v>2</v>
      </c>
      <c r="G297" s="5">
        <v>5</v>
      </c>
      <c r="H297" s="5">
        <v>5</v>
      </c>
      <c r="I297" s="11">
        <f t="shared" si="5"/>
        <v>3.5</v>
      </c>
      <c r="J297" s="15"/>
      <c r="K297" s="2"/>
      <c r="L297" s="2"/>
      <c r="M297" s="2"/>
      <c r="N297" s="20"/>
      <c r="O297" s="2"/>
      <c r="P297" s="2"/>
    </row>
    <row r="298" spans="1:16" ht="14.25" customHeight="1" x14ac:dyDescent="0.35">
      <c r="A298" s="2"/>
      <c r="B298" s="109"/>
      <c r="C298" s="129"/>
      <c r="D298" s="92" t="s">
        <v>67</v>
      </c>
      <c r="E298" s="5">
        <v>0</v>
      </c>
      <c r="F298" s="5">
        <v>0</v>
      </c>
      <c r="G298" s="5">
        <v>0</v>
      </c>
      <c r="H298" s="5">
        <v>0</v>
      </c>
      <c r="I298" s="11">
        <f t="shared" si="5"/>
        <v>0</v>
      </c>
      <c r="J298" s="15"/>
      <c r="K298" s="2"/>
      <c r="L298" s="2"/>
      <c r="M298" s="2"/>
      <c r="N298" s="20"/>
      <c r="O298" s="2"/>
      <c r="P298" s="2"/>
    </row>
    <row r="299" spans="1:16" ht="14.25" customHeight="1" x14ac:dyDescent="0.35">
      <c r="A299" s="13">
        <f t="shared" ref="A299:B299" si="23">A296+7</f>
        <v>45012</v>
      </c>
      <c r="B299" s="109">
        <f t="shared" si="23"/>
        <v>661</v>
      </c>
      <c r="C299" s="129" t="str">
        <f>$C$125</f>
        <v>10% FBS R1</v>
      </c>
      <c r="D299" s="91" t="s">
        <v>65</v>
      </c>
      <c r="E299" s="5">
        <v>170</v>
      </c>
      <c r="F299" s="5">
        <v>186</v>
      </c>
      <c r="G299" s="5">
        <v>200</v>
      </c>
      <c r="H299" s="5">
        <v>184</v>
      </c>
      <c r="I299" s="11">
        <f t="shared" si="5"/>
        <v>185</v>
      </c>
      <c r="J299" s="15">
        <f>I299*2*10000</f>
        <v>3700000</v>
      </c>
      <c r="K299" s="2">
        <f>$K$125</f>
        <v>3000000</v>
      </c>
      <c r="L299" s="2">
        <f>J299*5</f>
        <v>18500000</v>
      </c>
      <c r="M299" s="3">
        <f>I299/(I299+I300)*100</f>
        <v>95.854922279792746</v>
      </c>
      <c r="N299" s="22">
        <f>I301/I299*100</f>
        <v>0</v>
      </c>
      <c r="O299" s="4">
        <f>3.32*(LOG(L299)-LOG(K299))</f>
        <v>2.6229675726287258</v>
      </c>
      <c r="P299" s="4">
        <f>IF(O299&lt;0,P296,P296+O299)</f>
        <v>255.36869692875067</v>
      </c>
    </row>
    <row r="300" spans="1:16" ht="14.25" customHeight="1" x14ac:dyDescent="0.35">
      <c r="A300" s="2"/>
      <c r="B300" s="109"/>
      <c r="C300" s="129"/>
      <c r="D300" s="92" t="s">
        <v>66</v>
      </c>
      <c r="E300" s="5">
        <v>6</v>
      </c>
      <c r="F300" s="5">
        <v>6</v>
      </c>
      <c r="G300" s="5">
        <v>8</v>
      </c>
      <c r="H300" s="5">
        <v>12</v>
      </c>
      <c r="I300" s="11">
        <f t="shared" si="5"/>
        <v>8</v>
      </c>
      <c r="J300" s="15"/>
      <c r="K300" s="2"/>
      <c r="L300" s="2"/>
      <c r="M300" s="2"/>
      <c r="N300" s="20"/>
      <c r="O300" s="2"/>
      <c r="P300" s="2"/>
    </row>
    <row r="301" spans="1:16" ht="14.25" customHeight="1" x14ac:dyDescent="0.35">
      <c r="A301" s="2"/>
      <c r="B301" s="109"/>
      <c r="C301" s="129"/>
      <c r="D301" s="92" t="s">
        <v>67</v>
      </c>
      <c r="E301" s="5">
        <v>0</v>
      </c>
      <c r="F301" s="5">
        <v>0</v>
      </c>
      <c r="G301" s="5">
        <v>0</v>
      </c>
      <c r="H301" s="5">
        <v>0</v>
      </c>
      <c r="I301" s="11">
        <f t="shared" si="5"/>
        <v>0</v>
      </c>
      <c r="J301" s="15"/>
      <c r="K301" s="2"/>
      <c r="L301" s="2"/>
      <c r="M301" s="2"/>
      <c r="N301" s="20"/>
      <c r="O301" s="2"/>
      <c r="P301" s="2"/>
    </row>
    <row r="302" spans="1:16" ht="14.25" customHeight="1" x14ac:dyDescent="0.35">
      <c r="A302" s="13">
        <f t="shared" ref="A302:B302" si="24">A299+7</f>
        <v>45019</v>
      </c>
      <c r="B302" s="109">
        <f t="shared" si="24"/>
        <v>668</v>
      </c>
      <c r="C302" s="129" t="str">
        <f>$C$125</f>
        <v>10% FBS R1</v>
      </c>
      <c r="D302" s="91" t="s">
        <v>65</v>
      </c>
      <c r="E302" s="5">
        <v>183</v>
      </c>
      <c r="F302" s="5">
        <v>213</v>
      </c>
      <c r="G302" s="5">
        <v>189</v>
      </c>
      <c r="H302" s="5">
        <v>188</v>
      </c>
      <c r="I302" s="11">
        <f t="shared" si="5"/>
        <v>193.25</v>
      </c>
      <c r="J302" s="15">
        <f>I302*2*10000</f>
        <v>3865000</v>
      </c>
      <c r="K302" s="2">
        <f>$K$125</f>
        <v>3000000</v>
      </c>
      <c r="L302" s="2">
        <f>J302*5</f>
        <v>19325000</v>
      </c>
      <c r="M302" s="3">
        <f>I302/(I302+I303)*100</f>
        <v>96.867167919799499</v>
      </c>
      <c r="N302" s="22">
        <f>I304/I302*100</f>
        <v>0</v>
      </c>
      <c r="O302" s="4">
        <f>3.32*(LOG(L302)-LOG(K302))</f>
        <v>2.6858741829307236</v>
      </c>
      <c r="P302" s="4">
        <f>IF(O302&lt;0,P299,P299+O302)</f>
        <v>258.05457111168141</v>
      </c>
    </row>
    <row r="303" spans="1:16" ht="14.25" customHeight="1" x14ac:dyDescent="0.35">
      <c r="A303" s="2"/>
      <c r="B303" s="109"/>
      <c r="C303" s="129"/>
      <c r="D303" s="92" t="s">
        <v>66</v>
      </c>
      <c r="E303" s="5">
        <v>5</v>
      </c>
      <c r="F303" s="5">
        <v>4</v>
      </c>
      <c r="G303" s="5">
        <v>6</v>
      </c>
      <c r="H303" s="5">
        <v>10</v>
      </c>
      <c r="I303" s="11">
        <f t="shared" si="5"/>
        <v>6.25</v>
      </c>
      <c r="J303" s="15"/>
      <c r="K303" s="2"/>
      <c r="L303" s="2"/>
      <c r="M303" s="2"/>
      <c r="N303" s="20"/>
      <c r="O303" s="2"/>
      <c r="P303" s="2"/>
    </row>
    <row r="304" spans="1:16" ht="14.25" customHeight="1" x14ac:dyDescent="0.35">
      <c r="A304" s="2"/>
      <c r="B304" s="109"/>
      <c r="C304" s="129"/>
      <c r="D304" s="92" t="s">
        <v>67</v>
      </c>
      <c r="E304" s="5">
        <v>0</v>
      </c>
      <c r="F304" s="5">
        <v>0</v>
      </c>
      <c r="G304" s="5">
        <v>0</v>
      </c>
      <c r="H304" s="5">
        <v>0</v>
      </c>
      <c r="I304" s="11">
        <f t="shared" si="5"/>
        <v>0</v>
      </c>
      <c r="J304" s="15"/>
      <c r="K304" s="2"/>
      <c r="L304" s="2"/>
      <c r="M304" s="2"/>
      <c r="N304" s="20"/>
      <c r="O304" s="2"/>
      <c r="P304" s="2"/>
    </row>
    <row r="305" spans="1:16" ht="14.25" customHeight="1" x14ac:dyDescent="0.35">
      <c r="A305" s="13">
        <f t="shared" ref="A305:B305" si="25">A302+7</f>
        <v>45026</v>
      </c>
      <c r="B305" s="109">
        <f t="shared" si="25"/>
        <v>675</v>
      </c>
      <c r="C305" s="129" t="str">
        <f>$C$125</f>
        <v>10% FBS R1</v>
      </c>
      <c r="D305" s="91" t="s">
        <v>65</v>
      </c>
      <c r="E305" s="5">
        <v>170</v>
      </c>
      <c r="F305" s="5">
        <v>169</v>
      </c>
      <c r="G305" s="5">
        <v>149</v>
      </c>
      <c r="H305" s="5">
        <v>141</v>
      </c>
      <c r="I305" s="11">
        <f t="shared" si="5"/>
        <v>157.25</v>
      </c>
      <c r="J305" s="15">
        <f>I305*2*10000</f>
        <v>3145000</v>
      </c>
      <c r="K305" s="2">
        <f>$K$125</f>
        <v>3000000</v>
      </c>
      <c r="L305" s="2">
        <f>J305*5</f>
        <v>15725000</v>
      </c>
      <c r="M305" s="3">
        <f>I305/(I305+I306)*100</f>
        <v>96.324655436447173</v>
      </c>
      <c r="N305" s="22">
        <f>I307/I305*100</f>
        <v>0</v>
      </c>
      <c r="O305" s="4">
        <f>3.32*(LOG(L305)-LOG(K305))</f>
        <v>2.3886384060001777</v>
      </c>
      <c r="P305" s="4">
        <f>IF(O305&lt;0,P302,P302+O305)</f>
        <v>260.44320951768157</v>
      </c>
    </row>
    <row r="306" spans="1:16" ht="14.25" customHeight="1" x14ac:dyDescent="0.35">
      <c r="A306" s="2"/>
      <c r="B306" s="109"/>
      <c r="C306" s="129"/>
      <c r="D306" s="92" t="s">
        <v>66</v>
      </c>
      <c r="E306" s="5">
        <v>3</v>
      </c>
      <c r="F306" s="5">
        <v>8</v>
      </c>
      <c r="G306" s="5">
        <v>6</v>
      </c>
      <c r="H306" s="5">
        <v>7</v>
      </c>
      <c r="I306" s="11">
        <f t="shared" si="5"/>
        <v>6</v>
      </c>
      <c r="J306" s="15"/>
      <c r="K306" s="2"/>
      <c r="L306" s="2"/>
      <c r="M306" s="2"/>
      <c r="N306" s="20"/>
      <c r="O306" s="2"/>
      <c r="P306" s="2"/>
    </row>
    <row r="307" spans="1:16" ht="14.25" customHeight="1" x14ac:dyDescent="0.35">
      <c r="A307" s="2"/>
      <c r="B307" s="109"/>
      <c r="C307" s="129"/>
      <c r="D307" s="92" t="s">
        <v>67</v>
      </c>
      <c r="E307" s="5">
        <v>0</v>
      </c>
      <c r="F307" s="5">
        <v>0</v>
      </c>
      <c r="G307" s="5">
        <v>0</v>
      </c>
      <c r="H307" s="5">
        <v>0</v>
      </c>
      <c r="I307" s="11">
        <f t="shared" si="5"/>
        <v>0</v>
      </c>
      <c r="J307" s="15"/>
      <c r="K307" s="2"/>
      <c r="L307" s="2"/>
      <c r="M307" s="2"/>
      <c r="N307" s="20"/>
      <c r="O307" s="2"/>
      <c r="P307" s="2"/>
    </row>
    <row r="308" spans="1:16" ht="14.25" customHeight="1" x14ac:dyDescent="0.35">
      <c r="A308" s="13">
        <f t="shared" ref="A308:B308" si="26">A305+7</f>
        <v>45033</v>
      </c>
      <c r="B308" s="109">
        <f t="shared" si="26"/>
        <v>682</v>
      </c>
      <c r="C308" s="129" t="str">
        <f>$C$125</f>
        <v>10% FBS R1</v>
      </c>
      <c r="D308" s="91" t="s">
        <v>65</v>
      </c>
      <c r="E308" s="5">
        <v>108</v>
      </c>
      <c r="F308" s="5">
        <v>109</v>
      </c>
      <c r="G308" s="5">
        <v>84</v>
      </c>
      <c r="H308" s="5">
        <v>105</v>
      </c>
      <c r="I308" s="11">
        <f t="shared" si="5"/>
        <v>101.5</v>
      </c>
      <c r="J308" s="15">
        <f>I308*2*10000</f>
        <v>2030000</v>
      </c>
      <c r="K308" s="2">
        <f>$K$125</f>
        <v>3000000</v>
      </c>
      <c r="L308" s="2">
        <f>J308*5</f>
        <v>10150000</v>
      </c>
      <c r="M308" s="3">
        <f>I308/(I308+I309)*100</f>
        <v>97.831325301204814</v>
      </c>
      <c r="N308" s="22">
        <f>I310/I308*100</f>
        <v>0</v>
      </c>
      <c r="O308" s="4">
        <f>3.32*(LOG(L308)-LOG(K308))</f>
        <v>1.757424694598168</v>
      </c>
      <c r="P308" s="4">
        <f>IF(O308&lt;0,P305,P305+O308)</f>
        <v>262.20063421227974</v>
      </c>
    </row>
    <row r="309" spans="1:16" ht="14.25" customHeight="1" x14ac:dyDescent="0.35">
      <c r="A309" s="2"/>
      <c r="B309" s="109"/>
      <c r="C309" s="129"/>
      <c r="D309" s="92" t="s">
        <v>66</v>
      </c>
      <c r="E309" s="5">
        <v>3</v>
      </c>
      <c r="F309" s="5">
        <v>2</v>
      </c>
      <c r="G309" s="5">
        <v>1</v>
      </c>
      <c r="H309" s="5">
        <v>3</v>
      </c>
      <c r="I309" s="11">
        <f t="shared" si="5"/>
        <v>2.25</v>
      </c>
      <c r="J309" s="15"/>
      <c r="K309" s="2"/>
      <c r="L309" s="2"/>
      <c r="M309" s="2"/>
      <c r="N309" s="20"/>
      <c r="O309" s="2"/>
      <c r="P309" s="2"/>
    </row>
    <row r="310" spans="1:16" ht="14.25" customHeight="1" x14ac:dyDescent="0.35">
      <c r="A310" s="2"/>
      <c r="B310" s="109"/>
      <c r="C310" s="129"/>
      <c r="D310" s="92" t="s">
        <v>67</v>
      </c>
      <c r="E310" s="5">
        <v>0</v>
      </c>
      <c r="F310" s="5">
        <v>0</v>
      </c>
      <c r="G310" s="5">
        <v>0</v>
      </c>
      <c r="H310" s="5">
        <v>0</v>
      </c>
      <c r="I310" s="11">
        <f t="shared" si="5"/>
        <v>0</v>
      </c>
      <c r="J310" s="15"/>
      <c r="K310" s="2"/>
      <c r="L310" s="2"/>
      <c r="M310" s="2"/>
      <c r="N310" s="20"/>
      <c r="O310" s="2"/>
      <c r="P310" s="2"/>
    </row>
    <row r="311" spans="1:16" ht="14.25" customHeight="1" x14ac:dyDescent="0.35">
      <c r="A311" s="13">
        <f t="shared" ref="A311:B311" si="27">A308+7</f>
        <v>45040</v>
      </c>
      <c r="B311" s="109">
        <f t="shared" si="27"/>
        <v>689</v>
      </c>
      <c r="C311" s="129" t="str">
        <f>$C$125</f>
        <v>10% FBS R1</v>
      </c>
      <c r="D311" s="91" t="s">
        <v>65</v>
      </c>
      <c r="E311" s="5">
        <v>164</v>
      </c>
      <c r="F311" s="5">
        <v>133</v>
      </c>
      <c r="G311" s="5">
        <v>141</v>
      </c>
      <c r="H311" s="5">
        <v>154</v>
      </c>
      <c r="I311" s="11">
        <f t="shared" si="5"/>
        <v>148</v>
      </c>
      <c r="J311" s="15">
        <f>I311*2*10000</f>
        <v>2960000</v>
      </c>
      <c r="K311" s="2">
        <f>$K$125</f>
        <v>3000000</v>
      </c>
      <c r="L311" s="2">
        <f>J311*5</f>
        <v>14800000</v>
      </c>
      <c r="M311" s="3">
        <f>I311/(I311+I312)*100</f>
        <v>96.574225122349105</v>
      </c>
      <c r="N311" s="22">
        <f>I313/I311*100</f>
        <v>0</v>
      </c>
      <c r="O311" s="4">
        <f>3.32*(LOG(L311)-LOG(K311))</f>
        <v>2.3012263294419788</v>
      </c>
      <c r="P311" s="4">
        <f>IF(O311&lt;0,P308,P308+O311)</f>
        <v>264.50186054172173</v>
      </c>
    </row>
    <row r="312" spans="1:16" ht="14.25" customHeight="1" x14ac:dyDescent="0.35">
      <c r="A312" s="2"/>
      <c r="B312" s="109"/>
      <c r="C312" s="129"/>
      <c r="D312" s="92" t="s">
        <v>66</v>
      </c>
      <c r="E312" s="5">
        <v>2</v>
      </c>
      <c r="F312" s="5">
        <v>7</v>
      </c>
      <c r="G312" s="5">
        <v>8</v>
      </c>
      <c r="H312" s="5">
        <v>4</v>
      </c>
      <c r="I312" s="11">
        <f t="shared" si="5"/>
        <v>5.25</v>
      </c>
      <c r="J312" s="15"/>
      <c r="K312" s="2"/>
      <c r="L312" s="2"/>
      <c r="M312" s="2"/>
      <c r="N312" s="20"/>
      <c r="O312" s="2"/>
      <c r="P312" s="2"/>
    </row>
    <row r="313" spans="1:16" ht="14.25" customHeight="1" x14ac:dyDescent="0.35">
      <c r="A313" s="2"/>
      <c r="B313" s="109"/>
      <c r="C313" s="129"/>
      <c r="D313" s="92" t="s">
        <v>67</v>
      </c>
      <c r="E313" s="5">
        <v>0</v>
      </c>
      <c r="F313" s="5">
        <v>0</v>
      </c>
      <c r="G313" s="5">
        <v>0</v>
      </c>
      <c r="H313" s="5">
        <v>0</v>
      </c>
      <c r="I313" s="11">
        <f t="shared" si="5"/>
        <v>0</v>
      </c>
      <c r="J313" s="15"/>
      <c r="K313" s="2"/>
      <c r="L313" s="2"/>
      <c r="M313" s="2"/>
      <c r="N313" s="20"/>
      <c r="O313" s="2"/>
      <c r="P313" s="2"/>
    </row>
    <row r="314" spans="1:16" ht="14.25" customHeight="1" x14ac:dyDescent="0.35">
      <c r="A314" s="13">
        <f t="shared" ref="A314:B314" si="28">A311+7</f>
        <v>45047</v>
      </c>
      <c r="B314" s="109">
        <f t="shared" si="28"/>
        <v>696</v>
      </c>
      <c r="C314" s="129" t="str">
        <f>$C$125</f>
        <v>10% FBS R1</v>
      </c>
      <c r="D314" s="91" t="s">
        <v>65</v>
      </c>
      <c r="E314" s="5">
        <v>125</v>
      </c>
      <c r="F314" s="5">
        <v>102</v>
      </c>
      <c r="G314" s="5">
        <v>123</v>
      </c>
      <c r="H314" s="5">
        <v>134</v>
      </c>
      <c r="I314" s="11">
        <f t="shared" si="5"/>
        <v>121</v>
      </c>
      <c r="J314" s="15">
        <f>I314*2*10000</f>
        <v>2420000</v>
      </c>
      <c r="K314" s="2">
        <f>$K$125</f>
        <v>3000000</v>
      </c>
      <c r="L314" s="2">
        <f>J314*5</f>
        <v>12100000</v>
      </c>
      <c r="M314" s="3">
        <f>I314/(I314+I315)*100</f>
        <v>95.652173913043484</v>
      </c>
      <c r="N314" s="22">
        <f>I316/I314*100</f>
        <v>0</v>
      </c>
      <c r="O314" s="4">
        <f>3.32*(LOG(L314)-LOG(K314))</f>
        <v>2.0108048637813334</v>
      </c>
      <c r="P314" s="4">
        <f>IF(O314&lt;0,P311,P311+O314)</f>
        <v>266.51266540550307</v>
      </c>
    </row>
    <row r="315" spans="1:16" ht="14.25" customHeight="1" x14ac:dyDescent="0.35">
      <c r="A315" s="2"/>
      <c r="B315" s="109"/>
      <c r="C315" s="129"/>
      <c r="D315" s="92" t="s">
        <v>66</v>
      </c>
      <c r="E315" s="5">
        <v>4</v>
      </c>
      <c r="F315" s="5">
        <v>4</v>
      </c>
      <c r="G315" s="5">
        <v>7</v>
      </c>
      <c r="H315" s="5">
        <v>7</v>
      </c>
      <c r="I315" s="11">
        <f t="shared" si="5"/>
        <v>5.5</v>
      </c>
      <c r="J315" s="15"/>
      <c r="K315" s="2"/>
      <c r="L315" s="2"/>
      <c r="M315" s="2"/>
      <c r="N315" s="20"/>
      <c r="O315" s="2"/>
      <c r="P315" s="2"/>
    </row>
    <row r="316" spans="1:16" ht="14.25" customHeight="1" x14ac:dyDescent="0.35">
      <c r="A316" s="2"/>
      <c r="B316" s="109"/>
      <c r="C316" s="129"/>
      <c r="D316" s="92" t="s">
        <v>67</v>
      </c>
      <c r="E316" s="5">
        <v>0</v>
      </c>
      <c r="F316" s="5">
        <v>0</v>
      </c>
      <c r="G316" s="5">
        <v>0</v>
      </c>
      <c r="H316" s="5">
        <v>0</v>
      </c>
      <c r="I316" s="11">
        <f t="shared" si="5"/>
        <v>0</v>
      </c>
      <c r="J316" s="15"/>
      <c r="K316" s="2"/>
      <c r="L316" s="2"/>
      <c r="M316" s="2"/>
      <c r="N316" s="20"/>
      <c r="O316" s="2"/>
      <c r="P316" s="2"/>
    </row>
    <row r="317" spans="1:16" ht="14.25" customHeight="1" x14ac:dyDescent="0.35">
      <c r="A317" s="13">
        <f t="shared" ref="A317:B317" si="29">A314+7</f>
        <v>45054</v>
      </c>
      <c r="B317" s="109">
        <f t="shared" si="29"/>
        <v>703</v>
      </c>
      <c r="C317" s="129" t="str">
        <f>$C$125</f>
        <v>10% FBS R1</v>
      </c>
      <c r="D317" s="91" t="s">
        <v>65</v>
      </c>
      <c r="E317" s="5">
        <v>135</v>
      </c>
      <c r="F317" s="5">
        <v>150</v>
      </c>
      <c r="G317" s="5">
        <v>121</v>
      </c>
      <c r="H317" s="5">
        <v>163</v>
      </c>
      <c r="I317" s="11">
        <f t="shared" si="5"/>
        <v>142.25</v>
      </c>
      <c r="J317" s="15">
        <f>I317*2*10000</f>
        <v>2845000</v>
      </c>
      <c r="K317" s="2">
        <f>$K$125</f>
        <v>3000000</v>
      </c>
      <c r="L317" s="2">
        <f>J317*5</f>
        <v>14225000</v>
      </c>
      <c r="M317" s="3">
        <f>I317/(I317+I318)*100</f>
        <v>95.7912457912458</v>
      </c>
      <c r="N317" s="22">
        <f>I319/I317*100</f>
        <v>0</v>
      </c>
      <c r="O317" s="4">
        <f>3.32*(LOG(L317)-LOG(K317))</f>
        <v>2.2440909875535198</v>
      </c>
      <c r="P317" s="4">
        <f>IF(O317&lt;0,P314,P314+O317)</f>
        <v>268.75675639305661</v>
      </c>
    </row>
    <row r="318" spans="1:16" ht="14.25" customHeight="1" x14ac:dyDescent="0.35">
      <c r="A318" s="2"/>
      <c r="B318" s="109"/>
      <c r="C318" s="129"/>
      <c r="D318" s="92" t="s">
        <v>66</v>
      </c>
      <c r="E318" s="5">
        <v>4</v>
      </c>
      <c r="F318" s="5">
        <v>7</v>
      </c>
      <c r="G318" s="5">
        <v>8</v>
      </c>
      <c r="H318" s="5">
        <v>6</v>
      </c>
      <c r="I318" s="11">
        <f t="shared" si="5"/>
        <v>6.25</v>
      </c>
      <c r="J318" s="15"/>
      <c r="K318" s="2"/>
      <c r="L318" s="2"/>
      <c r="M318" s="2"/>
      <c r="N318" s="20"/>
      <c r="O318" s="2"/>
      <c r="P318" s="2"/>
    </row>
    <row r="319" spans="1:16" ht="14.25" customHeight="1" x14ac:dyDescent="0.35">
      <c r="A319" s="2"/>
      <c r="B319" s="109"/>
      <c r="C319" s="129"/>
      <c r="D319" s="92" t="s">
        <v>67</v>
      </c>
      <c r="E319" s="5">
        <v>0</v>
      </c>
      <c r="F319" s="5">
        <v>0</v>
      </c>
      <c r="G319" s="5">
        <v>0</v>
      </c>
      <c r="H319" s="5">
        <v>0</v>
      </c>
      <c r="I319" s="11">
        <f t="shared" si="5"/>
        <v>0</v>
      </c>
      <c r="J319" s="15"/>
      <c r="K319" s="2"/>
      <c r="L319" s="2"/>
      <c r="M319" s="2"/>
      <c r="N319" s="20"/>
      <c r="O319" s="2"/>
      <c r="P319" s="2"/>
    </row>
    <row r="320" spans="1:16" ht="14.25" customHeight="1" x14ac:dyDescent="0.35">
      <c r="A320" s="13">
        <f t="shared" ref="A320:B320" si="30">A317+7</f>
        <v>45061</v>
      </c>
      <c r="B320" s="109">
        <f t="shared" si="30"/>
        <v>710</v>
      </c>
      <c r="C320" s="129" t="str">
        <f>$C$125</f>
        <v>10% FBS R1</v>
      </c>
      <c r="D320" s="91" t="s">
        <v>65</v>
      </c>
      <c r="E320" s="5">
        <v>107</v>
      </c>
      <c r="F320" s="5">
        <v>106</v>
      </c>
      <c r="G320" s="5">
        <v>109</v>
      </c>
      <c r="H320" s="5">
        <v>103</v>
      </c>
      <c r="I320" s="11">
        <f t="shared" si="5"/>
        <v>106.25</v>
      </c>
      <c r="J320" s="15">
        <f>I320*2*10000</f>
        <v>2125000</v>
      </c>
      <c r="K320" s="2">
        <f>$K$125</f>
        <v>3000000</v>
      </c>
      <c r="L320" s="2">
        <f>J320*5</f>
        <v>10625000</v>
      </c>
      <c r="M320" s="3">
        <f>I320/(I320+I321)*100</f>
        <v>95.72072072072072</v>
      </c>
      <c r="N320" s="22">
        <f>I322/I320*100</f>
        <v>0</v>
      </c>
      <c r="O320" s="4">
        <f>3.32*(LOG(L320)-LOG(K320))</f>
        <v>1.823369510888919</v>
      </c>
      <c r="P320" s="4">
        <f>IF(O320&lt;0,P317,P317+O320)</f>
        <v>270.58012590394554</v>
      </c>
    </row>
    <row r="321" spans="1:16" ht="14.25" customHeight="1" x14ac:dyDescent="0.35">
      <c r="A321" s="2"/>
      <c r="B321" s="109"/>
      <c r="C321" s="129"/>
      <c r="D321" s="92" t="s">
        <v>66</v>
      </c>
      <c r="E321" s="5">
        <v>4</v>
      </c>
      <c r="F321" s="5">
        <v>3</v>
      </c>
      <c r="G321" s="5">
        <v>6</v>
      </c>
      <c r="H321" s="5">
        <v>6</v>
      </c>
      <c r="I321" s="11">
        <f t="shared" si="5"/>
        <v>4.75</v>
      </c>
      <c r="J321" s="15"/>
      <c r="K321" s="2"/>
      <c r="L321" s="2"/>
      <c r="M321" s="2"/>
      <c r="N321" s="20"/>
      <c r="O321" s="2"/>
      <c r="P321" s="2"/>
    </row>
    <row r="322" spans="1:16" ht="14.25" customHeight="1" x14ac:dyDescent="0.35">
      <c r="A322" s="2"/>
      <c r="B322" s="109"/>
      <c r="C322" s="129"/>
      <c r="D322" s="92" t="s">
        <v>67</v>
      </c>
      <c r="E322" s="5">
        <v>0</v>
      </c>
      <c r="F322" s="5">
        <v>0</v>
      </c>
      <c r="G322" s="5">
        <v>0</v>
      </c>
      <c r="H322" s="5">
        <v>0</v>
      </c>
      <c r="I322" s="11">
        <f t="shared" si="5"/>
        <v>0</v>
      </c>
      <c r="J322" s="15"/>
      <c r="K322" s="2"/>
      <c r="L322" s="2"/>
      <c r="M322" s="2"/>
      <c r="N322" s="20"/>
      <c r="O322" s="2"/>
      <c r="P322" s="2"/>
    </row>
    <row r="323" spans="1:16" ht="14.25" customHeight="1" x14ac:dyDescent="0.35">
      <c r="A323" s="13">
        <f t="shared" ref="A323:B323" si="31">A320+7</f>
        <v>45068</v>
      </c>
      <c r="B323" s="109">
        <f t="shared" si="31"/>
        <v>717</v>
      </c>
      <c r="C323" s="129" t="str">
        <f>$C$125</f>
        <v>10% FBS R1</v>
      </c>
      <c r="D323" s="91" t="s">
        <v>65</v>
      </c>
      <c r="E323" s="5">
        <v>170</v>
      </c>
      <c r="F323" s="5">
        <v>162</v>
      </c>
      <c r="G323" s="5">
        <v>180</v>
      </c>
      <c r="H323" s="5">
        <v>182</v>
      </c>
      <c r="I323" s="11">
        <f t="shared" si="5"/>
        <v>173.5</v>
      </c>
      <c r="J323" s="15">
        <f>I323*2*10000</f>
        <v>3470000</v>
      </c>
      <c r="K323" s="2">
        <f>$K$125</f>
        <v>3000000</v>
      </c>
      <c r="L323" s="2">
        <f>J323*5</f>
        <v>17350000</v>
      </c>
      <c r="M323" s="3">
        <f>I323/(I323+I324)*100</f>
        <v>94.293478260869563</v>
      </c>
      <c r="N323" s="22">
        <f>I325/I323*100</f>
        <v>0</v>
      </c>
      <c r="O323" s="4">
        <f>3.32*(LOG(L323)-LOG(K323))</f>
        <v>2.530431705032004</v>
      </c>
      <c r="P323" s="4">
        <f>IF(O323&lt;0,P320,P320+O323)</f>
        <v>273.11055760897756</v>
      </c>
    </row>
    <row r="324" spans="1:16" ht="14.25" customHeight="1" x14ac:dyDescent="0.35">
      <c r="A324" s="2"/>
      <c r="B324" s="109"/>
      <c r="C324" s="129"/>
      <c r="D324" s="92" t="s">
        <v>66</v>
      </c>
      <c r="E324" s="5">
        <v>15</v>
      </c>
      <c r="F324" s="5">
        <v>9</v>
      </c>
      <c r="G324" s="5">
        <v>11</v>
      </c>
      <c r="H324" s="5">
        <v>7</v>
      </c>
      <c r="I324" s="11">
        <f t="shared" si="5"/>
        <v>10.5</v>
      </c>
      <c r="J324" s="15"/>
      <c r="K324" s="2"/>
      <c r="L324" s="2"/>
      <c r="M324" s="2"/>
      <c r="N324" s="20"/>
      <c r="O324" s="2"/>
      <c r="P324" s="2"/>
    </row>
    <row r="325" spans="1:16" ht="14.25" customHeight="1" x14ac:dyDescent="0.35">
      <c r="A325" s="2"/>
      <c r="B325" s="109"/>
      <c r="C325" s="129"/>
      <c r="D325" s="92" t="s">
        <v>67</v>
      </c>
      <c r="E325" s="5">
        <v>0</v>
      </c>
      <c r="F325" s="5">
        <v>0</v>
      </c>
      <c r="G325" s="5">
        <v>0</v>
      </c>
      <c r="H325" s="5">
        <v>0</v>
      </c>
      <c r="I325" s="11">
        <f t="shared" si="5"/>
        <v>0</v>
      </c>
      <c r="J325" s="15"/>
      <c r="K325" s="2"/>
      <c r="L325" s="2"/>
      <c r="M325" s="2"/>
      <c r="N325" s="20"/>
      <c r="O325" s="2"/>
      <c r="P325" s="2"/>
    </row>
    <row r="326" spans="1:16" ht="14.25" customHeight="1" x14ac:dyDescent="0.35">
      <c r="A326" s="13">
        <f t="shared" ref="A326:B326" si="32">A323+7</f>
        <v>45075</v>
      </c>
      <c r="B326" s="109">
        <f t="shared" si="32"/>
        <v>724</v>
      </c>
      <c r="C326" s="129" t="str">
        <f>$C$125</f>
        <v>10% FBS R1</v>
      </c>
      <c r="D326" s="91" t="s">
        <v>65</v>
      </c>
      <c r="E326" s="5">
        <v>156</v>
      </c>
      <c r="F326" s="5">
        <v>148</v>
      </c>
      <c r="G326" s="5">
        <v>141</v>
      </c>
      <c r="H326" s="5">
        <v>154</v>
      </c>
      <c r="I326" s="11">
        <f t="shared" si="5"/>
        <v>149.75</v>
      </c>
      <c r="J326" s="15">
        <f>I326*2*10000</f>
        <v>2995000</v>
      </c>
      <c r="K326" s="2">
        <f>$K$125</f>
        <v>3000000</v>
      </c>
      <c r="L326" s="2">
        <f>J326*5</f>
        <v>14975000</v>
      </c>
      <c r="M326" s="3">
        <f>I326/(I326+I327)*100</f>
        <v>94.330708661417319</v>
      </c>
      <c r="N326" s="22">
        <f>I328/I326*100</f>
        <v>0</v>
      </c>
      <c r="O326" s="4">
        <f>3.32*(LOG(L326)-LOG(K326))</f>
        <v>2.3181753134543985</v>
      </c>
      <c r="P326" s="4">
        <f>IF(O326&lt;0,P323,P323+O326)</f>
        <v>275.42873292243195</v>
      </c>
    </row>
    <row r="327" spans="1:16" ht="14.25" customHeight="1" x14ac:dyDescent="0.35">
      <c r="A327" s="2"/>
      <c r="B327" s="109"/>
      <c r="C327" s="129"/>
      <c r="D327" s="92" t="s">
        <v>66</v>
      </c>
      <c r="E327" s="5">
        <v>9</v>
      </c>
      <c r="F327" s="5">
        <v>9</v>
      </c>
      <c r="G327" s="5">
        <v>7</v>
      </c>
      <c r="H327" s="5">
        <v>11</v>
      </c>
      <c r="I327" s="11">
        <f t="shared" si="5"/>
        <v>9</v>
      </c>
      <c r="J327" s="15"/>
      <c r="K327" s="2"/>
      <c r="L327" s="2"/>
      <c r="M327" s="2"/>
      <c r="N327" s="20"/>
      <c r="O327" s="2"/>
      <c r="P327" s="2"/>
    </row>
    <row r="328" spans="1:16" ht="14.25" customHeight="1" x14ac:dyDescent="0.35">
      <c r="A328" s="2"/>
      <c r="B328" s="109"/>
      <c r="C328" s="129"/>
      <c r="D328" s="92" t="s">
        <v>67</v>
      </c>
      <c r="E328" s="5">
        <v>0</v>
      </c>
      <c r="F328" s="5">
        <v>0</v>
      </c>
      <c r="G328" s="5">
        <v>0</v>
      </c>
      <c r="H328" s="5">
        <v>0</v>
      </c>
      <c r="I328" s="11">
        <f t="shared" si="5"/>
        <v>0</v>
      </c>
      <c r="J328" s="15"/>
      <c r="K328" s="2"/>
      <c r="L328" s="2"/>
      <c r="M328" s="2"/>
      <c r="N328" s="20"/>
      <c r="O328" s="2"/>
      <c r="P328" s="2"/>
    </row>
    <row r="329" spans="1:16" ht="14.25" customHeight="1" x14ac:dyDescent="0.35">
      <c r="A329" s="13">
        <f t="shared" ref="A329:B329" si="33">A326+7</f>
        <v>45082</v>
      </c>
      <c r="B329" s="109">
        <f t="shared" si="33"/>
        <v>731</v>
      </c>
      <c r="C329" s="129" t="str">
        <f>$C$125</f>
        <v>10% FBS R1</v>
      </c>
      <c r="D329" s="91" t="s">
        <v>65</v>
      </c>
      <c r="E329" s="5">
        <v>124</v>
      </c>
      <c r="F329" s="5">
        <v>111</v>
      </c>
      <c r="G329" s="5">
        <v>102</v>
      </c>
      <c r="H329" s="5">
        <v>94</v>
      </c>
      <c r="I329" s="11">
        <f t="shared" si="5"/>
        <v>107.75</v>
      </c>
      <c r="J329" s="15">
        <f>I329*2*10000</f>
        <v>2155000</v>
      </c>
      <c r="K329" s="2">
        <f>$K$125</f>
        <v>3000000</v>
      </c>
      <c r="L329" s="2">
        <f>J329*5</f>
        <v>10775000</v>
      </c>
      <c r="M329" s="3">
        <f>I329/(I329+I330)*100</f>
        <v>96.853932584269671</v>
      </c>
      <c r="N329" s="22">
        <f>I331/I329*100</f>
        <v>0</v>
      </c>
      <c r="O329" s="4">
        <f>3.32*(LOG(L329)-LOG(K329))</f>
        <v>1.8435828000555132</v>
      </c>
      <c r="P329" s="4">
        <f>IF(O329&lt;0,P326,P326+O329)</f>
        <v>277.27231572248746</v>
      </c>
    </row>
    <row r="330" spans="1:16" ht="14.25" customHeight="1" x14ac:dyDescent="0.35">
      <c r="A330" s="2"/>
      <c r="B330" s="109"/>
      <c r="C330" s="129"/>
      <c r="D330" s="92" t="s">
        <v>66</v>
      </c>
      <c r="E330" s="5">
        <v>4</v>
      </c>
      <c r="F330" s="5">
        <v>5</v>
      </c>
      <c r="G330" s="5">
        <v>2</v>
      </c>
      <c r="H330" s="5">
        <v>3</v>
      </c>
      <c r="I330" s="11">
        <f t="shared" si="5"/>
        <v>3.5</v>
      </c>
      <c r="J330" s="15"/>
      <c r="K330" s="2"/>
      <c r="L330" s="2"/>
      <c r="M330" s="2"/>
      <c r="N330" s="20"/>
      <c r="O330" s="2"/>
      <c r="P330" s="2"/>
    </row>
    <row r="331" spans="1:16" ht="15.75" customHeight="1" x14ac:dyDescent="0.35">
      <c r="A331" s="2"/>
      <c r="B331" s="109"/>
      <c r="C331" s="129"/>
      <c r="D331" s="92" t="s">
        <v>67</v>
      </c>
      <c r="E331" s="9">
        <v>0</v>
      </c>
      <c r="F331" s="9">
        <v>0</v>
      </c>
      <c r="G331" s="9">
        <v>0</v>
      </c>
      <c r="H331" s="9">
        <v>0</v>
      </c>
      <c r="I331" s="11">
        <f t="shared" si="5"/>
        <v>0</v>
      </c>
      <c r="J331" s="15"/>
      <c r="K331" s="2"/>
      <c r="L331" s="2"/>
      <c r="M331" s="2"/>
      <c r="N331" s="20"/>
      <c r="O331" s="2"/>
      <c r="P331" s="2"/>
    </row>
    <row r="332" spans="1:16" ht="15.75" customHeight="1" x14ac:dyDescent="0.35">
      <c r="A332" s="13">
        <f t="shared" ref="A332:B332" si="34">A329+7</f>
        <v>45089</v>
      </c>
      <c r="B332" s="109">
        <f t="shared" si="34"/>
        <v>738</v>
      </c>
      <c r="C332" s="102" t="str">
        <f>$C$125</f>
        <v>10% FBS R1</v>
      </c>
      <c r="D332" s="91" t="s">
        <v>65</v>
      </c>
      <c r="E332" s="5">
        <v>512</v>
      </c>
      <c r="F332" s="5">
        <v>248</v>
      </c>
      <c r="G332" s="5">
        <v>236</v>
      </c>
      <c r="H332" s="5">
        <v>304</v>
      </c>
      <c r="I332" s="12">
        <f t="shared" si="5"/>
        <v>325</v>
      </c>
      <c r="J332" s="15">
        <f>I332*2*10000</f>
        <v>6500000</v>
      </c>
      <c r="K332" s="2">
        <f>$K$125</f>
        <v>3000000</v>
      </c>
      <c r="L332" s="2">
        <f>J332*5</f>
        <v>32500000</v>
      </c>
      <c r="M332" s="3">
        <f>I332/(I332+I333)*100</f>
        <v>93.659942363112393</v>
      </c>
      <c r="N332" s="22">
        <f>I334/I332*100</f>
        <v>0</v>
      </c>
      <c r="O332" s="4">
        <f>3.32*(LOG(L332)-LOG(K332))</f>
        <v>3.4354101927805831</v>
      </c>
      <c r="P332" s="4">
        <f>IF(O332&lt;0,P329,P329+O332)</f>
        <v>280.70772591526804</v>
      </c>
    </row>
    <row r="333" spans="1:16" ht="15.75" customHeight="1" x14ac:dyDescent="0.35">
      <c r="A333" s="2"/>
      <c r="B333" s="109"/>
      <c r="C333" s="102"/>
      <c r="D333" s="92" t="s">
        <v>66</v>
      </c>
      <c r="E333" s="5">
        <v>16</v>
      </c>
      <c r="F333" s="5">
        <v>24</v>
      </c>
      <c r="G333" s="5">
        <v>12</v>
      </c>
      <c r="H333" s="5">
        <v>36</v>
      </c>
      <c r="I333" s="12">
        <f t="shared" si="5"/>
        <v>22</v>
      </c>
      <c r="J333" s="15"/>
      <c r="K333" s="2"/>
      <c r="L333" s="2"/>
      <c r="M333" s="2"/>
      <c r="N333" s="20"/>
      <c r="O333" s="2"/>
      <c r="P333" s="2"/>
    </row>
    <row r="334" spans="1:16" ht="15.75" customHeight="1" x14ac:dyDescent="0.35">
      <c r="A334" s="2"/>
      <c r="B334" s="109"/>
      <c r="C334" s="102"/>
      <c r="D334" s="92" t="s">
        <v>67</v>
      </c>
      <c r="E334" s="5">
        <v>0</v>
      </c>
      <c r="F334" s="5">
        <v>0</v>
      </c>
      <c r="G334" s="5">
        <v>0</v>
      </c>
      <c r="H334" s="5">
        <v>0</v>
      </c>
      <c r="I334" s="12">
        <f t="shared" si="5"/>
        <v>0</v>
      </c>
      <c r="J334" s="15"/>
      <c r="K334" s="2"/>
      <c r="L334" s="2"/>
      <c r="M334" s="2"/>
      <c r="N334" s="20"/>
      <c r="O334" s="2"/>
      <c r="P334" s="2"/>
    </row>
    <row r="335" spans="1:16" ht="15.75" customHeight="1" x14ac:dyDescent="0.35">
      <c r="A335" s="13">
        <f t="shared" ref="A335:B335" si="35">A332+7</f>
        <v>45096</v>
      </c>
      <c r="B335" s="109">
        <f t="shared" si="35"/>
        <v>745</v>
      </c>
      <c r="C335" s="102" t="str">
        <f>$C$125</f>
        <v>10% FBS R1</v>
      </c>
      <c r="D335" s="91" t="s">
        <v>65</v>
      </c>
      <c r="E335" s="5">
        <v>63</v>
      </c>
      <c r="F335" s="5">
        <v>63</v>
      </c>
      <c r="G335" s="5">
        <v>73</v>
      </c>
      <c r="H335" s="5">
        <v>73</v>
      </c>
      <c r="I335" s="12">
        <f t="shared" si="5"/>
        <v>68</v>
      </c>
      <c r="J335" s="15">
        <f>I335*4*10000</f>
        <v>2720000</v>
      </c>
      <c r="K335" s="2">
        <f>$K$125</f>
        <v>3000000</v>
      </c>
      <c r="L335" s="2">
        <f>J335*5</f>
        <v>13600000</v>
      </c>
      <c r="M335" s="3">
        <f>I335/(I335+I336)*100</f>
        <v>79.069767441860463</v>
      </c>
      <c r="N335" s="22">
        <f>I337/I335*100</f>
        <v>0</v>
      </c>
      <c r="O335" s="4">
        <f>3.32*(LOG(L335)-LOG(K335))</f>
        <v>2.1793066101198435</v>
      </c>
      <c r="P335" s="4">
        <f>IF(O335&lt;0,P332,P332+O335)</f>
        <v>282.88703252538789</v>
      </c>
    </row>
    <row r="336" spans="1:16" ht="15.75" customHeight="1" x14ac:dyDescent="0.35">
      <c r="A336" s="2"/>
      <c r="B336" s="109"/>
      <c r="C336" s="102"/>
      <c r="D336" s="92" t="s">
        <v>66</v>
      </c>
      <c r="E336" s="5">
        <v>14</v>
      </c>
      <c r="F336" s="5">
        <v>17</v>
      </c>
      <c r="G336" s="5">
        <v>20</v>
      </c>
      <c r="H336" s="5">
        <v>21</v>
      </c>
      <c r="I336" s="12">
        <f t="shared" si="5"/>
        <v>18</v>
      </c>
      <c r="J336" s="15"/>
      <c r="K336" s="2"/>
      <c r="L336" s="2"/>
      <c r="M336" s="2"/>
      <c r="N336" s="20"/>
      <c r="O336" s="2"/>
      <c r="P336" s="2"/>
    </row>
    <row r="337" spans="1:16" ht="15.75" customHeight="1" x14ac:dyDescent="0.35">
      <c r="A337" s="2"/>
      <c r="B337" s="109"/>
      <c r="C337" s="102"/>
      <c r="D337" s="92" t="s">
        <v>67</v>
      </c>
      <c r="E337" s="5">
        <v>0</v>
      </c>
      <c r="F337" s="5">
        <v>0</v>
      </c>
      <c r="G337" s="5">
        <v>0</v>
      </c>
      <c r="H337" s="5">
        <v>0</v>
      </c>
      <c r="I337" s="12">
        <f t="shared" si="5"/>
        <v>0</v>
      </c>
      <c r="J337" s="15"/>
      <c r="K337" s="2"/>
      <c r="L337" s="2"/>
      <c r="M337" s="2"/>
      <c r="N337" s="20"/>
      <c r="O337" s="2"/>
      <c r="P337" s="2"/>
    </row>
    <row r="338" spans="1:16" ht="15.75" customHeight="1" x14ac:dyDescent="0.35">
      <c r="A338" s="13">
        <f t="shared" ref="A338:B338" si="36">A335+7</f>
        <v>45103</v>
      </c>
      <c r="B338" s="109">
        <f t="shared" si="36"/>
        <v>752</v>
      </c>
      <c r="C338" s="102" t="str">
        <f>$C$125</f>
        <v>10% FBS R1</v>
      </c>
      <c r="D338" s="91" t="s">
        <v>65</v>
      </c>
      <c r="E338" s="5">
        <v>59</v>
      </c>
      <c r="F338" s="5">
        <v>58</v>
      </c>
      <c r="G338" s="5">
        <v>56</v>
      </c>
      <c r="H338" s="5">
        <v>53</v>
      </c>
      <c r="I338" s="12">
        <f t="shared" si="5"/>
        <v>56.5</v>
      </c>
      <c r="J338" s="15">
        <f>I338*4*10000</f>
        <v>2260000</v>
      </c>
      <c r="K338" s="2">
        <f>$K$125</f>
        <v>3000000</v>
      </c>
      <c r="L338" s="2">
        <f>J338*5</f>
        <v>11300000</v>
      </c>
      <c r="M338" s="3">
        <f>I338/(I338+I339)*100</f>
        <v>95.762711864406782</v>
      </c>
      <c r="N338" s="22">
        <f>I340/I338*100</f>
        <v>0</v>
      </c>
      <c r="O338" s="4">
        <f>3.32*(LOG(L338)-LOG(K338))</f>
        <v>1.9121778666956744</v>
      </c>
      <c r="P338" s="4">
        <f>IF(O338&lt;0,P335,P335+O338)</f>
        <v>284.79921039208358</v>
      </c>
    </row>
    <row r="339" spans="1:16" ht="15.75" customHeight="1" x14ac:dyDescent="0.35">
      <c r="A339" s="2"/>
      <c r="B339" s="109"/>
      <c r="C339" s="102"/>
      <c r="D339" s="92" t="s">
        <v>66</v>
      </c>
      <c r="E339" s="5">
        <v>2</v>
      </c>
      <c r="F339" s="5">
        <v>3</v>
      </c>
      <c r="G339" s="5">
        <v>2</v>
      </c>
      <c r="H339" s="5">
        <v>3</v>
      </c>
      <c r="I339" s="12">
        <f t="shared" si="5"/>
        <v>2.5</v>
      </c>
      <c r="J339" s="15"/>
      <c r="K339" s="2"/>
      <c r="L339" s="2"/>
      <c r="M339" s="2"/>
      <c r="N339" s="20"/>
      <c r="O339" s="2"/>
      <c r="P339" s="2"/>
    </row>
    <row r="340" spans="1:16" ht="15.75" customHeight="1" x14ac:dyDescent="0.35">
      <c r="A340" s="2"/>
      <c r="B340" s="109"/>
      <c r="C340" s="102"/>
      <c r="D340" s="92" t="s">
        <v>67</v>
      </c>
      <c r="E340" s="5">
        <v>0</v>
      </c>
      <c r="F340" s="5">
        <v>0</v>
      </c>
      <c r="G340" s="5">
        <v>0</v>
      </c>
      <c r="H340" s="5">
        <v>0</v>
      </c>
      <c r="I340" s="12">
        <f t="shared" si="5"/>
        <v>0</v>
      </c>
      <c r="J340" s="15"/>
      <c r="K340" s="2"/>
      <c r="L340" s="2"/>
      <c r="M340" s="2"/>
      <c r="N340" s="20"/>
      <c r="O340" s="2"/>
      <c r="P340" s="2"/>
    </row>
    <row r="341" spans="1:16" ht="15.75" customHeight="1" x14ac:dyDescent="0.35">
      <c r="A341" s="13">
        <f>A338+9</f>
        <v>45112</v>
      </c>
      <c r="B341" s="109">
        <f>B338+9</f>
        <v>761</v>
      </c>
      <c r="C341" s="102" t="str">
        <f>$C$125</f>
        <v>10% FBS R1</v>
      </c>
      <c r="D341" s="91" t="s">
        <v>65</v>
      </c>
      <c r="E341" s="5">
        <v>79</v>
      </c>
      <c r="F341" s="5">
        <v>49</v>
      </c>
      <c r="G341" s="5">
        <v>58</v>
      </c>
      <c r="H341" s="5">
        <v>45</v>
      </c>
      <c r="I341" s="12">
        <f t="shared" si="5"/>
        <v>57.75</v>
      </c>
      <c r="J341" s="15">
        <f>I341*4*10000</f>
        <v>2310000</v>
      </c>
      <c r="K341" s="2">
        <f>$K$125</f>
        <v>3000000</v>
      </c>
      <c r="L341" s="2">
        <f>J341*5</f>
        <v>11550000</v>
      </c>
      <c r="M341" s="3">
        <f>I341/(I341+I342)*100</f>
        <v>98.297872340425528</v>
      </c>
      <c r="N341" s="22">
        <f>I343/I341*100</f>
        <v>0</v>
      </c>
      <c r="O341" s="4">
        <f>3.32*(LOG(L341)-LOG(K341))</f>
        <v>1.9437296219682203</v>
      </c>
      <c r="P341" s="4">
        <f>IF(O341&lt;0,P338,P338+O341)</f>
        <v>286.74294001405178</v>
      </c>
    </row>
    <row r="342" spans="1:16" ht="15.75" customHeight="1" x14ac:dyDescent="0.35">
      <c r="A342" s="2"/>
      <c r="B342" s="109"/>
      <c r="C342" s="102"/>
      <c r="D342" s="92" t="s">
        <v>66</v>
      </c>
      <c r="E342" s="5">
        <v>1</v>
      </c>
      <c r="F342" s="5">
        <v>2</v>
      </c>
      <c r="G342" s="5">
        <v>0</v>
      </c>
      <c r="H342" s="5">
        <v>1</v>
      </c>
      <c r="I342" s="12">
        <f t="shared" si="5"/>
        <v>1</v>
      </c>
      <c r="J342" s="15"/>
      <c r="K342" s="2"/>
      <c r="L342" s="2"/>
      <c r="M342" s="2"/>
      <c r="N342" s="20"/>
      <c r="O342" s="2"/>
      <c r="P342" s="2"/>
    </row>
    <row r="343" spans="1:16" ht="15.75" customHeight="1" x14ac:dyDescent="0.35">
      <c r="A343" s="2"/>
      <c r="B343" s="109"/>
      <c r="C343" s="102"/>
      <c r="D343" s="92" t="s">
        <v>67</v>
      </c>
      <c r="E343" s="5">
        <v>0</v>
      </c>
      <c r="F343" s="5">
        <v>0</v>
      </c>
      <c r="G343" s="5">
        <v>0</v>
      </c>
      <c r="H343" s="5">
        <v>0</v>
      </c>
      <c r="I343" s="12">
        <f t="shared" si="5"/>
        <v>0</v>
      </c>
      <c r="J343" s="15"/>
      <c r="K343" s="2"/>
      <c r="L343" s="2"/>
      <c r="M343" s="2"/>
      <c r="N343" s="20"/>
      <c r="O343" s="2"/>
      <c r="P343" s="2"/>
    </row>
    <row r="344" spans="1:16" ht="15.75" customHeight="1" x14ac:dyDescent="0.35">
      <c r="A344" s="13">
        <f>A341+5</f>
        <v>45117</v>
      </c>
      <c r="B344" s="109">
        <f>B341+5</f>
        <v>766</v>
      </c>
      <c r="C344" s="102" t="str">
        <f>$C$125</f>
        <v>10% FBS R1</v>
      </c>
      <c r="D344" s="91" t="s">
        <v>65</v>
      </c>
      <c r="E344" s="5">
        <v>59</v>
      </c>
      <c r="F344" s="5">
        <v>53</v>
      </c>
      <c r="G344" s="5">
        <v>54</v>
      </c>
      <c r="H344" s="5">
        <v>68</v>
      </c>
      <c r="I344" s="12">
        <f t="shared" si="5"/>
        <v>58.5</v>
      </c>
      <c r="J344" s="15">
        <f>I344*4*10000</f>
        <v>2340000</v>
      </c>
      <c r="K344" s="2">
        <f>$K$125</f>
        <v>3000000</v>
      </c>
      <c r="L344" s="2">
        <f>J344*5</f>
        <v>11700000</v>
      </c>
      <c r="M344" s="3">
        <f>I344/(I344+I345)*100</f>
        <v>95.901639344262293</v>
      </c>
      <c r="N344" s="22">
        <f>I346/I344*100</f>
        <v>0</v>
      </c>
      <c r="O344" s="4">
        <f>3.32*(LOG(L344)-LOG(K344))</f>
        <v>1.9623344953279755</v>
      </c>
      <c r="P344" s="4">
        <f>IF(O344&lt;0,P341,P341+O344)</f>
        <v>288.70527450937976</v>
      </c>
    </row>
    <row r="345" spans="1:16" ht="15.75" customHeight="1" x14ac:dyDescent="0.35">
      <c r="A345" s="2"/>
      <c r="B345" s="109"/>
      <c r="C345" s="102"/>
      <c r="D345" s="92" t="s">
        <v>66</v>
      </c>
      <c r="E345" s="5">
        <v>1</v>
      </c>
      <c r="F345" s="5">
        <v>2</v>
      </c>
      <c r="G345" s="5">
        <v>4</v>
      </c>
      <c r="H345" s="5">
        <v>3</v>
      </c>
      <c r="I345" s="12">
        <f t="shared" si="5"/>
        <v>2.5</v>
      </c>
      <c r="J345" s="15"/>
      <c r="K345" s="2"/>
      <c r="L345" s="2"/>
      <c r="M345" s="2"/>
      <c r="N345" s="20"/>
      <c r="O345" s="2"/>
      <c r="P345" s="2"/>
    </row>
    <row r="346" spans="1:16" ht="15.75" customHeight="1" x14ac:dyDescent="0.35">
      <c r="A346" s="2"/>
      <c r="B346" s="109"/>
      <c r="C346" s="102"/>
      <c r="D346" s="92" t="s">
        <v>67</v>
      </c>
      <c r="E346" s="5">
        <v>0</v>
      </c>
      <c r="F346" s="5">
        <v>0</v>
      </c>
      <c r="G346" s="5">
        <v>0</v>
      </c>
      <c r="H346" s="5">
        <v>0</v>
      </c>
      <c r="I346" s="12">
        <f t="shared" si="5"/>
        <v>0</v>
      </c>
      <c r="J346" s="15"/>
      <c r="K346" s="2"/>
      <c r="L346" s="2"/>
      <c r="M346" s="2"/>
      <c r="N346" s="20"/>
      <c r="O346" s="2"/>
      <c r="P346" s="2"/>
    </row>
    <row r="347" spans="1:16" ht="15.75" customHeight="1" x14ac:dyDescent="0.35">
      <c r="A347" s="13">
        <f t="shared" ref="A347:B347" si="37">A344+7</f>
        <v>45124</v>
      </c>
      <c r="B347" s="109">
        <f t="shared" si="37"/>
        <v>773</v>
      </c>
      <c r="C347" s="102" t="str">
        <f>$C$125</f>
        <v>10% FBS R1</v>
      </c>
      <c r="D347" s="91" t="s">
        <v>65</v>
      </c>
      <c r="E347" s="5">
        <v>179</v>
      </c>
      <c r="F347" s="5">
        <v>177</v>
      </c>
      <c r="G347" s="5">
        <v>147</v>
      </c>
      <c r="H347" s="5">
        <v>177</v>
      </c>
      <c r="I347" s="12">
        <f t="shared" si="5"/>
        <v>170</v>
      </c>
      <c r="J347" s="15">
        <f>I347*4*10000</f>
        <v>6800000</v>
      </c>
      <c r="K347" s="2">
        <f>$K$125</f>
        <v>3000000</v>
      </c>
      <c r="L347" s="2">
        <f>J347*5</f>
        <v>34000000</v>
      </c>
      <c r="M347" s="3">
        <f>I347/(I347+I348)*100</f>
        <v>96.317280453257794</v>
      </c>
      <c r="N347" s="22">
        <f>I349/I347*100</f>
        <v>0</v>
      </c>
      <c r="O347" s="4">
        <f>3.32*(LOG(L347)-LOG(K347))</f>
        <v>3.500467438911008</v>
      </c>
      <c r="P347" s="4">
        <f>IF(O347&lt;0,P344,P344+O347)</f>
        <v>292.20574194829078</v>
      </c>
    </row>
    <row r="348" spans="1:16" ht="15.75" customHeight="1" x14ac:dyDescent="0.35">
      <c r="A348" s="2"/>
      <c r="B348" s="109"/>
      <c r="C348" s="102"/>
      <c r="D348" s="92" t="s">
        <v>66</v>
      </c>
      <c r="E348" s="5">
        <v>6</v>
      </c>
      <c r="F348" s="5">
        <v>7</v>
      </c>
      <c r="G348" s="5">
        <v>8</v>
      </c>
      <c r="H348" s="5">
        <v>5</v>
      </c>
      <c r="I348" s="12">
        <f t="shared" si="5"/>
        <v>6.5</v>
      </c>
      <c r="J348" s="15"/>
      <c r="K348" s="2"/>
      <c r="L348" s="2"/>
      <c r="M348" s="2"/>
      <c r="N348" s="20"/>
      <c r="O348" s="2"/>
      <c r="P348" s="2"/>
    </row>
    <row r="349" spans="1:16" ht="15.75" customHeight="1" x14ac:dyDescent="0.35">
      <c r="A349" s="2"/>
      <c r="B349" s="109"/>
      <c r="C349" s="102"/>
      <c r="D349" s="92" t="s">
        <v>67</v>
      </c>
      <c r="E349" s="5">
        <v>0</v>
      </c>
      <c r="F349" s="5">
        <v>0</v>
      </c>
      <c r="G349" s="5">
        <v>0</v>
      </c>
      <c r="H349" s="5">
        <v>0</v>
      </c>
      <c r="I349" s="12">
        <f t="shared" si="5"/>
        <v>0</v>
      </c>
      <c r="J349" s="15"/>
      <c r="K349" s="2"/>
      <c r="L349" s="2"/>
      <c r="M349" s="2"/>
      <c r="N349" s="20"/>
      <c r="O349" s="2"/>
      <c r="P349" s="2"/>
    </row>
    <row r="350" spans="1:16" ht="15.75" customHeight="1" x14ac:dyDescent="0.35">
      <c r="A350" s="13">
        <f t="shared" ref="A350:B350" si="38">A347+7</f>
        <v>45131</v>
      </c>
      <c r="B350" s="109">
        <f t="shared" si="38"/>
        <v>780</v>
      </c>
      <c r="C350" s="102" t="str">
        <f t="shared" ref="C350" si="39">$C$125</f>
        <v>10% FBS R1</v>
      </c>
      <c r="D350" s="91" t="s">
        <v>65</v>
      </c>
      <c r="E350" s="5">
        <v>82</v>
      </c>
      <c r="F350" s="5">
        <v>74</v>
      </c>
      <c r="G350" s="5">
        <v>54</v>
      </c>
      <c r="H350" s="5">
        <v>72</v>
      </c>
      <c r="I350" s="12">
        <f t="shared" ref="I350:I355" si="40">AVERAGE(E350:H350)</f>
        <v>70.5</v>
      </c>
      <c r="J350" s="15">
        <f>I350*4*10000</f>
        <v>2820000</v>
      </c>
      <c r="K350" s="2">
        <f t="shared" ref="K350" si="41">$K$125</f>
        <v>3000000</v>
      </c>
      <c r="L350" s="2">
        <f t="shared" ref="L350" si="42">J350*5</f>
        <v>14100000</v>
      </c>
      <c r="M350" s="3">
        <f t="shared" ref="M350" si="43">I350/(I350+I351)*100</f>
        <v>92.76315789473685</v>
      </c>
      <c r="N350" s="22">
        <f>I352/I350*100</f>
        <v>0</v>
      </c>
      <c r="O350" s="4">
        <f t="shared" ref="O350" si="44">3.32*(LOG(L350)-LOG(K350))</f>
        <v>2.2313648883465804</v>
      </c>
      <c r="P350" s="4">
        <f t="shared" ref="P350" si="45">IF(O350&lt;0,P347,P347+O350)</f>
        <v>294.43710683663738</v>
      </c>
    </row>
    <row r="351" spans="1:16" ht="15.75" customHeight="1" x14ac:dyDescent="0.35">
      <c r="A351" s="2"/>
      <c r="B351" s="109"/>
      <c r="C351" s="102"/>
      <c r="D351" s="92" t="s">
        <v>66</v>
      </c>
      <c r="E351" s="5">
        <v>6</v>
      </c>
      <c r="F351" s="5">
        <v>3</v>
      </c>
      <c r="G351" s="5">
        <v>6</v>
      </c>
      <c r="H351" s="5">
        <v>7</v>
      </c>
      <c r="I351" s="12">
        <f t="shared" si="40"/>
        <v>5.5</v>
      </c>
      <c r="J351" s="15"/>
      <c r="K351" s="2"/>
      <c r="L351" s="2"/>
      <c r="M351" s="2"/>
      <c r="N351" s="20"/>
      <c r="O351" s="2"/>
      <c r="P351" s="2"/>
    </row>
    <row r="352" spans="1:16" ht="15.75" customHeight="1" x14ac:dyDescent="0.35">
      <c r="A352" s="2"/>
      <c r="B352" s="109"/>
      <c r="C352" s="102"/>
      <c r="D352" s="92" t="s">
        <v>67</v>
      </c>
      <c r="E352" s="5">
        <v>0</v>
      </c>
      <c r="F352" s="5">
        <v>0</v>
      </c>
      <c r="G352" s="5">
        <v>0</v>
      </c>
      <c r="H352" s="5">
        <v>0</v>
      </c>
      <c r="I352" s="12">
        <f t="shared" si="40"/>
        <v>0</v>
      </c>
      <c r="J352" s="15"/>
      <c r="K352" s="2"/>
      <c r="L352" s="2"/>
      <c r="M352" s="2"/>
      <c r="N352" s="20"/>
      <c r="O352" s="2"/>
      <c r="P352" s="2"/>
    </row>
    <row r="353" spans="1:16" ht="15.75" customHeight="1" x14ac:dyDescent="0.35">
      <c r="A353" s="13">
        <f t="shared" ref="A353:B353" si="46">A350+7</f>
        <v>45138</v>
      </c>
      <c r="B353" s="109">
        <f t="shared" si="46"/>
        <v>787</v>
      </c>
      <c r="C353" s="102" t="str">
        <f t="shared" ref="C353:C356" si="47">$C$125</f>
        <v>10% FBS R1</v>
      </c>
      <c r="D353" s="91" t="s">
        <v>65</v>
      </c>
      <c r="E353" s="5">
        <v>80</v>
      </c>
      <c r="F353" s="5">
        <v>76</v>
      </c>
      <c r="G353" s="5">
        <v>106</v>
      </c>
      <c r="H353" s="5">
        <v>77</v>
      </c>
      <c r="I353" s="12">
        <f t="shared" si="40"/>
        <v>84.75</v>
      </c>
      <c r="J353" s="15">
        <f>I353*4*10000</f>
        <v>3390000</v>
      </c>
      <c r="K353" s="2">
        <f t="shared" ref="K353:K356" si="48">$K$125</f>
        <v>3000000</v>
      </c>
      <c r="L353" s="2">
        <f t="shared" ref="L353" si="49">J353*5</f>
        <v>16950000</v>
      </c>
      <c r="M353" s="3">
        <f t="shared" ref="M353" si="50">I353/(I353+I354)*100</f>
        <v>89.445910290237464</v>
      </c>
      <c r="N353" s="22">
        <f>I355/I353*100</f>
        <v>0</v>
      </c>
      <c r="O353" s="4">
        <f t="shared" ref="O353" si="51">3.32*(LOG(L353)-LOG(K353))</f>
        <v>2.4968008467605363</v>
      </c>
      <c r="P353" s="4">
        <f t="shared" ref="P353" si="52">IF(O353&lt;0,P350,P350+O353)</f>
        <v>296.93390768339793</v>
      </c>
    </row>
    <row r="354" spans="1:16" ht="15.75" customHeight="1" x14ac:dyDescent="0.35">
      <c r="A354" s="2"/>
      <c r="B354" s="109"/>
      <c r="C354" s="102"/>
      <c r="D354" s="92" t="s">
        <v>66</v>
      </c>
      <c r="E354" s="5">
        <v>7</v>
      </c>
      <c r="F354" s="5">
        <v>12</v>
      </c>
      <c r="G354" s="5">
        <v>14</v>
      </c>
      <c r="H354" s="5">
        <v>7</v>
      </c>
      <c r="I354" s="12">
        <f t="shared" si="40"/>
        <v>10</v>
      </c>
      <c r="J354" s="15"/>
      <c r="K354" s="2"/>
      <c r="L354" s="2"/>
      <c r="M354" s="2"/>
      <c r="N354" s="20"/>
      <c r="O354" s="2"/>
      <c r="P354" s="2"/>
    </row>
    <row r="355" spans="1:16" ht="15.75" customHeight="1" x14ac:dyDescent="0.35">
      <c r="A355" s="2"/>
      <c r="B355" s="109"/>
      <c r="C355" s="102"/>
      <c r="D355" s="92" t="s">
        <v>67</v>
      </c>
      <c r="E355" s="5">
        <v>0</v>
      </c>
      <c r="F355" s="5">
        <v>0</v>
      </c>
      <c r="G355" s="5">
        <v>0</v>
      </c>
      <c r="H355" s="5">
        <v>0</v>
      </c>
      <c r="I355" s="12">
        <f t="shared" si="40"/>
        <v>0</v>
      </c>
      <c r="J355" s="15"/>
      <c r="K355" s="2"/>
      <c r="L355" s="2"/>
      <c r="M355" s="2"/>
      <c r="N355" s="20"/>
      <c r="O355" s="2"/>
      <c r="P355" s="2"/>
    </row>
    <row r="356" spans="1:16" ht="15.75" customHeight="1" x14ac:dyDescent="0.35">
      <c r="A356" s="13">
        <f t="shared" ref="A356:B356" si="53">A353+7</f>
        <v>45145</v>
      </c>
      <c r="B356" s="109">
        <f t="shared" si="53"/>
        <v>794</v>
      </c>
      <c r="C356" s="102" t="str">
        <f t="shared" si="47"/>
        <v>10% FBS R1</v>
      </c>
      <c r="D356" s="91" t="s">
        <v>65</v>
      </c>
      <c r="E356" s="5">
        <v>82</v>
      </c>
      <c r="F356" s="5">
        <v>93</v>
      </c>
      <c r="G356" s="5">
        <v>72</v>
      </c>
      <c r="H356" s="5">
        <v>73</v>
      </c>
      <c r="I356" s="12">
        <f t="shared" ref="I356:I358" si="54">AVERAGE(E356:H356)</f>
        <v>80</v>
      </c>
      <c r="J356" s="15">
        <f>I356*4*10000</f>
        <v>3200000</v>
      </c>
      <c r="K356" s="2">
        <f t="shared" si="48"/>
        <v>3000000</v>
      </c>
      <c r="L356" s="2">
        <f t="shared" ref="L356" si="55">J356*5</f>
        <v>16000000</v>
      </c>
      <c r="M356" s="3">
        <f t="shared" ref="M356" si="56">I356/(I356+I357)*100</f>
        <v>88.1542699724518</v>
      </c>
      <c r="N356" s="22">
        <f>I358/I356*100</f>
        <v>0</v>
      </c>
      <c r="O356" s="4">
        <f t="shared" ref="O356" si="57">3.32*(LOG(L356)-LOG(K356))</f>
        <v>2.4136357767483911</v>
      </c>
      <c r="P356" s="4">
        <f t="shared" ref="P356" si="58">IF(O356&lt;0,P353,P353+O356)</f>
        <v>299.34754346014631</v>
      </c>
    </row>
    <row r="357" spans="1:16" ht="15.75" customHeight="1" x14ac:dyDescent="0.35">
      <c r="A357" s="2"/>
      <c r="B357" s="109"/>
      <c r="C357" s="102"/>
      <c r="D357" s="92" t="s">
        <v>66</v>
      </c>
      <c r="E357" s="5">
        <v>15</v>
      </c>
      <c r="F357" s="5">
        <v>11</v>
      </c>
      <c r="G357" s="5">
        <v>9</v>
      </c>
      <c r="H357" s="5">
        <v>8</v>
      </c>
      <c r="I357" s="12">
        <f t="shared" si="54"/>
        <v>10.75</v>
      </c>
      <c r="J357" s="15"/>
      <c r="K357" s="2"/>
      <c r="L357" s="2"/>
      <c r="M357" s="2"/>
      <c r="N357" s="20"/>
      <c r="O357" s="2"/>
      <c r="P357" s="2"/>
    </row>
    <row r="358" spans="1:16" ht="15.75" customHeight="1" x14ac:dyDescent="0.35">
      <c r="A358" s="2"/>
      <c r="B358" s="109"/>
      <c r="C358" s="102"/>
      <c r="D358" s="92" t="s">
        <v>67</v>
      </c>
      <c r="E358" s="5">
        <v>0</v>
      </c>
      <c r="F358" s="5">
        <v>0</v>
      </c>
      <c r="G358" s="5">
        <v>0</v>
      </c>
      <c r="H358" s="5">
        <v>0</v>
      </c>
      <c r="I358" s="12">
        <f t="shared" si="54"/>
        <v>0</v>
      </c>
      <c r="J358" s="15"/>
      <c r="K358" s="2"/>
      <c r="L358" s="2"/>
      <c r="M358" s="2"/>
      <c r="N358" s="20"/>
      <c r="O358" s="2"/>
      <c r="P358" s="2"/>
    </row>
    <row r="359" spans="1:16" ht="15.75" customHeight="1" x14ac:dyDescent="0.35">
      <c r="A359" s="13">
        <f t="shared" ref="A359:B359" si="59">A356+7</f>
        <v>45152</v>
      </c>
      <c r="B359" s="109">
        <f t="shared" si="59"/>
        <v>801</v>
      </c>
      <c r="C359" s="102" t="str">
        <f t="shared" ref="C359:C368" si="60">$C$125</f>
        <v>10% FBS R1</v>
      </c>
      <c r="D359" s="91" t="s">
        <v>65</v>
      </c>
      <c r="E359" s="5">
        <v>45</v>
      </c>
      <c r="F359" s="5">
        <v>39</v>
      </c>
      <c r="G359" s="5">
        <v>31</v>
      </c>
      <c r="H359" s="5">
        <v>31</v>
      </c>
      <c r="I359" s="12">
        <f t="shared" ref="I359:I370" si="61">AVERAGE(E359:H359)</f>
        <v>36.5</v>
      </c>
      <c r="J359" s="15">
        <f t="shared" ref="J359" si="62">I359*4*10000</f>
        <v>1460000</v>
      </c>
      <c r="K359" s="2">
        <f t="shared" ref="K359:K368" si="63">$K$125</f>
        <v>3000000</v>
      </c>
      <c r="L359" s="2">
        <f t="shared" ref="L359" si="64">J359*5</f>
        <v>7300000</v>
      </c>
      <c r="M359" s="3">
        <f t="shared" ref="M359" si="65">I359/(I359+I360)*100</f>
        <v>86.390532544378701</v>
      </c>
      <c r="N359" s="22">
        <f>I361/I359*100</f>
        <v>0</v>
      </c>
      <c r="O359" s="4">
        <f t="shared" ref="O359" si="66">3.32*(LOG(L359)-LOG(K359))</f>
        <v>1.2821893299306337</v>
      </c>
      <c r="P359" s="4">
        <f t="shared" ref="P359" si="67">IF(O359&lt;0,P356,P356+O359)</f>
        <v>300.62973279007696</v>
      </c>
    </row>
    <row r="360" spans="1:16" ht="15.75" customHeight="1" x14ac:dyDescent="0.35">
      <c r="A360" s="2"/>
      <c r="B360" s="109"/>
      <c r="C360" s="102"/>
      <c r="D360" s="92" t="s">
        <v>66</v>
      </c>
      <c r="E360" s="5">
        <v>5</v>
      </c>
      <c r="F360" s="5">
        <v>3</v>
      </c>
      <c r="G360" s="5">
        <v>8</v>
      </c>
      <c r="H360" s="5">
        <v>7</v>
      </c>
      <c r="I360" s="12">
        <f t="shared" si="61"/>
        <v>5.75</v>
      </c>
      <c r="J360" s="15"/>
      <c r="K360" s="2"/>
      <c r="L360" s="2"/>
      <c r="M360" s="2"/>
      <c r="N360" s="20"/>
      <c r="O360" s="2"/>
      <c r="P360" s="2"/>
    </row>
    <row r="361" spans="1:16" ht="15.75" customHeight="1" x14ac:dyDescent="0.35">
      <c r="A361" s="2"/>
      <c r="B361" s="109"/>
      <c r="C361" s="102"/>
      <c r="D361" s="92" t="s">
        <v>67</v>
      </c>
      <c r="E361" s="5">
        <v>0</v>
      </c>
      <c r="F361" s="5">
        <v>0</v>
      </c>
      <c r="G361" s="5">
        <v>0</v>
      </c>
      <c r="H361" s="5">
        <v>0</v>
      </c>
      <c r="I361" s="12">
        <f t="shared" si="61"/>
        <v>0</v>
      </c>
      <c r="J361" s="15"/>
      <c r="K361" s="2"/>
      <c r="L361" s="2"/>
      <c r="M361" s="2"/>
      <c r="N361" s="20"/>
      <c r="O361" s="2"/>
      <c r="P361" s="2"/>
    </row>
    <row r="362" spans="1:16" ht="15.75" customHeight="1" x14ac:dyDescent="0.35">
      <c r="A362" s="13">
        <f t="shared" ref="A362:B362" si="68">A359+7</f>
        <v>45159</v>
      </c>
      <c r="B362" s="109">
        <f t="shared" si="68"/>
        <v>808</v>
      </c>
      <c r="C362" s="102" t="str">
        <f t="shared" si="60"/>
        <v>10% FBS R1</v>
      </c>
      <c r="D362" s="91" t="s">
        <v>65</v>
      </c>
      <c r="E362" s="5">
        <v>61</v>
      </c>
      <c r="F362" s="5">
        <v>65</v>
      </c>
      <c r="G362" s="5">
        <v>79</v>
      </c>
      <c r="H362" s="5">
        <v>65</v>
      </c>
      <c r="I362" s="12">
        <f t="shared" si="61"/>
        <v>67.5</v>
      </c>
      <c r="J362" s="15">
        <f t="shared" ref="J362" si="69">I362*4*10000</f>
        <v>2700000</v>
      </c>
      <c r="K362" s="2">
        <f t="shared" si="63"/>
        <v>3000000</v>
      </c>
      <c r="L362" s="2">
        <f t="shared" ref="L362" si="70">J362*5</f>
        <v>13500000</v>
      </c>
      <c r="M362" s="3">
        <f t="shared" ref="M362" si="71">I362/(I362+I363)*100</f>
        <v>86.816720257234721</v>
      </c>
      <c r="N362" s="22">
        <f>I364/I362*100</f>
        <v>0</v>
      </c>
      <c r="O362" s="4">
        <f t="shared" ref="O362" si="72">3.32*(LOG(L362)-LOG(K362))</f>
        <v>2.1686655457341417</v>
      </c>
      <c r="P362" s="4">
        <f t="shared" ref="P362" si="73">IF(O362&lt;0,P359,P359+O362)</f>
        <v>302.7983983358111</v>
      </c>
    </row>
    <row r="363" spans="1:16" ht="15.75" customHeight="1" x14ac:dyDescent="0.35">
      <c r="A363" s="2"/>
      <c r="B363" s="109"/>
      <c r="C363" s="102"/>
      <c r="D363" s="92" t="s">
        <v>66</v>
      </c>
      <c r="E363" s="5">
        <v>10</v>
      </c>
      <c r="F363" s="5">
        <v>10</v>
      </c>
      <c r="G363" s="5">
        <v>12</v>
      </c>
      <c r="H363" s="5">
        <v>9</v>
      </c>
      <c r="I363" s="12">
        <f t="shared" si="61"/>
        <v>10.25</v>
      </c>
      <c r="J363" s="15"/>
      <c r="K363" s="2"/>
      <c r="L363" s="2"/>
      <c r="M363" s="2"/>
      <c r="N363" s="20"/>
      <c r="O363" s="2"/>
      <c r="P363" s="2"/>
    </row>
    <row r="364" spans="1:16" ht="15.75" customHeight="1" x14ac:dyDescent="0.35">
      <c r="A364" s="2"/>
      <c r="B364" s="109"/>
      <c r="C364" s="102"/>
      <c r="D364" s="92" t="s">
        <v>67</v>
      </c>
      <c r="E364" s="5">
        <v>0</v>
      </c>
      <c r="F364" s="5">
        <v>0</v>
      </c>
      <c r="G364" s="5">
        <v>0</v>
      </c>
      <c r="H364" s="5">
        <v>0</v>
      </c>
      <c r="I364" s="12">
        <f t="shared" si="61"/>
        <v>0</v>
      </c>
      <c r="J364" s="15"/>
      <c r="K364" s="2"/>
      <c r="L364" s="2"/>
      <c r="M364" s="2"/>
      <c r="N364" s="20"/>
      <c r="O364" s="2"/>
      <c r="P364" s="2"/>
    </row>
    <row r="365" spans="1:16" ht="15.75" customHeight="1" x14ac:dyDescent="0.35">
      <c r="A365" s="13">
        <f t="shared" ref="A365:B365" si="74">A362+7</f>
        <v>45166</v>
      </c>
      <c r="B365" s="109">
        <f t="shared" si="74"/>
        <v>815</v>
      </c>
      <c r="C365" s="102" t="str">
        <f t="shared" si="60"/>
        <v>10% FBS R1</v>
      </c>
      <c r="D365" s="91" t="s">
        <v>65</v>
      </c>
      <c r="E365" s="5">
        <v>96</v>
      </c>
      <c r="F365" s="5">
        <v>96</v>
      </c>
      <c r="G365" s="5">
        <v>80</v>
      </c>
      <c r="H365" s="5">
        <v>93</v>
      </c>
      <c r="I365" s="12">
        <f t="shared" si="61"/>
        <v>91.25</v>
      </c>
      <c r="J365" s="15">
        <f t="shared" ref="J365" si="75">I365*4*10000</f>
        <v>3650000</v>
      </c>
      <c r="K365" s="2">
        <f t="shared" si="63"/>
        <v>3000000</v>
      </c>
      <c r="L365" s="2">
        <f t="shared" ref="L365" si="76">J365*5</f>
        <v>18250000</v>
      </c>
      <c r="M365" s="3">
        <f t="shared" ref="M365" si="77">I365/(I365+I366)*100</f>
        <v>87.740384615384613</v>
      </c>
      <c r="N365" s="22">
        <f>I367/I365*100</f>
        <v>0</v>
      </c>
      <c r="O365" s="4">
        <f t="shared" ref="O365" si="78">3.32*(LOG(L365)-LOG(K365))</f>
        <v>2.6033501587217982</v>
      </c>
      <c r="P365" s="4">
        <f t="shared" ref="P365" si="79">IF(O365&lt;0,P362,P362+O365)</f>
        <v>305.40174849453291</v>
      </c>
    </row>
    <row r="366" spans="1:16" ht="15.75" customHeight="1" x14ac:dyDescent="0.35">
      <c r="A366" s="2"/>
      <c r="B366" s="109"/>
      <c r="C366" s="102"/>
      <c r="D366" s="92" t="s">
        <v>66</v>
      </c>
      <c r="E366" s="5">
        <v>9</v>
      </c>
      <c r="F366" s="5">
        <v>12</v>
      </c>
      <c r="G366" s="5">
        <v>16</v>
      </c>
      <c r="H366" s="5">
        <v>14</v>
      </c>
      <c r="I366" s="12">
        <f t="shared" si="61"/>
        <v>12.75</v>
      </c>
      <c r="J366" s="15"/>
      <c r="K366" s="2"/>
      <c r="L366" s="2"/>
      <c r="M366" s="2"/>
      <c r="N366" s="20"/>
      <c r="O366" s="2"/>
      <c r="P366" s="2"/>
    </row>
    <row r="367" spans="1:16" ht="15.75" customHeight="1" x14ac:dyDescent="0.35">
      <c r="A367" s="2"/>
      <c r="B367" s="109"/>
      <c r="C367" s="102"/>
      <c r="D367" s="92" t="s">
        <v>67</v>
      </c>
      <c r="E367" s="5">
        <v>0</v>
      </c>
      <c r="F367" s="5">
        <v>0</v>
      </c>
      <c r="G367" s="5">
        <v>0</v>
      </c>
      <c r="H367" s="5">
        <v>0</v>
      </c>
      <c r="I367" s="12">
        <f t="shared" si="61"/>
        <v>0</v>
      </c>
      <c r="J367" s="15"/>
      <c r="K367" s="2"/>
      <c r="L367" s="2"/>
      <c r="M367" s="2"/>
      <c r="N367" s="20"/>
      <c r="O367" s="2"/>
      <c r="P367" s="2"/>
    </row>
    <row r="368" spans="1:16" ht="15.75" customHeight="1" x14ac:dyDescent="0.35">
      <c r="A368" s="13">
        <f>A365+8</f>
        <v>45174</v>
      </c>
      <c r="B368" s="109">
        <f>B365+8</f>
        <v>823</v>
      </c>
      <c r="C368" s="102" t="str">
        <f t="shared" si="60"/>
        <v>10% FBS R1</v>
      </c>
      <c r="D368" s="91" t="s">
        <v>65</v>
      </c>
      <c r="E368" s="5">
        <v>129</v>
      </c>
      <c r="F368" s="5">
        <v>104</v>
      </c>
      <c r="G368" s="5">
        <v>118</v>
      </c>
      <c r="H368" s="5">
        <v>124</v>
      </c>
      <c r="I368" s="12">
        <f t="shared" si="61"/>
        <v>118.75</v>
      </c>
      <c r="J368" s="15">
        <f t="shared" ref="J368" si="80">I368*4*10000</f>
        <v>4750000</v>
      </c>
      <c r="K368" s="2">
        <f t="shared" si="63"/>
        <v>3000000</v>
      </c>
      <c r="L368" s="2">
        <f t="shared" ref="L368" si="81">J368*5</f>
        <v>23750000</v>
      </c>
      <c r="M368" s="3">
        <f t="shared" ref="M368" si="82">I368/(I368+I369)*100</f>
        <v>90.476190476190482</v>
      </c>
      <c r="N368" s="22">
        <f>I370/I368*100</f>
        <v>0</v>
      </c>
      <c r="O368" s="4">
        <f t="shared" ref="O368" si="83">3.32*(LOG(L368)-LOG(K368))</f>
        <v>2.9831606326808586</v>
      </c>
      <c r="P368" s="4">
        <f t="shared" ref="P368" si="84">IF(O368&lt;0,P365,P365+O368)</f>
        <v>308.38490912721375</v>
      </c>
    </row>
    <row r="369" spans="1:16" ht="15.75" customHeight="1" x14ac:dyDescent="0.35">
      <c r="A369" s="2"/>
      <c r="B369" s="109"/>
      <c r="C369" s="102"/>
      <c r="D369" s="92" t="s">
        <v>66</v>
      </c>
      <c r="E369" s="5">
        <v>10</v>
      </c>
      <c r="F369" s="5">
        <v>14</v>
      </c>
      <c r="G369" s="5">
        <v>10</v>
      </c>
      <c r="H369" s="5">
        <v>16</v>
      </c>
      <c r="I369" s="12">
        <f t="shared" si="61"/>
        <v>12.5</v>
      </c>
      <c r="J369" s="15"/>
      <c r="K369" s="2"/>
      <c r="L369" s="2"/>
      <c r="M369" s="2"/>
      <c r="N369" s="20"/>
      <c r="O369" s="2"/>
      <c r="P369" s="2"/>
    </row>
    <row r="370" spans="1:16" ht="15.75" customHeight="1" x14ac:dyDescent="0.35">
      <c r="A370" s="2"/>
      <c r="B370" s="109"/>
      <c r="C370" s="102"/>
      <c r="D370" s="92" t="s">
        <v>67</v>
      </c>
      <c r="E370" s="5">
        <v>0</v>
      </c>
      <c r="F370" s="5">
        <v>0</v>
      </c>
      <c r="G370" s="5">
        <v>0</v>
      </c>
      <c r="H370" s="5">
        <v>0</v>
      </c>
      <c r="I370" s="12">
        <f t="shared" si="61"/>
        <v>0</v>
      </c>
      <c r="J370" s="15"/>
      <c r="K370" s="2"/>
      <c r="L370" s="2"/>
      <c r="M370" s="2"/>
      <c r="N370" s="20"/>
      <c r="O370" s="2"/>
      <c r="P370" s="2"/>
    </row>
    <row r="371" spans="1:16" ht="15.75" customHeight="1" x14ac:dyDescent="0.35">
      <c r="A371" s="13">
        <f>A368+6</f>
        <v>45180</v>
      </c>
      <c r="B371" s="109">
        <f>B368+6</f>
        <v>829</v>
      </c>
      <c r="C371" s="102" t="str">
        <f t="shared" ref="C371:C380" si="85">$C$125</f>
        <v>10% FBS R1</v>
      </c>
      <c r="D371" s="91" t="s">
        <v>65</v>
      </c>
      <c r="E371" s="5">
        <v>42</v>
      </c>
      <c r="F371" s="5">
        <v>53</v>
      </c>
      <c r="G371" s="5">
        <v>48</v>
      </c>
      <c r="H371" s="5">
        <v>31</v>
      </c>
      <c r="I371" s="12">
        <f t="shared" ref="I371:I385" si="86">AVERAGE(E371:H371)</f>
        <v>43.5</v>
      </c>
      <c r="J371" s="15">
        <f t="shared" ref="J371" si="87">I371*4*10000</f>
        <v>1740000</v>
      </c>
      <c r="K371" s="2">
        <f t="shared" ref="K371:K380" si="88">$K$125</f>
        <v>3000000</v>
      </c>
      <c r="L371" s="2">
        <f t="shared" ref="L371" si="89">J371*5</f>
        <v>8700000</v>
      </c>
      <c r="M371" s="3">
        <f t="shared" ref="M371" si="90">I371/(I371+I372)*100</f>
        <v>91.099476439790578</v>
      </c>
      <c r="N371" s="22">
        <f>I373/I371*100</f>
        <v>0</v>
      </c>
      <c r="O371" s="4">
        <f t="shared" ref="O371" si="91">3.32*(LOG(L371)-LOG(K371))</f>
        <v>1.5351613530245327</v>
      </c>
      <c r="P371" s="4">
        <f t="shared" ref="P371" si="92">IF(O371&lt;0,P368,P368+O371)</f>
        <v>309.92007048023828</v>
      </c>
    </row>
    <row r="372" spans="1:16" ht="15.75" customHeight="1" x14ac:dyDescent="0.35">
      <c r="A372" s="2"/>
      <c r="B372" s="109"/>
      <c r="C372" s="102"/>
      <c r="D372" s="92" t="s">
        <v>66</v>
      </c>
      <c r="E372" s="5">
        <v>4</v>
      </c>
      <c r="F372" s="5">
        <v>4</v>
      </c>
      <c r="G372" s="5">
        <v>4</v>
      </c>
      <c r="H372" s="5">
        <v>5</v>
      </c>
      <c r="I372" s="12">
        <f t="shared" si="86"/>
        <v>4.25</v>
      </c>
      <c r="J372" s="15"/>
      <c r="K372" s="2"/>
      <c r="L372" s="2"/>
      <c r="M372" s="2"/>
      <c r="N372" s="20"/>
      <c r="O372" s="2"/>
      <c r="P372" s="2"/>
    </row>
    <row r="373" spans="1:16" ht="15.75" customHeight="1" x14ac:dyDescent="0.35">
      <c r="A373" s="2"/>
      <c r="B373" s="109"/>
      <c r="C373" s="102"/>
      <c r="D373" s="92" t="s">
        <v>67</v>
      </c>
      <c r="E373" s="5">
        <v>0</v>
      </c>
      <c r="F373" s="5">
        <v>0</v>
      </c>
      <c r="G373" s="5">
        <v>0</v>
      </c>
      <c r="H373" s="5">
        <v>0</v>
      </c>
      <c r="I373" s="12">
        <f t="shared" si="86"/>
        <v>0</v>
      </c>
      <c r="J373" s="15"/>
      <c r="K373" s="2"/>
      <c r="L373" s="2"/>
      <c r="M373" s="2"/>
      <c r="N373" s="20"/>
      <c r="O373" s="2"/>
      <c r="P373" s="2"/>
    </row>
    <row r="374" spans="1:16" ht="15.75" customHeight="1" x14ac:dyDescent="0.35">
      <c r="A374" s="13">
        <f t="shared" ref="A374:B374" si="93">A371+7</f>
        <v>45187</v>
      </c>
      <c r="B374" s="109">
        <f t="shared" si="93"/>
        <v>836</v>
      </c>
      <c r="C374" s="102" t="str">
        <f t="shared" si="85"/>
        <v>10% FBS R1</v>
      </c>
      <c r="D374" s="91" t="s">
        <v>65</v>
      </c>
      <c r="E374" s="5">
        <v>65</v>
      </c>
      <c r="F374" s="5">
        <v>60</v>
      </c>
      <c r="G374" s="5">
        <v>55</v>
      </c>
      <c r="H374" s="5">
        <v>59</v>
      </c>
      <c r="I374" s="12">
        <f t="shared" si="86"/>
        <v>59.75</v>
      </c>
      <c r="J374" s="15">
        <f t="shared" ref="J374" si="94">I374*4*10000</f>
        <v>2390000</v>
      </c>
      <c r="K374" s="2">
        <f t="shared" si="88"/>
        <v>3000000</v>
      </c>
      <c r="L374" s="2">
        <f t="shared" ref="L374" si="95">J374*5</f>
        <v>11950000</v>
      </c>
      <c r="M374" s="3">
        <f t="shared" ref="M374" si="96">I374/(I374+I375)*100</f>
        <v>94.094488188976371</v>
      </c>
      <c r="N374" s="22">
        <f>I376/I374*100</f>
        <v>0</v>
      </c>
      <c r="O374" s="4">
        <f t="shared" ref="O374" si="97">3.32*(LOG(L374)-LOG(K374))</f>
        <v>1.9928188798741204</v>
      </c>
      <c r="P374" s="4">
        <f t="shared" ref="P374" si="98">IF(O374&lt;0,P371,P371+O374)</f>
        <v>311.91288936011239</v>
      </c>
    </row>
    <row r="375" spans="1:16" ht="15.75" customHeight="1" x14ac:dyDescent="0.35">
      <c r="A375" s="2"/>
      <c r="B375" s="109"/>
      <c r="C375" s="102"/>
      <c r="D375" s="92" t="s">
        <v>66</v>
      </c>
      <c r="E375" s="5">
        <v>4</v>
      </c>
      <c r="F375" s="5">
        <v>4</v>
      </c>
      <c r="G375" s="5">
        <v>3</v>
      </c>
      <c r="H375" s="5">
        <v>4</v>
      </c>
      <c r="I375" s="12">
        <f t="shared" si="86"/>
        <v>3.75</v>
      </c>
      <c r="J375" s="15"/>
      <c r="K375" s="2"/>
      <c r="L375" s="2"/>
      <c r="M375" s="2"/>
      <c r="N375" s="20"/>
      <c r="O375" s="2"/>
      <c r="P375" s="2"/>
    </row>
    <row r="376" spans="1:16" ht="15.75" customHeight="1" x14ac:dyDescent="0.35">
      <c r="A376" s="2"/>
      <c r="B376" s="109"/>
      <c r="C376" s="102"/>
      <c r="D376" s="92" t="s">
        <v>67</v>
      </c>
      <c r="E376" s="5">
        <v>0</v>
      </c>
      <c r="F376" s="5">
        <v>0</v>
      </c>
      <c r="G376" s="5">
        <v>0</v>
      </c>
      <c r="H376" s="5">
        <v>0</v>
      </c>
      <c r="I376" s="12">
        <f t="shared" si="86"/>
        <v>0</v>
      </c>
      <c r="J376" s="15"/>
      <c r="K376" s="2"/>
      <c r="L376" s="2"/>
      <c r="M376" s="2"/>
      <c r="N376" s="20"/>
      <c r="O376" s="2"/>
      <c r="P376" s="2"/>
    </row>
    <row r="377" spans="1:16" ht="15.75" customHeight="1" x14ac:dyDescent="0.35">
      <c r="A377" s="13">
        <f t="shared" ref="A377:B377" si="99">A374+7</f>
        <v>45194</v>
      </c>
      <c r="B377" s="109">
        <f t="shared" si="99"/>
        <v>843</v>
      </c>
      <c r="C377" s="102" t="str">
        <f t="shared" si="85"/>
        <v>10% FBS R1</v>
      </c>
      <c r="D377" s="91" t="s">
        <v>65</v>
      </c>
      <c r="E377" s="5">
        <v>66</v>
      </c>
      <c r="F377" s="5">
        <v>50</v>
      </c>
      <c r="G377" s="5">
        <v>45</v>
      </c>
      <c r="H377" s="5">
        <v>49</v>
      </c>
      <c r="I377" s="12">
        <f t="shared" si="86"/>
        <v>52.5</v>
      </c>
      <c r="J377" s="15">
        <f>I377*2*10000</f>
        <v>1050000</v>
      </c>
      <c r="K377" s="2">
        <f t="shared" si="88"/>
        <v>3000000</v>
      </c>
      <c r="L377" s="2">
        <f t="shared" ref="L377" si="100">J377*5</f>
        <v>5250000</v>
      </c>
      <c r="M377" s="3">
        <f t="shared" ref="M377" si="101">I377/(I377+I378)*100</f>
        <v>95.02262443438913</v>
      </c>
      <c r="N377" s="22">
        <f>I379/I377*100</f>
        <v>0</v>
      </c>
      <c r="O377" s="4">
        <f t="shared" ref="O377" si="102">3.32*(LOG(L377)-LOG(K377))</f>
        <v>0.80688632163849738</v>
      </c>
      <c r="P377" s="4">
        <f t="shared" ref="P377" si="103">IF(O377&lt;0,P374,P374+O377)</f>
        <v>312.71977568175089</v>
      </c>
    </row>
    <row r="378" spans="1:16" ht="15.75" customHeight="1" x14ac:dyDescent="0.35">
      <c r="A378" s="2"/>
      <c r="B378" s="109"/>
      <c r="C378" s="102"/>
      <c r="D378" s="92" t="s">
        <v>66</v>
      </c>
      <c r="E378" s="5">
        <v>3</v>
      </c>
      <c r="F378" s="5">
        <v>3</v>
      </c>
      <c r="G378" s="5">
        <v>1</v>
      </c>
      <c r="H378" s="5">
        <v>4</v>
      </c>
      <c r="I378" s="12">
        <f t="shared" si="86"/>
        <v>2.75</v>
      </c>
      <c r="J378" s="15"/>
      <c r="K378" s="2"/>
      <c r="L378" s="2"/>
      <c r="M378" s="2"/>
      <c r="N378" s="20"/>
      <c r="O378" s="2"/>
      <c r="P378" s="2"/>
    </row>
    <row r="379" spans="1:16" ht="15.75" customHeight="1" x14ac:dyDescent="0.35">
      <c r="A379" s="2"/>
      <c r="B379" s="109"/>
      <c r="C379" s="102"/>
      <c r="D379" s="92" t="s">
        <v>67</v>
      </c>
      <c r="E379" s="5">
        <v>0</v>
      </c>
      <c r="F379" s="5">
        <v>0</v>
      </c>
      <c r="G379" s="5">
        <v>0</v>
      </c>
      <c r="H379" s="5">
        <v>0</v>
      </c>
      <c r="I379" s="12">
        <f t="shared" si="86"/>
        <v>0</v>
      </c>
      <c r="J379" s="15"/>
      <c r="K379" s="2"/>
      <c r="L379" s="2"/>
      <c r="M379" s="2"/>
      <c r="N379" s="20"/>
      <c r="O379" s="2"/>
      <c r="P379" s="2"/>
    </row>
    <row r="380" spans="1:16" ht="15.75" customHeight="1" x14ac:dyDescent="0.35">
      <c r="A380" s="13">
        <f t="shared" ref="A380:B380" si="104">A377+7</f>
        <v>45201</v>
      </c>
      <c r="B380" s="109">
        <f t="shared" si="104"/>
        <v>850</v>
      </c>
      <c r="C380" s="102" t="str">
        <f t="shared" si="85"/>
        <v>10% FBS R1</v>
      </c>
      <c r="D380" s="91" t="s">
        <v>65</v>
      </c>
      <c r="E380" s="5">
        <v>41</v>
      </c>
      <c r="F380" s="5">
        <v>42</v>
      </c>
      <c r="G380" s="5">
        <v>50</v>
      </c>
      <c r="H380" s="5">
        <v>41</v>
      </c>
      <c r="I380" s="12">
        <f t="shared" si="86"/>
        <v>43.5</v>
      </c>
      <c r="J380" s="15">
        <f>I380*2*10000</f>
        <v>870000</v>
      </c>
      <c r="K380" s="2">
        <f t="shared" si="88"/>
        <v>3000000</v>
      </c>
      <c r="L380" s="2">
        <f t="shared" ref="L380" si="105">J380*5</f>
        <v>4350000</v>
      </c>
      <c r="M380" s="3">
        <f t="shared" ref="M380" si="106">I380/(I380+I381)*100</f>
        <v>91.099476439790578</v>
      </c>
      <c r="N380" s="22">
        <f>I382/I380*100</f>
        <v>0</v>
      </c>
      <c r="O380" s="4">
        <f t="shared" ref="O380" si="107">3.32*(LOG(L380)-LOG(K380))</f>
        <v>0.53574176742011492</v>
      </c>
      <c r="P380" s="4">
        <f t="shared" ref="P380" si="108">IF(O380&lt;0,P377,P377+O380)</f>
        <v>313.25551744917101</v>
      </c>
    </row>
    <row r="381" spans="1:16" ht="15.75" customHeight="1" x14ac:dyDescent="0.35">
      <c r="A381" s="2"/>
      <c r="B381" s="109"/>
      <c r="C381" s="102"/>
      <c r="D381" s="92" t="s">
        <v>66</v>
      </c>
      <c r="E381" s="5">
        <v>5</v>
      </c>
      <c r="F381" s="5">
        <v>4</v>
      </c>
      <c r="G381" s="5">
        <v>3</v>
      </c>
      <c r="H381" s="5">
        <v>5</v>
      </c>
      <c r="I381" s="12">
        <f t="shared" si="86"/>
        <v>4.25</v>
      </c>
      <c r="J381" s="15"/>
      <c r="K381" s="2"/>
      <c r="L381" s="2"/>
      <c r="M381" s="2"/>
      <c r="N381" s="20"/>
      <c r="O381" s="2"/>
      <c r="P381" s="2"/>
    </row>
    <row r="382" spans="1:16" ht="15.75" customHeight="1" x14ac:dyDescent="0.35">
      <c r="A382" s="2"/>
      <c r="B382" s="109"/>
      <c r="C382" s="102"/>
      <c r="D382" s="92" t="s">
        <v>67</v>
      </c>
      <c r="E382" s="5">
        <v>0</v>
      </c>
      <c r="F382" s="5">
        <v>0</v>
      </c>
      <c r="G382" s="5">
        <v>0</v>
      </c>
      <c r="H382" s="5">
        <v>0</v>
      </c>
      <c r="I382" s="12">
        <f t="shared" si="86"/>
        <v>0</v>
      </c>
      <c r="J382" s="15"/>
      <c r="K382" s="2"/>
      <c r="L382" s="2"/>
      <c r="M382" s="2"/>
      <c r="N382" s="20"/>
      <c r="O382" s="2"/>
      <c r="P382" s="2"/>
    </row>
    <row r="383" spans="1:16" ht="15.75" customHeight="1" x14ac:dyDescent="0.35">
      <c r="A383" s="13">
        <f t="shared" ref="A383:B383" si="109">A380+7</f>
        <v>45208</v>
      </c>
      <c r="B383" s="109">
        <f t="shared" si="109"/>
        <v>857</v>
      </c>
      <c r="C383" s="102" t="str">
        <f t="shared" ref="C383" si="110">$C$125</f>
        <v>10% FBS R1</v>
      </c>
      <c r="D383" s="91" t="s">
        <v>65</v>
      </c>
      <c r="E383" s="5">
        <v>135</v>
      </c>
      <c r="F383" s="5">
        <v>142</v>
      </c>
      <c r="G383" s="5">
        <v>184</v>
      </c>
      <c r="H383" s="5">
        <v>167</v>
      </c>
      <c r="I383" s="12">
        <f t="shared" si="86"/>
        <v>157</v>
      </c>
      <c r="J383" s="15">
        <f>I383*2*10000</f>
        <v>3140000</v>
      </c>
      <c r="K383" s="2">
        <f t="shared" ref="K383" si="111">$K$125</f>
        <v>3000000</v>
      </c>
      <c r="L383" s="2">
        <f t="shared" ref="L383" si="112">J383*5</f>
        <v>15700000</v>
      </c>
      <c r="M383" s="3">
        <f t="shared" ref="M383" si="113">I383/(I383+I384)*100</f>
        <v>96.764252696456083</v>
      </c>
      <c r="N383" s="22">
        <f>I385/I383*100</f>
        <v>0</v>
      </c>
      <c r="O383" s="4">
        <f t="shared" ref="O383" si="114">3.32*(LOG(L383)-LOG(K383))</f>
        <v>2.3863442803293768</v>
      </c>
      <c r="P383" s="4">
        <f t="shared" ref="P383" si="115">IF(O383&lt;0,P380,P380+O383)</f>
        <v>315.64186172950036</v>
      </c>
    </row>
    <row r="384" spans="1:16" ht="15.75" customHeight="1" x14ac:dyDescent="0.35">
      <c r="A384" s="2"/>
      <c r="B384" s="109"/>
      <c r="C384" s="102"/>
      <c r="D384" s="92" t="s">
        <v>66</v>
      </c>
      <c r="E384" s="5">
        <v>5</v>
      </c>
      <c r="F384" s="5">
        <v>6</v>
      </c>
      <c r="G384" s="5">
        <v>6</v>
      </c>
      <c r="H384" s="5">
        <v>4</v>
      </c>
      <c r="I384" s="12">
        <f t="shared" si="86"/>
        <v>5.25</v>
      </c>
      <c r="J384" s="15"/>
      <c r="K384" s="2"/>
      <c r="L384" s="2"/>
      <c r="M384" s="2"/>
      <c r="N384" s="20"/>
      <c r="O384" s="2"/>
      <c r="P384" s="2"/>
    </row>
    <row r="385" spans="1:16" ht="15.75" customHeight="1" x14ac:dyDescent="0.35">
      <c r="A385" s="2"/>
      <c r="B385" s="109"/>
      <c r="C385" s="102"/>
      <c r="D385" s="92" t="s">
        <v>67</v>
      </c>
      <c r="E385" s="5">
        <v>0</v>
      </c>
      <c r="F385" s="5">
        <v>0</v>
      </c>
      <c r="G385" s="5">
        <v>0</v>
      </c>
      <c r="H385" s="5">
        <v>0</v>
      </c>
      <c r="I385" s="12">
        <f t="shared" si="86"/>
        <v>0</v>
      </c>
      <c r="J385" s="2"/>
      <c r="K385" s="2"/>
      <c r="L385" s="2"/>
      <c r="M385" s="2"/>
      <c r="N385" s="20"/>
      <c r="O385" s="2"/>
      <c r="P385" s="2"/>
    </row>
    <row r="386" spans="1:16" ht="15.75" customHeight="1" x14ac:dyDescent="0.35">
      <c r="A386" s="13">
        <f t="shared" ref="A386:B386" si="116">A383+7</f>
        <v>45215</v>
      </c>
      <c r="B386" s="109">
        <f t="shared" si="116"/>
        <v>864</v>
      </c>
      <c r="C386" s="102" t="str">
        <f t="shared" ref="C386:C401" si="117">$C$125</f>
        <v>10% FBS R1</v>
      </c>
      <c r="D386" s="91" t="s">
        <v>65</v>
      </c>
      <c r="E386" s="5">
        <v>55</v>
      </c>
      <c r="F386" s="5">
        <v>72</v>
      </c>
      <c r="G386" s="5">
        <v>58</v>
      </c>
      <c r="H386" s="5">
        <v>51</v>
      </c>
      <c r="I386" s="12">
        <f t="shared" ref="I386:I394" si="118">AVERAGE(E386:H386)</f>
        <v>59</v>
      </c>
      <c r="J386" s="15">
        <f>I386*2*10000</f>
        <v>1180000</v>
      </c>
      <c r="K386" s="2">
        <f t="shared" ref="K386:K401" si="119">$K$125</f>
        <v>3000000</v>
      </c>
      <c r="L386" s="2">
        <f t="shared" ref="L386" si="120">J386*5</f>
        <v>5900000</v>
      </c>
      <c r="M386" s="3">
        <f t="shared" ref="M386" si="121">I386/(I386+I387)*100</f>
        <v>95.934959349593498</v>
      </c>
      <c r="N386" s="22">
        <f>I388/I386*100</f>
        <v>0</v>
      </c>
      <c r="O386" s="4">
        <f t="shared" ref="O386" si="122">3.32*(LOG(L386)-LOG(K386))</f>
        <v>0.97518611298263747</v>
      </c>
      <c r="P386" s="4">
        <f t="shared" ref="P386" si="123">IF(O386&lt;0,P383,P383+O386)</f>
        <v>316.61704784248298</v>
      </c>
    </row>
    <row r="387" spans="1:16" ht="15.75" customHeight="1" x14ac:dyDescent="0.35">
      <c r="A387" s="2"/>
      <c r="B387" s="109"/>
      <c r="C387" s="102"/>
      <c r="D387" s="92" t="s">
        <v>66</v>
      </c>
      <c r="E387" s="5">
        <v>2</v>
      </c>
      <c r="F387" s="5">
        <v>3</v>
      </c>
      <c r="G387" s="5">
        <v>1</v>
      </c>
      <c r="H387" s="5">
        <v>4</v>
      </c>
      <c r="I387" s="12">
        <f t="shared" si="118"/>
        <v>2.5</v>
      </c>
      <c r="J387" s="15"/>
      <c r="K387" s="2"/>
      <c r="L387" s="2"/>
      <c r="M387" s="2"/>
      <c r="N387" s="20"/>
      <c r="O387" s="2"/>
      <c r="P387" s="2"/>
    </row>
    <row r="388" spans="1:16" ht="15.75" customHeight="1" x14ac:dyDescent="0.35">
      <c r="A388" s="2"/>
      <c r="B388" s="109"/>
      <c r="C388" s="102"/>
      <c r="D388" s="92" t="s">
        <v>67</v>
      </c>
      <c r="E388" s="5">
        <v>0</v>
      </c>
      <c r="F388" s="5">
        <v>0</v>
      </c>
      <c r="G388" s="5">
        <v>0</v>
      </c>
      <c r="H388" s="5">
        <v>0</v>
      </c>
      <c r="I388" s="12">
        <f t="shared" si="118"/>
        <v>0</v>
      </c>
      <c r="J388" s="2"/>
      <c r="K388" s="2"/>
      <c r="L388" s="2"/>
      <c r="M388" s="2"/>
      <c r="N388" s="20"/>
      <c r="O388" s="2"/>
      <c r="P388" s="2"/>
    </row>
    <row r="389" spans="1:16" ht="15.75" customHeight="1" x14ac:dyDescent="0.35">
      <c r="A389" s="13">
        <f t="shared" ref="A389:B389" si="124">A386+7</f>
        <v>45222</v>
      </c>
      <c r="B389" s="109">
        <f t="shared" si="124"/>
        <v>871</v>
      </c>
      <c r="C389" s="102" t="str">
        <f t="shared" si="117"/>
        <v>10% FBS R1</v>
      </c>
      <c r="D389" s="91" t="s">
        <v>65</v>
      </c>
      <c r="E389" s="5">
        <v>104</v>
      </c>
      <c r="F389" s="5">
        <v>96</v>
      </c>
      <c r="G389" s="5">
        <v>112</v>
      </c>
      <c r="H389" s="5">
        <v>84</v>
      </c>
      <c r="I389" s="12">
        <f t="shared" si="118"/>
        <v>99</v>
      </c>
      <c r="J389" s="15">
        <f>I389*2*10000</f>
        <v>1980000</v>
      </c>
      <c r="K389" s="2">
        <f t="shared" si="119"/>
        <v>3000000</v>
      </c>
      <c r="L389" s="2">
        <f t="shared" ref="L389" si="125">J389*5</f>
        <v>9900000</v>
      </c>
      <c r="M389" s="3">
        <f t="shared" ref="M389" si="126">I389/(I389+I390)*100</f>
        <v>97.297297297297305</v>
      </c>
      <c r="N389" s="22">
        <f>I391/I389*100</f>
        <v>0</v>
      </c>
      <c r="O389" s="4">
        <f t="shared" ref="O389" si="127">3.32*(LOG(L389)-LOG(K389))</f>
        <v>1.721466280394585</v>
      </c>
      <c r="P389" s="4">
        <f t="shared" ref="P389" si="128">IF(O389&lt;0,P386,P386+O389)</f>
        <v>318.33851412287754</v>
      </c>
    </row>
    <row r="390" spans="1:16" ht="15.75" customHeight="1" x14ac:dyDescent="0.35">
      <c r="A390" s="2"/>
      <c r="B390" s="109"/>
      <c r="C390" s="102"/>
      <c r="D390" s="92" t="s">
        <v>66</v>
      </c>
      <c r="E390" s="5">
        <v>3</v>
      </c>
      <c r="F390" s="5">
        <v>4</v>
      </c>
      <c r="G390" s="5">
        <v>3</v>
      </c>
      <c r="H390" s="5">
        <v>1</v>
      </c>
      <c r="I390" s="12">
        <f t="shared" si="118"/>
        <v>2.75</v>
      </c>
      <c r="J390" s="15"/>
      <c r="K390" s="2"/>
      <c r="L390" s="2"/>
      <c r="M390" s="2"/>
      <c r="N390" s="20"/>
      <c r="O390" s="2"/>
      <c r="P390" s="2"/>
    </row>
    <row r="391" spans="1:16" ht="15.75" customHeight="1" x14ac:dyDescent="0.35">
      <c r="A391" s="2"/>
      <c r="B391" s="109"/>
      <c r="C391" s="102"/>
      <c r="D391" s="92" t="s">
        <v>67</v>
      </c>
      <c r="E391" s="5">
        <v>0</v>
      </c>
      <c r="F391" s="5">
        <v>0</v>
      </c>
      <c r="G391" s="5">
        <v>0</v>
      </c>
      <c r="H391" s="5">
        <v>0</v>
      </c>
      <c r="I391" s="12">
        <f t="shared" si="118"/>
        <v>0</v>
      </c>
      <c r="J391" s="2"/>
      <c r="K391" s="2"/>
      <c r="L391" s="2"/>
      <c r="M391" s="2"/>
      <c r="N391" s="20"/>
      <c r="O391" s="2"/>
      <c r="P391" s="2"/>
    </row>
    <row r="392" spans="1:16" ht="15.75" customHeight="1" x14ac:dyDescent="0.35">
      <c r="A392" s="13">
        <f t="shared" ref="A392:B392" si="129">A389+7</f>
        <v>45229</v>
      </c>
      <c r="B392" s="109">
        <f t="shared" si="129"/>
        <v>878</v>
      </c>
      <c r="C392" s="102" t="str">
        <f t="shared" si="117"/>
        <v>10% FBS R1</v>
      </c>
      <c r="D392" s="91" t="s">
        <v>65</v>
      </c>
      <c r="E392" s="5">
        <v>102</v>
      </c>
      <c r="F392" s="5">
        <v>112</v>
      </c>
      <c r="G392" s="5">
        <v>121</v>
      </c>
      <c r="H392" s="5">
        <v>118</v>
      </c>
      <c r="I392" s="12">
        <f t="shared" si="118"/>
        <v>113.25</v>
      </c>
      <c r="J392" s="15">
        <f>I392*2*10000</f>
        <v>2265000</v>
      </c>
      <c r="K392" s="2">
        <f t="shared" si="119"/>
        <v>3000000</v>
      </c>
      <c r="L392" s="2">
        <f t="shared" ref="L392" si="130">J392*5</f>
        <v>11325000</v>
      </c>
      <c r="M392" s="3">
        <f t="shared" ref="M392" si="131">I392/(I392+I393)*100</f>
        <v>97.002141327623121</v>
      </c>
      <c r="N392" s="22">
        <f>I394/I392*100</f>
        <v>0</v>
      </c>
      <c r="O392" s="4">
        <f t="shared" ref="O392" si="132">3.32*(LOG(L392)-LOG(K392))</f>
        <v>1.9153642938044879</v>
      </c>
      <c r="P392" s="4">
        <f t="shared" ref="P392" si="133">IF(O392&lt;0,P389,P389+O392)</f>
        <v>320.25387841668203</v>
      </c>
    </row>
    <row r="393" spans="1:16" ht="15.75" customHeight="1" x14ac:dyDescent="0.35">
      <c r="A393" s="2"/>
      <c r="B393" s="109"/>
      <c r="C393" s="102"/>
      <c r="D393" s="92" t="s">
        <v>66</v>
      </c>
      <c r="E393" s="5">
        <v>7</v>
      </c>
      <c r="F393" s="5">
        <v>2</v>
      </c>
      <c r="G393" s="5">
        <v>3</v>
      </c>
      <c r="H393" s="5">
        <v>2</v>
      </c>
      <c r="I393" s="12">
        <f t="shared" si="118"/>
        <v>3.5</v>
      </c>
      <c r="J393" s="15"/>
      <c r="K393" s="2"/>
      <c r="L393" s="2"/>
      <c r="M393" s="2"/>
      <c r="N393" s="20"/>
      <c r="O393" s="2"/>
      <c r="P393" s="2"/>
    </row>
    <row r="394" spans="1:16" ht="15.75" customHeight="1" x14ac:dyDescent="0.35">
      <c r="A394" s="2"/>
      <c r="B394" s="109"/>
      <c r="C394" s="102"/>
      <c r="D394" s="92" t="s">
        <v>67</v>
      </c>
      <c r="E394" s="5">
        <v>0</v>
      </c>
      <c r="F394" s="5">
        <v>0</v>
      </c>
      <c r="G394" s="5">
        <v>0</v>
      </c>
      <c r="H394" s="5">
        <v>0</v>
      </c>
      <c r="I394" s="12">
        <f t="shared" si="118"/>
        <v>0</v>
      </c>
      <c r="J394" s="2"/>
      <c r="K394" s="2"/>
      <c r="L394" s="2"/>
      <c r="M394" s="2"/>
      <c r="N394" s="20"/>
      <c r="O394" s="2"/>
      <c r="P394" s="2"/>
    </row>
    <row r="395" spans="1:16" ht="15.75" customHeight="1" x14ac:dyDescent="0.35">
      <c r="A395" s="13">
        <f t="shared" ref="A395:B395" si="134">A392+7</f>
        <v>45236</v>
      </c>
      <c r="B395" s="109">
        <f t="shared" si="134"/>
        <v>885</v>
      </c>
      <c r="C395" s="102" t="str">
        <f t="shared" si="117"/>
        <v>10% FBS R1</v>
      </c>
      <c r="D395" s="91" t="s">
        <v>65</v>
      </c>
      <c r="E395" s="5">
        <v>111</v>
      </c>
      <c r="F395" s="5">
        <v>100</v>
      </c>
      <c r="G395" s="5">
        <v>117</v>
      </c>
      <c r="H395" s="5">
        <v>122</v>
      </c>
      <c r="I395" s="12">
        <f t="shared" ref="I395:I403" si="135">AVERAGE(E395:H395)</f>
        <v>112.5</v>
      </c>
      <c r="J395" s="15">
        <f>I395*2*10000</f>
        <v>2250000</v>
      </c>
      <c r="K395" s="2">
        <f t="shared" si="119"/>
        <v>3000000</v>
      </c>
      <c r="L395" s="2">
        <f t="shared" ref="L395" si="136">J395*5</f>
        <v>11250000</v>
      </c>
      <c r="M395" s="3">
        <f t="shared" ref="M395" si="137">I395/(I395+I396)*100</f>
        <v>96.359743040685217</v>
      </c>
      <c r="N395" s="22">
        <f>I397/I395*100</f>
        <v>0</v>
      </c>
      <c r="O395" s="4">
        <f t="shared" ref="O395" si="138">3.32*(LOG(L395)-LOG(K395))</f>
        <v>1.9057838088560264</v>
      </c>
      <c r="P395" s="4">
        <f t="shared" ref="P395" si="139">IF(O395&lt;0,P392,P392+O395)</f>
        <v>322.15966222553806</v>
      </c>
    </row>
    <row r="396" spans="1:16" ht="15.75" customHeight="1" x14ac:dyDescent="0.35">
      <c r="A396" s="2"/>
      <c r="B396" s="109"/>
      <c r="C396" s="102"/>
      <c r="D396" s="92" t="s">
        <v>66</v>
      </c>
      <c r="E396" s="5">
        <v>6</v>
      </c>
      <c r="F396" s="5">
        <v>5</v>
      </c>
      <c r="G396" s="5">
        <v>4</v>
      </c>
      <c r="H396" s="5">
        <v>2</v>
      </c>
      <c r="I396" s="12">
        <f t="shared" si="135"/>
        <v>4.25</v>
      </c>
      <c r="J396" s="15"/>
      <c r="K396" s="2"/>
      <c r="L396" s="2"/>
      <c r="M396" s="2"/>
      <c r="N396" s="20"/>
      <c r="O396" s="2"/>
      <c r="P396" s="2"/>
    </row>
    <row r="397" spans="1:16" ht="15.75" customHeight="1" x14ac:dyDescent="0.35">
      <c r="A397" s="2"/>
      <c r="B397" s="109"/>
      <c r="C397" s="102"/>
      <c r="D397" s="92" t="s">
        <v>67</v>
      </c>
      <c r="E397" s="5">
        <v>0</v>
      </c>
      <c r="F397" s="5">
        <v>0</v>
      </c>
      <c r="G397" s="5">
        <v>0</v>
      </c>
      <c r="H397" s="5">
        <v>0</v>
      </c>
      <c r="I397" s="12">
        <f t="shared" si="135"/>
        <v>0</v>
      </c>
      <c r="J397" s="2"/>
      <c r="K397" s="2"/>
      <c r="L397" s="2"/>
      <c r="M397" s="2"/>
      <c r="N397" s="20"/>
      <c r="O397" s="2"/>
      <c r="P397" s="2"/>
    </row>
    <row r="398" spans="1:16" ht="15.75" customHeight="1" x14ac:dyDescent="0.35">
      <c r="A398" s="13">
        <f t="shared" ref="A398:B398" si="140">A395+7</f>
        <v>45243</v>
      </c>
      <c r="B398" s="109">
        <f t="shared" si="140"/>
        <v>892</v>
      </c>
      <c r="C398" s="102" t="str">
        <f t="shared" si="117"/>
        <v>10% FBS R1</v>
      </c>
      <c r="D398" s="91" t="s">
        <v>65</v>
      </c>
      <c r="E398" s="5">
        <v>70</v>
      </c>
      <c r="F398" s="5">
        <v>91</v>
      </c>
      <c r="G398" s="5">
        <v>67</v>
      </c>
      <c r="H398" s="5">
        <v>89</v>
      </c>
      <c r="I398" s="12">
        <f t="shared" si="135"/>
        <v>79.25</v>
      </c>
      <c r="J398" s="15">
        <f>I398*2*10000</f>
        <v>1585000</v>
      </c>
      <c r="K398" s="2">
        <f t="shared" si="119"/>
        <v>3000000</v>
      </c>
      <c r="L398" s="2">
        <f t="shared" ref="L398" si="141">J398*5</f>
        <v>7925000</v>
      </c>
      <c r="M398" s="3">
        <f t="shared" ref="M398" si="142">I398/(I398+I399)*100</f>
        <v>97.239263803680984</v>
      </c>
      <c r="N398" s="22">
        <f>I400/I398*100</f>
        <v>0</v>
      </c>
      <c r="O398" s="4">
        <f t="shared" ref="O398" si="143">3.32*(LOG(L398)-LOG(K398))</f>
        <v>1.4006350136848187</v>
      </c>
      <c r="P398" s="4">
        <f t="shared" ref="P398" si="144">IF(O398&lt;0,P395,P395+O398)</f>
        <v>323.56029723922285</v>
      </c>
    </row>
    <row r="399" spans="1:16" ht="15.75" customHeight="1" x14ac:dyDescent="0.35">
      <c r="A399" s="2"/>
      <c r="B399" s="109"/>
      <c r="C399" s="102"/>
      <c r="D399" s="92" t="s">
        <v>66</v>
      </c>
      <c r="E399" s="5">
        <v>2</v>
      </c>
      <c r="F399" s="5">
        <v>3</v>
      </c>
      <c r="G399" s="5">
        <v>1</v>
      </c>
      <c r="H399" s="5">
        <v>3</v>
      </c>
      <c r="I399" s="12">
        <f t="shared" si="135"/>
        <v>2.25</v>
      </c>
      <c r="J399" s="15"/>
      <c r="K399" s="2"/>
      <c r="L399" s="2"/>
      <c r="M399" s="2"/>
      <c r="N399" s="20"/>
      <c r="O399" s="2"/>
      <c r="P399" s="2"/>
    </row>
    <row r="400" spans="1:16" ht="15.75" customHeight="1" x14ac:dyDescent="0.35">
      <c r="A400" s="2"/>
      <c r="B400" s="109"/>
      <c r="C400" s="102"/>
      <c r="D400" s="92" t="s">
        <v>67</v>
      </c>
      <c r="E400" s="5">
        <v>0</v>
      </c>
      <c r="F400" s="5">
        <v>0</v>
      </c>
      <c r="G400" s="5">
        <v>0</v>
      </c>
      <c r="H400" s="5">
        <v>0</v>
      </c>
      <c r="I400" s="12">
        <f t="shared" si="135"/>
        <v>0</v>
      </c>
      <c r="J400" s="2"/>
      <c r="K400" s="2"/>
      <c r="L400" s="2"/>
      <c r="M400" s="2"/>
      <c r="N400" s="20"/>
      <c r="O400" s="2"/>
      <c r="P400" s="2"/>
    </row>
    <row r="401" spans="1:16" ht="15.75" customHeight="1" x14ac:dyDescent="0.35">
      <c r="A401" s="13">
        <f t="shared" ref="A401:B401" si="145">A398+7</f>
        <v>45250</v>
      </c>
      <c r="B401" s="109">
        <f t="shared" si="145"/>
        <v>899</v>
      </c>
      <c r="C401" s="102" t="str">
        <f t="shared" si="117"/>
        <v>10% FBS R1</v>
      </c>
      <c r="D401" s="91" t="s">
        <v>65</v>
      </c>
      <c r="E401" s="5">
        <v>62</v>
      </c>
      <c r="F401" s="5">
        <v>70</v>
      </c>
      <c r="G401" s="5">
        <v>66</v>
      </c>
      <c r="H401" s="5">
        <v>70</v>
      </c>
      <c r="I401" s="12">
        <f t="shared" si="135"/>
        <v>67</v>
      </c>
      <c r="J401" s="15">
        <f>I401*2*10000</f>
        <v>1340000</v>
      </c>
      <c r="K401" s="2">
        <f t="shared" si="119"/>
        <v>3000000</v>
      </c>
      <c r="L401" s="2">
        <f t="shared" ref="L401" si="146">J401*5</f>
        <v>6700000</v>
      </c>
      <c r="M401" s="3">
        <f t="shared" ref="M401" si="147">I401/(I401+I402)*100</f>
        <v>98.168498168498161</v>
      </c>
      <c r="N401" s="22">
        <f>I403/I401*100</f>
        <v>0</v>
      </c>
      <c r="O401" s="4">
        <f t="shared" ref="O401" si="148">3.32*(LOG(L401)-LOG(K401))</f>
        <v>1.1585257792974624</v>
      </c>
      <c r="P401" s="4">
        <f t="shared" ref="P401" si="149">IF(O401&lt;0,P398,P398+O401)</f>
        <v>324.71882301852031</v>
      </c>
    </row>
    <row r="402" spans="1:16" ht="15.75" customHeight="1" x14ac:dyDescent="0.35">
      <c r="A402" s="2"/>
      <c r="B402" s="109"/>
      <c r="C402" s="102"/>
      <c r="D402" s="92" t="s">
        <v>66</v>
      </c>
      <c r="E402" s="5">
        <v>0</v>
      </c>
      <c r="F402" s="5">
        <v>1</v>
      </c>
      <c r="G402" s="5">
        <v>1</v>
      </c>
      <c r="H402" s="5">
        <v>3</v>
      </c>
      <c r="I402" s="12">
        <f t="shared" si="135"/>
        <v>1.25</v>
      </c>
      <c r="J402" s="15"/>
      <c r="K402" s="2"/>
      <c r="L402" s="2"/>
      <c r="M402" s="2"/>
      <c r="N402" s="20"/>
      <c r="O402" s="2"/>
      <c r="P402" s="2"/>
    </row>
    <row r="403" spans="1:16" ht="15.75" customHeight="1" x14ac:dyDescent="0.35">
      <c r="A403" s="2"/>
      <c r="B403" s="109"/>
      <c r="C403" s="102"/>
      <c r="D403" s="92" t="s">
        <v>67</v>
      </c>
      <c r="E403" s="5">
        <v>0</v>
      </c>
      <c r="F403" s="5">
        <v>0</v>
      </c>
      <c r="G403" s="5">
        <v>0</v>
      </c>
      <c r="H403" s="5">
        <v>0</v>
      </c>
      <c r="I403" s="12">
        <f t="shared" si="135"/>
        <v>0</v>
      </c>
      <c r="J403" s="2"/>
      <c r="K403" s="2"/>
      <c r="L403" s="2"/>
      <c r="M403" s="2"/>
      <c r="N403" s="20"/>
      <c r="O403" s="2"/>
      <c r="P403" s="2"/>
    </row>
    <row r="404" spans="1:16" ht="15.75" customHeight="1" x14ac:dyDescent="0.35">
      <c r="A404" s="13">
        <f t="shared" ref="A404:B404" si="150">A401+7</f>
        <v>45257</v>
      </c>
      <c r="B404" s="109">
        <f t="shared" si="150"/>
        <v>906</v>
      </c>
      <c r="C404" s="102" t="str">
        <f t="shared" ref="C404:C410" si="151">$C$125</f>
        <v>10% FBS R1</v>
      </c>
      <c r="D404" s="91" t="s">
        <v>65</v>
      </c>
      <c r="E404" s="5">
        <v>72</v>
      </c>
      <c r="F404" s="5">
        <v>67</v>
      </c>
      <c r="G404" s="5">
        <v>67</v>
      </c>
      <c r="H404" s="5">
        <v>65</v>
      </c>
      <c r="I404" s="12">
        <f t="shared" ref="I404:I412" si="152">AVERAGE(E404:H404)</f>
        <v>67.75</v>
      </c>
      <c r="J404" s="15">
        <f>I404*2*10000</f>
        <v>1355000</v>
      </c>
      <c r="K404" s="2">
        <f t="shared" ref="K404:K410" si="153">$K$125</f>
        <v>3000000</v>
      </c>
      <c r="L404" s="2">
        <f t="shared" ref="L404" si="154">J404*5</f>
        <v>6775000</v>
      </c>
      <c r="M404" s="3">
        <f t="shared" ref="M404" si="155">I404/(I404+I405)*100</f>
        <v>96.785714285714292</v>
      </c>
      <c r="N404" s="22">
        <f>I406/I404*100</f>
        <v>0</v>
      </c>
      <c r="O404" s="4">
        <f t="shared" ref="O404" si="156">3.32*(LOG(L404)-LOG(K404))</f>
        <v>1.1745763088249135</v>
      </c>
      <c r="P404" s="4">
        <f t="shared" ref="P404" si="157">IF(O404&lt;0,P401,P401+O404)</f>
        <v>325.89339932734521</v>
      </c>
    </row>
    <row r="405" spans="1:16" ht="15.75" customHeight="1" x14ac:dyDescent="0.35">
      <c r="A405" s="2"/>
      <c r="B405" s="109"/>
      <c r="C405" s="102"/>
      <c r="D405" s="92" t="s">
        <v>66</v>
      </c>
      <c r="E405" s="5">
        <v>3</v>
      </c>
      <c r="F405" s="5">
        <v>4</v>
      </c>
      <c r="G405" s="5">
        <v>0</v>
      </c>
      <c r="H405" s="5">
        <v>2</v>
      </c>
      <c r="I405" s="12">
        <f t="shared" si="152"/>
        <v>2.25</v>
      </c>
      <c r="J405" s="15"/>
      <c r="K405" s="2"/>
      <c r="L405" s="2"/>
      <c r="M405" s="2"/>
      <c r="N405" s="20"/>
      <c r="O405" s="2"/>
      <c r="P405" s="2"/>
    </row>
    <row r="406" spans="1:16" ht="15.75" customHeight="1" x14ac:dyDescent="0.35">
      <c r="A406" s="2"/>
      <c r="B406" s="109"/>
      <c r="C406" s="102"/>
      <c r="D406" s="92" t="s">
        <v>67</v>
      </c>
      <c r="E406" s="5">
        <v>0</v>
      </c>
      <c r="F406" s="5">
        <v>0</v>
      </c>
      <c r="G406" s="5">
        <v>0</v>
      </c>
      <c r="H406" s="5">
        <v>0</v>
      </c>
      <c r="I406" s="12">
        <f t="shared" si="152"/>
        <v>0</v>
      </c>
      <c r="J406" s="2"/>
      <c r="K406" s="2"/>
      <c r="L406" s="2"/>
      <c r="M406" s="2"/>
      <c r="N406" s="20"/>
      <c r="O406" s="2"/>
      <c r="P406" s="2"/>
    </row>
    <row r="407" spans="1:16" ht="15.75" customHeight="1" x14ac:dyDescent="0.35">
      <c r="A407" s="13">
        <f>A404+8</f>
        <v>45265</v>
      </c>
      <c r="B407" s="109">
        <f>B404+8</f>
        <v>914</v>
      </c>
      <c r="C407" s="102" t="str">
        <f t="shared" si="151"/>
        <v>10% FBS R1</v>
      </c>
      <c r="D407" s="91" t="s">
        <v>65</v>
      </c>
      <c r="E407" s="5">
        <v>210</v>
      </c>
      <c r="F407" s="5">
        <v>205</v>
      </c>
      <c r="G407" s="5">
        <v>198</v>
      </c>
      <c r="H407" s="5">
        <v>202</v>
      </c>
      <c r="I407" s="12">
        <f t="shared" si="152"/>
        <v>203.75</v>
      </c>
      <c r="J407" s="15">
        <f>I407*2*10000</f>
        <v>4075000</v>
      </c>
      <c r="K407" s="2">
        <f t="shared" si="153"/>
        <v>3000000</v>
      </c>
      <c r="L407" s="2">
        <f t="shared" ref="L407" si="158">J407*5</f>
        <v>20375000</v>
      </c>
      <c r="M407" s="3">
        <f t="shared" ref="M407" si="159">I407/(I407+I408)*100</f>
        <v>96.90844233055887</v>
      </c>
      <c r="N407" s="22">
        <f>I409/I407*100</f>
        <v>0.1226993865030675</v>
      </c>
      <c r="O407" s="4">
        <f t="shared" ref="O407" si="160">3.32*(LOG(L407)-LOG(K407))</f>
        <v>2.7621615241386075</v>
      </c>
      <c r="P407" s="4">
        <f t="shared" ref="P407" si="161">IF(O407&lt;0,P404,P404+O407)</f>
        <v>328.65556085148381</v>
      </c>
    </row>
    <row r="408" spans="1:16" ht="15.75" customHeight="1" x14ac:dyDescent="0.35">
      <c r="A408" s="2"/>
      <c r="B408" s="109"/>
      <c r="C408" s="102"/>
      <c r="D408" s="92" t="s">
        <v>66</v>
      </c>
      <c r="E408" s="5">
        <v>5</v>
      </c>
      <c r="F408" s="5">
        <v>6</v>
      </c>
      <c r="G408" s="5">
        <v>8</v>
      </c>
      <c r="H408" s="5">
        <v>7</v>
      </c>
      <c r="I408" s="12">
        <f t="shared" si="152"/>
        <v>6.5</v>
      </c>
      <c r="J408" s="15"/>
      <c r="K408" s="2"/>
      <c r="L408" s="2"/>
      <c r="M408" s="2"/>
      <c r="N408" s="20"/>
      <c r="O408" s="2"/>
      <c r="P408" s="2"/>
    </row>
    <row r="409" spans="1:16" ht="15.75" customHeight="1" x14ac:dyDescent="0.35">
      <c r="A409" s="2"/>
      <c r="B409" s="109"/>
      <c r="C409" s="102"/>
      <c r="D409" s="92" t="s">
        <v>67</v>
      </c>
      <c r="E409" s="5">
        <v>0</v>
      </c>
      <c r="F409" s="5">
        <v>1</v>
      </c>
      <c r="G409" s="5">
        <v>0</v>
      </c>
      <c r="H409" s="5">
        <v>0</v>
      </c>
      <c r="I409" s="12">
        <f t="shared" si="152"/>
        <v>0.25</v>
      </c>
      <c r="J409" s="2"/>
      <c r="K409" s="2"/>
      <c r="L409" s="2"/>
      <c r="M409" s="2"/>
      <c r="N409" s="20"/>
      <c r="O409" s="2"/>
      <c r="P409" s="2"/>
    </row>
    <row r="410" spans="1:16" ht="15.75" customHeight="1" x14ac:dyDescent="0.35">
      <c r="A410" s="13">
        <f t="shared" ref="A410:B410" si="162">A407+7</f>
        <v>45272</v>
      </c>
      <c r="B410" s="109">
        <f t="shared" si="162"/>
        <v>921</v>
      </c>
      <c r="C410" s="102" t="str">
        <f t="shared" si="151"/>
        <v>10% FBS R1</v>
      </c>
      <c r="D410" s="91" t="s">
        <v>65</v>
      </c>
      <c r="E410" s="5">
        <v>123</v>
      </c>
      <c r="F410" s="5">
        <v>102</v>
      </c>
      <c r="G410" s="5">
        <v>128</v>
      </c>
      <c r="H410" s="5">
        <v>121</v>
      </c>
      <c r="I410" s="12">
        <f t="shared" si="152"/>
        <v>118.5</v>
      </c>
      <c r="J410" s="15">
        <f>I410*2*10000</f>
        <v>2370000</v>
      </c>
      <c r="K410" s="2">
        <f t="shared" si="153"/>
        <v>3000000</v>
      </c>
      <c r="L410" s="2">
        <f t="shared" ref="L410" si="163">J410*5</f>
        <v>11850000</v>
      </c>
      <c r="M410" s="3">
        <f t="shared" ref="M410" si="164">I410/(I410+I411)*100</f>
        <v>91.153846153846146</v>
      </c>
      <c r="N410" s="22">
        <f>I412/I410*100</f>
        <v>0</v>
      </c>
      <c r="O410" s="4">
        <f t="shared" ref="O410" si="165">3.32*(LOG(L410)-LOG(K410))</f>
        <v>1.9807023574798461</v>
      </c>
      <c r="P410" s="4">
        <f t="shared" ref="P410" si="166">IF(O410&lt;0,P407,P407+O410)</f>
        <v>330.63626320896367</v>
      </c>
    </row>
    <row r="411" spans="1:16" ht="15.75" customHeight="1" x14ac:dyDescent="0.35">
      <c r="A411" s="2"/>
      <c r="B411" s="109"/>
      <c r="C411" s="102"/>
      <c r="D411" s="92" t="s">
        <v>66</v>
      </c>
      <c r="E411" s="5">
        <v>9</v>
      </c>
      <c r="F411" s="5">
        <v>11</v>
      </c>
      <c r="G411" s="5">
        <v>14</v>
      </c>
      <c r="H411" s="5">
        <v>12</v>
      </c>
      <c r="I411" s="12">
        <f t="shared" si="152"/>
        <v>11.5</v>
      </c>
      <c r="J411" s="15"/>
      <c r="K411" s="2"/>
      <c r="L411" s="2"/>
      <c r="M411" s="2"/>
      <c r="N411" s="20"/>
      <c r="O411" s="2"/>
      <c r="P411" s="2"/>
    </row>
    <row r="412" spans="1:16" ht="15.75" customHeight="1" x14ac:dyDescent="0.35">
      <c r="A412" s="2"/>
      <c r="B412" s="109"/>
      <c r="C412" s="102"/>
      <c r="D412" s="92" t="s">
        <v>67</v>
      </c>
      <c r="E412" s="5">
        <v>0</v>
      </c>
      <c r="F412" s="5">
        <v>0</v>
      </c>
      <c r="G412" s="5">
        <v>0</v>
      </c>
      <c r="H412" s="5">
        <v>0</v>
      </c>
      <c r="I412" s="12">
        <f t="shared" si="152"/>
        <v>0</v>
      </c>
      <c r="J412" s="2"/>
      <c r="K412" s="2"/>
      <c r="L412" s="2"/>
      <c r="M412" s="2"/>
      <c r="N412" s="20"/>
      <c r="O412" s="2"/>
      <c r="P412" s="2"/>
    </row>
    <row r="413" spans="1:16" ht="15.75" customHeight="1" x14ac:dyDescent="0.35">
      <c r="A413" s="13">
        <f>A410+7</f>
        <v>45279</v>
      </c>
      <c r="B413" s="109">
        <f>B410+7</f>
        <v>928</v>
      </c>
      <c r="C413" s="102" t="str">
        <f t="shared" ref="C413:C419" si="167">$C$125</f>
        <v>10% FBS R1</v>
      </c>
      <c r="D413" s="91" t="s">
        <v>65</v>
      </c>
      <c r="E413" s="5">
        <v>128</v>
      </c>
      <c r="F413" s="5">
        <v>134</v>
      </c>
      <c r="G413" s="5">
        <v>118</v>
      </c>
      <c r="H413" s="5">
        <v>131</v>
      </c>
      <c r="I413" s="12">
        <f t="shared" ref="I413:I421" si="168">AVERAGE(E413:H413)</f>
        <v>127.75</v>
      </c>
      <c r="J413" s="15">
        <f>I413*2*10000</f>
        <v>2555000</v>
      </c>
      <c r="K413" s="2">
        <f t="shared" ref="K413:K419" si="169">$K$125</f>
        <v>3000000</v>
      </c>
      <c r="L413" s="2">
        <f t="shared" ref="L413" si="170">J413*5</f>
        <v>12775000</v>
      </c>
      <c r="M413" s="3">
        <f t="shared" ref="M413" si="171">I413/(I413+I414)*100</f>
        <v>91.25</v>
      </c>
      <c r="N413" s="22">
        <f>I415/I413*100</f>
        <v>0</v>
      </c>
      <c r="O413" s="4">
        <f t="shared" ref="O413" si="172">3.32*(LOG(L413)-LOG(K413))</f>
        <v>2.0890756515691309</v>
      </c>
      <c r="P413" s="4">
        <f t="shared" ref="P413" si="173">IF(O413&lt;0,P410,P410+O413)</f>
        <v>332.72533886053282</v>
      </c>
    </row>
    <row r="414" spans="1:16" ht="15.75" customHeight="1" x14ac:dyDescent="0.35">
      <c r="A414" s="2"/>
      <c r="B414" s="109"/>
      <c r="C414" s="102"/>
      <c r="D414" s="92" t="s">
        <v>66</v>
      </c>
      <c r="E414" s="5">
        <v>12</v>
      </c>
      <c r="F414" s="5">
        <v>13</v>
      </c>
      <c r="G414" s="5">
        <v>11</v>
      </c>
      <c r="H414" s="5">
        <v>13</v>
      </c>
      <c r="I414" s="12">
        <f t="shared" si="168"/>
        <v>12.25</v>
      </c>
      <c r="J414" s="15"/>
      <c r="K414" s="2"/>
      <c r="L414" s="2"/>
      <c r="M414" s="2"/>
      <c r="N414" s="20"/>
      <c r="O414" s="2"/>
      <c r="P414" s="2"/>
    </row>
    <row r="415" spans="1:16" ht="15.75" customHeight="1" x14ac:dyDescent="0.35">
      <c r="A415" s="2"/>
      <c r="B415" s="109"/>
      <c r="C415" s="102"/>
      <c r="D415" s="92" t="s">
        <v>67</v>
      </c>
      <c r="E415" s="5">
        <v>0</v>
      </c>
      <c r="F415" s="5">
        <v>0</v>
      </c>
      <c r="G415" s="5">
        <v>0</v>
      </c>
      <c r="H415" s="5">
        <v>0</v>
      </c>
      <c r="I415" s="12">
        <f t="shared" si="168"/>
        <v>0</v>
      </c>
      <c r="J415" s="2"/>
      <c r="K415" s="2"/>
      <c r="L415" s="2"/>
      <c r="M415" s="2"/>
      <c r="N415" s="20"/>
      <c r="O415" s="2"/>
      <c r="P415" s="2"/>
    </row>
    <row r="416" spans="1:16" ht="15.75" customHeight="1" x14ac:dyDescent="0.35">
      <c r="A416" s="13">
        <f t="shared" ref="A416:B416" si="174">A413+7</f>
        <v>45286</v>
      </c>
      <c r="B416" s="109">
        <f t="shared" si="174"/>
        <v>935</v>
      </c>
      <c r="C416" s="102" t="str">
        <f t="shared" si="167"/>
        <v>10% FBS R1</v>
      </c>
      <c r="D416" s="91" t="s">
        <v>65</v>
      </c>
      <c r="E416" s="5">
        <v>136</v>
      </c>
      <c r="F416" s="5">
        <v>139</v>
      </c>
      <c r="G416" s="5">
        <v>128</v>
      </c>
      <c r="H416" s="5">
        <v>136</v>
      </c>
      <c r="I416" s="12">
        <f t="shared" si="168"/>
        <v>134.75</v>
      </c>
      <c r="J416" s="15">
        <f>I416*2*10000</f>
        <v>2695000</v>
      </c>
      <c r="K416" s="2">
        <f t="shared" si="169"/>
        <v>3000000</v>
      </c>
      <c r="L416" s="2">
        <f t="shared" ref="L416" si="175">J416*5</f>
        <v>13475000</v>
      </c>
      <c r="M416" s="3">
        <f t="shared" ref="M416" si="176">I416/(I416+I417)*100</f>
        <v>88.505747126436788</v>
      </c>
      <c r="N416" s="22">
        <f>I418/I416*100</f>
        <v>0</v>
      </c>
      <c r="O416" s="4">
        <f t="shared" ref="O416" si="177">3.32*(LOG(L416)-LOG(K416))</f>
        <v>2.1659929635418589</v>
      </c>
      <c r="P416" s="4">
        <f t="shared" ref="P416" si="178">IF(O416&lt;0,P413,P413+O416)</f>
        <v>334.89133182407465</v>
      </c>
    </row>
    <row r="417" spans="1:16" ht="15.75" customHeight="1" x14ac:dyDescent="0.35">
      <c r="A417" s="2"/>
      <c r="B417" s="109"/>
      <c r="C417" s="102"/>
      <c r="D417" s="92" t="s">
        <v>66</v>
      </c>
      <c r="E417" s="5">
        <v>17</v>
      </c>
      <c r="F417" s="5">
        <v>18</v>
      </c>
      <c r="G417" s="5">
        <v>15</v>
      </c>
      <c r="H417" s="5">
        <v>20</v>
      </c>
      <c r="I417" s="12">
        <f t="shared" si="168"/>
        <v>17.5</v>
      </c>
      <c r="J417" s="15"/>
      <c r="K417" s="2"/>
      <c r="L417" s="2"/>
      <c r="M417" s="2"/>
      <c r="N417" s="20"/>
      <c r="O417" s="2"/>
      <c r="P417" s="2"/>
    </row>
    <row r="418" spans="1:16" ht="15.75" customHeight="1" x14ac:dyDescent="0.35">
      <c r="A418" s="2"/>
      <c r="B418" s="109"/>
      <c r="C418" s="102"/>
      <c r="D418" s="92" t="s">
        <v>67</v>
      </c>
      <c r="E418" s="5">
        <v>0</v>
      </c>
      <c r="F418" s="5">
        <v>0</v>
      </c>
      <c r="G418" s="5">
        <v>0</v>
      </c>
      <c r="H418" s="5">
        <v>0</v>
      </c>
      <c r="I418" s="12">
        <f t="shared" si="168"/>
        <v>0</v>
      </c>
      <c r="J418" s="2"/>
      <c r="K418" s="2"/>
      <c r="L418" s="2"/>
      <c r="M418" s="2"/>
      <c r="N418" s="20"/>
      <c r="O418" s="2"/>
      <c r="P418" s="2"/>
    </row>
    <row r="419" spans="1:16" ht="15.75" customHeight="1" x14ac:dyDescent="0.35">
      <c r="A419" s="13">
        <f t="shared" ref="A419:B419" si="179">A416+7</f>
        <v>45293</v>
      </c>
      <c r="B419" s="109">
        <f t="shared" si="179"/>
        <v>942</v>
      </c>
      <c r="C419" s="102" t="str">
        <f t="shared" si="167"/>
        <v>10% FBS R1</v>
      </c>
      <c r="D419" s="91" t="s">
        <v>65</v>
      </c>
      <c r="E419" s="5">
        <v>84</v>
      </c>
      <c r="F419" s="5">
        <v>97</v>
      </c>
      <c r="G419" s="5">
        <v>101</v>
      </c>
      <c r="H419" s="5">
        <v>102</v>
      </c>
      <c r="I419" s="12">
        <f t="shared" si="168"/>
        <v>96</v>
      </c>
      <c r="J419" s="15">
        <f>I419*2*10000</f>
        <v>1920000</v>
      </c>
      <c r="K419" s="2">
        <f t="shared" si="169"/>
        <v>3000000</v>
      </c>
      <c r="L419" s="2">
        <f t="shared" ref="L419" si="180">J419*5</f>
        <v>9600000</v>
      </c>
      <c r="M419" s="3">
        <f t="shared" ref="M419" si="181">I419/(I419+I420)*100</f>
        <v>94.814814814814824</v>
      </c>
      <c r="N419" s="22">
        <f>I421/I419*100</f>
        <v>0</v>
      </c>
      <c r="O419" s="4">
        <f t="shared" ref="O419" si="182">3.32*(LOG(L419)-LOG(K419))</f>
        <v>1.6770979280220857</v>
      </c>
      <c r="P419" s="4">
        <f t="shared" ref="P419" si="183">IF(O419&lt;0,P416,P416+O419)</f>
        <v>336.56842975209673</v>
      </c>
    </row>
    <row r="420" spans="1:16" ht="15.75" customHeight="1" x14ac:dyDescent="0.35">
      <c r="A420" s="2"/>
      <c r="B420" s="109"/>
      <c r="C420" s="102"/>
      <c r="D420" s="92" t="s">
        <v>66</v>
      </c>
      <c r="E420" s="5">
        <v>7</v>
      </c>
      <c r="F420" s="5">
        <v>3</v>
      </c>
      <c r="G420" s="5">
        <v>5</v>
      </c>
      <c r="H420" s="5">
        <v>6</v>
      </c>
      <c r="I420" s="12">
        <f t="shared" si="168"/>
        <v>5.25</v>
      </c>
      <c r="J420" s="15"/>
      <c r="K420" s="2"/>
      <c r="L420" s="2"/>
      <c r="M420" s="2"/>
      <c r="N420" s="20"/>
      <c r="O420" s="2"/>
      <c r="P420" s="2"/>
    </row>
    <row r="421" spans="1:16" ht="15.75" customHeight="1" x14ac:dyDescent="0.35">
      <c r="A421" s="2"/>
      <c r="B421" s="109"/>
      <c r="C421" s="102"/>
      <c r="D421" s="92" t="s">
        <v>67</v>
      </c>
      <c r="E421" s="5">
        <v>0</v>
      </c>
      <c r="F421" s="5">
        <v>0</v>
      </c>
      <c r="G421" s="5">
        <v>0</v>
      </c>
      <c r="H421" s="5">
        <v>0</v>
      </c>
      <c r="I421" s="12">
        <f t="shared" si="168"/>
        <v>0</v>
      </c>
      <c r="J421" s="2"/>
      <c r="K421" s="2"/>
      <c r="L421" s="2"/>
      <c r="M421" s="2"/>
      <c r="N421" s="20"/>
      <c r="O421" s="2"/>
      <c r="P421" s="2"/>
    </row>
    <row r="422" spans="1:16" ht="15.75" customHeight="1" x14ac:dyDescent="0.35">
      <c r="A422" s="13">
        <f t="shared" ref="A422:B422" si="184">A419+7</f>
        <v>45300</v>
      </c>
      <c r="B422" s="109">
        <f t="shared" si="184"/>
        <v>949</v>
      </c>
      <c r="C422" s="102" t="str">
        <f t="shared" ref="C422:C428" si="185">$C$125</f>
        <v>10% FBS R1</v>
      </c>
      <c r="D422" s="91" t="s">
        <v>65</v>
      </c>
      <c r="E422" s="5">
        <v>67</v>
      </c>
      <c r="F422" s="5">
        <v>55</v>
      </c>
      <c r="G422" s="5">
        <v>68</v>
      </c>
      <c r="H422" s="5">
        <v>66</v>
      </c>
      <c r="I422" s="12">
        <f t="shared" ref="I422:I430" si="186">AVERAGE(E422:H422)</f>
        <v>64</v>
      </c>
      <c r="J422" s="15">
        <f>I422*2*10000</f>
        <v>1280000</v>
      </c>
      <c r="K422" s="2">
        <f t="shared" ref="K422:K428" si="187">$K$125</f>
        <v>3000000</v>
      </c>
      <c r="L422" s="2">
        <f t="shared" ref="L422" si="188">J422*5</f>
        <v>6400000</v>
      </c>
      <c r="M422" s="3">
        <f t="shared" ref="M422" si="189">I422/(I422+I423)*100</f>
        <v>97.338403041825089</v>
      </c>
      <c r="N422" s="22">
        <f>I424/I422*100</f>
        <v>0</v>
      </c>
      <c r="O422" s="4">
        <f t="shared" ref="O422" si="190">3.32*(LOG(L422)-LOG(K422))</f>
        <v>1.0924749479572267</v>
      </c>
      <c r="P422" s="4">
        <f t="shared" ref="P422" si="191">IF(O422&lt;0,P419,P419+O422)</f>
        <v>337.66090470005395</v>
      </c>
    </row>
    <row r="423" spans="1:16" ht="15.75" customHeight="1" x14ac:dyDescent="0.35">
      <c r="A423" s="2"/>
      <c r="B423" s="109"/>
      <c r="C423" s="102"/>
      <c r="D423" s="92" t="s">
        <v>66</v>
      </c>
      <c r="E423" s="5">
        <v>1</v>
      </c>
      <c r="F423" s="5">
        <v>2</v>
      </c>
      <c r="G423" s="5">
        <v>1</v>
      </c>
      <c r="H423" s="5">
        <v>3</v>
      </c>
      <c r="I423" s="12">
        <f t="shared" si="186"/>
        <v>1.75</v>
      </c>
      <c r="J423" s="15"/>
      <c r="K423" s="2"/>
      <c r="L423" s="2"/>
      <c r="M423" s="2"/>
      <c r="N423" s="20"/>
      <c r="O423" s="2"/>
      <c r="P423" s="2"/>
    </row>
    <row r="424" spans="1:16" ht="15.75" customHeight="1" x14ac:dyDescent="0.35">
      <c r="A424" s="2"/>
      <c r="B424" s="109"/>
      <c r="C424" s="102"/>
      <c r="D424" s="92" t="s">
        <v>67</v>
      </c>
      <c r="E424" s="5">
        <v>0</v>
      </c>
      <c r="F424" s="5">
        <v>0</v>
      </c>
      <c r="G424" s="5">
        <v>0</v>
      </c>
      <c r="H424" s="5">
        <v>0</v>
      </c>
      <c r="I424" s="12">
        <f t="shared" si="186"/>
        <v>0</v>
      </c>
      <c r="J424" s="2"/>
      <c r="K424" s="2"/>
      <c r="L424" s="2"/>
      <c r="M424" s="2"/>
      <c r="N424" s="20"/>
      <c r="O424" s="2"/>
      <c r="P424" s="2"/>
    </row>
    <row r="425" spans="1:16" ht="15.75" customHeight="1" x14ac:dyDescent="0.35">
      <c r="A425" s="13">
        <f t="shared" ref="A425:B425" si="192">A422+7</f>
        <v>45307</v>
      </c>
      <c r="B425" s="109">
        <f t="shared" si="192"/>
        <v>956</v>
      </c>
      <c r="C425" s="102" t="str">
        <f t="shared" si="185"/>
        <v>10% FBS R1</v>
      </c>
      <c r="D425" s="91" t="s">
        <v>65</v>
      </c>
      <c r="E425" s="5">
        <v>180</v>
      </c>
      <c r="F425" s="5">
        <v>171</v>
      </c>
      <c r="G425" s="5">
        <v>173</v>
      </c>
      <c r="H425" s="5">
        <v>184</v>
      </c>
      <c r="I425" s="12">
        <f t="shared" si="186"/>
        <v>177</v>
      </c>
      <c r="J425" s="15">
        <f>I425*2*10000</f>
        <v>3540000</v>
      </c>
      <c r="K425" s="2">
        <f t="shared" si="187"/>
        <v>3000000</v>
      </c>
      <c r="L425" s="2">
        <f t="shared" ref="L425" si="193">J425*5</f>
        <v>17700000</v>
      </c>
      <c r="M425" s="3">
        <f t="shared" ref="M425" si="194">I425/(I425+I426)*100</f>
        <v>92.549019607843135</v>
      </c>
      <c r="N425" s="22">
        <f>I427/I425*100</f>
        <v>0</v>
      </c>
      <c r="O425" s="4">
        <f t="shared" ref="O425" si="195">3.32*(LOG(L425)-LOG(K425))</f>
        <v>2.5592286786519174</v>
      </c>
      <c r="P425" s="4">
        <f t="shared" ref="P425" si="196">IF(O425&lt;0,P422,P422+O425)</f>
        <v>340.22013337870584</v>
      </c>
    </row>
    <row r="426" spans="1:16" ht="15.75" customHeight="1" x14ac:dyDescent="0.35">
      <c r="A426" s="2"/>
      <c r="B426" s="109"/>
      <c r="C426" s="102"/>
      <c r="D426" s="92" t="s">
        <v>66</v>
      </c>
      <c r="E426" s="5">
        <v>16</v>
      </c>
      <c r="F426" s="5">
        <v>14</v>
      </c>
      <c r="G426" s="5">
        <v>12</v>
      </c>
      <c r="H426" s="5">
        <v>15</v>
      </c>
      <c r="I426" s="12">
        <f t="shared" si="186"/>
        <v>14.25</v>
      </c>
      <c r="J426" s="15"/>
      <c r="K426" s="2"/>
      <c r="L426" s="2"/>
      <c r="M426" s="2"/>
      <c r="N426" s="20"/>
      <c r="O426" s="2"/>
      <c r="P426" s="2"/>
    </row>
    <row r="427" spans="1:16" ht="15.75" customHeight="1" x14ac:dyDescent="0.35">
      <c r="A427" s="2"/>
      <c r="B427" s="109"/>
      <c r="C427" s="102"/>
      <c r="D427" s="92" t="s">
        <v>67</v>
      </c>
      <c r="E427" s="5">
        <v>0</v>
      </c>
      <c r="F427" s="5">
        <v>0</v>
      </c>
      <c r="G427" s="5">
        <v>0</v>
      </c>
      <c r="H427" s="5">
        <v>0</v>
      </c>
      <c r="I427" s="12">
        <f t="shared" si="186"/>
        <v>0</v>
      </c>
      <c r="J427" s="2"/>
      <c r="K427" s="2"/>
      <c r="L427" s="2"/>
      <c r="M427" s="2"/>
      <c r="N427" s="20"/>
      <c r="O427" s="2"/>
      <c r="P427" s="2"/>
    </row>
    <row r="428" spans="1:16" ht="15.75" customHeight="1" x14ac:dyDescent="0.35">
      <c r="A428" s="13">
        <f t="shared" ref="A428:B428" si="197">A425+7</f>
        <v>45314</v>
      </c>
      <c r="B428" s="109">
        <f t="shared" si="197"/>
        <v>963</v>
      </c>
      <c r="C428" s="102" t="str">
        <f t="shared" si="185"/>
        <v>10% FBS R1</v>
      </c>
      <c r="D428" s="91" t="s">
        <v>65</v>
      </c>
      <c r="E428" s="5">
        <v>68</v>
      </c>
      <c r="F428" s="5">
        <v>61</v>
      </c>
      <c r="G428" s="5">
        <v>73</v>
      </c>
      <c r="H428" s="5">
        <v>65</v>
      </c>
      <c r="I428" s="12">
        <f t="shared" si="186"/>
        <v>66.75</v>
      </c>
      <c r="J428" s="15">
        <f>I428*2*10000</f>
        <v>1335000</v>
      </c>
      <c r="K428" s="2">
        <f t="shared" si="187"/>
        <v>3000000</v>
      </c>
      <c r="L428" s="2">
        <f t="shared" ref="L428" si="198">J428*5</f>
        <v>6675000</v>
      </c>
      <c r="M428" s="3">
        <f t="shared" ref="M428" si="199">I428/(I428+I429)*100</f>
        <v>95.6989247311828</v>
      </c>
      <c r="N428" s="22">
        <f>I430/I428*100</f>
        <v>0</v>
      </c>
      <c r="O428" s="4">
        <f t="shared" ref="O428" si="200">3.32*(LOG(L428)-LOG(K428))</f>
        <v>1.1531356508522734</v>
      </c>
      <c r="P428" s="4">
        <f t="shared" ref="P428" si="201">IF(O428&lt;0,P425,P425+O428)</f>
        <v>341.37326902955812</v>
      </c>
    </row>
    <row r="429" spans="1:16" ht="15.75" customHeight="1" x14ac:dyDescent="0.35">
      <c r="A429" s="2"/>
      <c r="B429" s="109"/>
      <c r="C429" s="102"/>
      <c r="D429" s="92" t="s">
        <v>66</v>
      </c>
      <c r="E429" s="5">
        <v>3</v>
      </c>
      <c r="F429" s="5">
        <v>4</v>
      </c>
      <c r="G429" s="5">
        <v>1</v>
      </c>
      <c r="H429" s="5">
        <v>4</v>
      </c>
      <c r="I429" s="12">
        <f t="shared" si="186"/>
        <v>3</v>
      </c>
      <c r="J429" s="15"/>
      <c r="K429" s="2"/>
      <c r="L429" s="2"/>
      <c r="M429" s="2"/>
      <c r="N429" s="20"/>
      <c r="O429" s="2"/>
      <c r="P429" s="2"/>
    </row>
    <row r="430" spans="1:16" ht="15.75" customHeight="1" x14ac:dyDescent="0.35">
      <c r="A430" s="2"/>
      <c r="B430" s="109"/>
      <c r="C430" s="102"/>
      <c r="D430" s="92" t="s">
        <v>67</v>
      </c>
      <c r="E430" s="5">
        <v>0</v>
      </c>
      <c r="F430" s="5">
        <v>0</v>
      </c>
      <c r="G430" s="5">
        <v>0</v>
      </c>
      <c r="H430" s="5">
        <v>0</v>
      </c>
      <c r="I430" s="12">
        <f t="shared" si="186"/>
        <v>0</v>
      </c>
      <c r="J430" s="2"/>
      <c r="K430" s="2"/>
      <c r="L430" s="2"/>
      <c r="M430" s="2"/>
      <c r="N430" s="20"/>
      <c r="O430" s="2"/>
      <c r="P430" s="2"/>
    </row>
    <row r="431" spans="1:16" ht="15.75" customHeight="1" x14ac:dyDescent="0.35">
      <c r="A431" s="13">
        <f t="shared" ref="A431:B431" si="202">A428+7</f>
        <v>45321</v>
      </c>
      <c r="B431" s="109">
        <f t="shared" si="202"/>
        <v>970</v>
      </c>
      <c r="C431" s="102" t="str">
        <f t="shared" ref="C431:C437" si="203">$C$125</f>
        <v>10% FBS R1</v>
      </c>
      <c r="D431" s="91" t="s">
        <v>65</v>
      </c>
      <c r="E431" s="5">
        <v>84</v>
      </c>
      <c r="F431" s="5">
        <v>91</v>
      </c>
      <c r="G431" s="5">
        <v>96</v>
      </c>
      <c r="H431" s="5">
        <v>89</v>
      </c>
      <c r="I431" s="12">
        <f t="shared" ref="I431:I439" si="204">AVERAGE(E431:H431)</f>
        <v>90</v>
      </c>
      <c r="J431" s="15">
        <f t="shared" ref="J431" si="205">I431*2*10000</f>
        <v>1800000</v>
      </c>
      <c r="K431" s="2">
        <f t="shared" ref="K431:K437" si="206">$K$125</f>
        <v>3000000</v>
      </c>
      <c r="L431" s="2">
        <f t="shared" ref="L431" si="207">J431*5</f>
        <v>9000000</v>
      </c>
      <c r="M431" s="3">
        <f t="shared" ref="M431" si="208">I431/(I431+I432)*100</f>
        <v>94.986807387862797</v>
      </c>
      <c r="N431" s="22">
        <f>I433/I431*100</f>
        <v>0</v>
      </c>
      <c r="O431" s="4">
        <f t="shared" ref="O431" si="209">3.32*(LOG(L431)-LOG(K431))</f>
        <v>1.5840425656692798</v>
      </c>
      <c r="P431" s="4">
        <f t="shared" ref="P431" si="210">IF(O431&lt;0,P428,P428+O431)</f>
        <v>342.9573115952274</v>
      </c>
    </row>
    <row r="432" spans="1:16" ht="15.75" customHeight="1" x14ac:dyDescent="0.35">
      <c r="A432" s="2"/>
      <c r="B432" s="109"/>
      <c r="C432" s="102"/>
      <c r="D432" s="92" t="s">
        <v>66</v>
      </c>
      <c r="E432" s="5">
        <v>3</v>
      </c>
      <c r="F432" s="5">
        <v>7</v>
      </c>
      <c r="G432" s="5">
        <v>5</v>
      </c>
      <c r="H432" s="5">
        <v>4</v>
      </c>
      <c r="I432" s="12">
        <f t="shared" si="204"/>
        <v>4.75</v>
      </c>
      <c r="J432" s="15"/>
      <c r="K432" s="2"/>
      <c r="L432" s="2"/>
      <c r="M432" s="2"/>
      <c r="N432" s="20"/>
      <c r="O432" s="2"/>
      <c r="P432" s="2"/>
    </row>
    <row r="433" spans="1:21" ht="15.75" customHeight="1" x14ac:dyDescent="0.35">
      <c r="A433" s="2"/>
      <c r="B433" s="109"/>
      <c r="C433" s="102"/>
      <c r="D433" s="92" t="s">
        <v>67</v>
      </c>
      <c r="E433" s="5">
        <v>0</v>
      </c>
      <c r="F433" s="5">
        <v>0</v>
      </c>
      <c r="G433" s="5">
        <v>0</v>
      </c>
      <c r="H433" s="5">
        <v>0</v>
      </c>
      <c r="I433" s="12">
        <f t="shared" si="204"/>
        <v>0</v>
      </c>
      <c r="J433" s="2"/>
      <c r="K433" s="2"/>
      <c r="L433" s="2"/>
      <c r="M433" s="2"/>
      <c r="N433" s="20"/>
      <c r="O433" s="2"/>
      <c r="P433" s="2"/>
    </row>
    <row r="434" spans="1:21" ht="15.75" customHeight="1" x14ac:dyDescent="0.35">
      <c r="A434" s="13">
        <f t="shared" ref="A434:B434" si="211">A431+7</f>
        <v>45328</v>
      </c>
      <c r="B434" s="109">
        <f t="shared" si="211"/>
        <v>977</v>
      </c>
      <c r="C434" s="102" t="str">
        <f t="shared" si="203"/>
        <v>10% FBS R1</v>
      </c>
      <c r="D434" s="91" t="s">
        <v>65</v>
      </c>
      <c r="E434" s="5">
        <v>137</v>
      </c>
      <c r="F434" s="5">
        <v>140</v>
      </c>
      <c r="G434" s="5">
        <v>129</v>
      </c>
      <c r="H434" s="5">
        <v>132</v>
      </c>
      <c r="I434" s="12">
        <f t="shared" si="204"/>
        <v>134.5</v>
      </c>
      <c r="J434" s="15">
        <f t="shared" ref="J434" si="212">I434*2*10000</f>
        <v>2690000</v>
      </c>
      <c r="K434" s="2">
        <f t="shared" si="206"/>
        <v>3000000</v>
      </c>
      <c r="L434" s="2">
        <f t="shared" ref="L434" si="213">J434*5</f>
        <v>13450000</v>
      </c>
      <c r="M434" s="3">
        <f t="shared" ref="M434" si="214">I434/(I434+I435)*100</f>
        <v>91.341256366723258</v>
      </c>
      <c r="N434" s="22">
        <f>I436/I434*100</f>
        <v>0</v>
      </c>
      <c r="O434" s="4">
        <f t="shared" ref="O434" si="215">3.32*(LOG(L434)-LOG(K434))</f>
        <v>2.1633154183342955</v>
      </c>
      <c r="P434" s="4">
        <f t="shared" ref="P434" si="216">IF(O434&lt;0,P431,P431+O434)</f>
        <v>345.12062701356172</v>
      </c>
    </row>
    <row r="435" spans="1:21" ht="15.75" customHeight="1" x14ac:dyDescent="0.35">
      <c r="A435" s="2"/>
      <c r="B435" s="109"/>
      <c r="C435" s="102"/>
      <c r="D435" s="92" t="s">
        <v>66</v>
      </c>
      <c r="E435" s="5">
        <v>10</v>
      </c>
      <c r="F435" s="5">
        <v>14</v>
      </c>
      <c r="G435" s="5">
        <v>12</v>
      </c>
      <c r="H435" s="5">
        <v>15</v>
      </c>
      <c r="I435" s="12">
        <f t="shared" si="204"/>
        <v>12.75</v>
      </c>
      <c r="J435" s="15"/>
      <c r="K435" s="2"/>
      <c r="L435" s="2"/>
      <c r="M435" s="2"/>
      <c r="N435" s="20"/>
      <c r="O435" s="2"/>
      <c r="P435" s="2"/>
    </row>
    <row r="436" spans="1:21" ht="15.75" customHeight="1" x14ac:dyDescent="0.35">
      <c r="A436" s="2"/>
      <c r="B436" s="109"/>
      <c r="C436" s="102"/>
      <c r="D436" s="92" t="s">
        <v>67</v>
      </c>
      <c r="E436" s="5">
        <v>0</v>
      </c>
      <c r="F436" s="5">
        <v>0</v>
      </c>
      <c r="G436" s="5">
        <v>0</v>
      </c>
      <c r="H436" s="5">
        <v>0</v>
      </c>
      <c r="I436" s="12">
        <f t="shared" si="204"/>
        <v>0</v>
      </c>
      <c r="J436" s="2"/>
      <c r="K436" s="2"/>
      <c r="L436" s="2"/>
      <c r="M436" s="2"/>
      <c r="N436" s="20"/>
      <c r="O436" s="2"/>
      <c r="P436" s="2"/>
    </row>
    <row r="437" spans="1:21" ht="15.75" customHeight="1" x14ac:dyDescent="0.35">
      <c r="A437" s="13">
        <f t="shared" ref="A437:B437" si="217">A434+7</f>
        <v>45335</v>
      </c>
      <c r="B437" s="109">
        <f t="shared" si="217"/>
        <v>984</v>
      </c>
      <c r="C437" s="102" t="str">
        <f t="shared" si="203"/>
        <v>10% FBS R1</v>
      </c>
      <c r="D437" s="91" t="s">
        <v>65</v>
      </c>
      <c r="E437" s="5">
        <v>197</v>
      </c>
      <c r="F437" s="5">
        <v>210</v>
      </c>
      <c r="G437" s="5">
        <v>199</v>
      </c>
      <c r="H437" s="5">
        <v>204</v>
      </c>
      <c r="I437" s="12">
        <f t="shared" si="204"/>
        <v>202.5</v>
      </c>
      <c r="J437" s="15">
        <f t="shared" ref="J437" si="218">I437*2*10000</f>
        <v>4050000</v>
      </c>
      <c r="K437" s="2">
        <f t="shared" si="206"/>
        <v>3000000</v>
      </c>
      <c r="L437" s="2">
        <f t="shared" ref="L437" si="219">J437*5</f>
        <v>20250000</v>
      </c>
      <c r="M437" s="3">
        <f t="shared" ref="M437" si="220">I437/(I437+I438)*100</f>
        <v>96.085409252669038</v>
      </c>
      <c r="N437" s="22">
        <f>I439/I437*100</f>
        <v>0</v>
      </c>
      <c r="O437" s="4">
        <f t="shared" ref="O437" si="221">3.32*(LOG(L437)-LOG(K437))</f>
        <v>2.7532885257990007</v>
      </c>
      <c r="P437" s="4">
        <f t="shared" ref="P437" si="222">IF(O437&lt;0,P434,P434+O437)</f>
        <v>347.87391553936072</v>
      </c>
    </row>
    <row r="438" spans="1:21" ht="15.75" customHeight="1" x14ac:dyDescent="0.35">
      <c r="A438" s="2"/>
      <c r="B438" s="109"/>
      <c r="C438" s="102"/>
      <c r="D438" s="92" t="s">
        <v>66</v>
      </c>
      <c r="E438" s="5">
        <v>9</v>
      </c>
      <c r="F438" s="5">
        <v>11</v>
      </c>
      <c r="G438" s="5">
        <v>6</v>
      </c>
      <c r="H438" s="5">
        <v>7</v>
      </c>
      <c r="I438" s="12">
        <f t="shared" si="204"/>
        <v>8.25</v>
      </c>
      <c r="J438" s="15"/>
      <c r="K438" s="2"/>
      <c r="L438" s="2"/>
      <c r="M438" s="2"/>
      <c r="N438" s="2"/>
      <c r="O438" s="2"/>
      <c r="P438" s="2"/>
    </row>
    <row r="439" spans="1:21" ht="15.75" customHeight="1" x14ac:dyDescent="0.35">
      <c r="A439" s="2"/>
      <c r="B439" s="109"/>
      <c r="C439" s="102"/>
      <c r="D439" s="92" t="s">
        <v>67</v>
      </c>
      <c r="E439" s="5">
        <v>0</v>
      </c>
      <c r="F439" s="5">
        <v>0</v>
      </c>
      <c r="G439" s="5">
        <v>0</v>
      </c>
      <c r="H439" s="5">
        <v>0</v>
      </c>
      <c r="I439" s="12">
        <f t="shared" si="204"/>
        <v>0</v>
      </c>
      <c r="J439" s="2"/>
      <c r="K439" s="2"/>
      <c r="L439" s="2"/>
      <c r="M439" s="2"/>
      <c r="N439" s="2"/>
      <c r="O439" s="2"/>
      <c r="P439" s="2"/>
    </row>
    <row r="440" spans="1:21" ht="15.75" customHeight="1" x14ac:dyDescent="0.35">
      <c r="A440" s="13">
        <f t="shared" ref="A440:B440" si="223">A437+7</f>
        <v>45342</v>
      </c>
      <c r="B440" s="109">
        <f t="shared" si="223"/>
        <v>991</v>
      </c>
      <c r="C440" s="102" t="str">
        <f t="shared" ref="C440" si="224">$C$125</f>
        <v>10% FBS R1</v>
      </c>
      <c r="D440" s="91" t="s">
        <v>65</v>
      </c>
      <c r="E440" s="5">
        <v>111</v>
      </c>
      <c r="F440" s="5">
        <v>115</v>
      </c>
      <c r="G440" s="5">
        <v>125</v>
      </c>
      <c r="H440" s="5">
        <v>129</v>
      </c>
      <c r="I440" s="12">
        <f t="shared" ref="I440:I503" si="225">AVERAGE(E440:H440)</f>
        <v>120</v>
      </c>
      <c r="J440" s="15">
        <f t="shared" ref="J440" si="226">I440*2*10000</f>
        <v>2400000</v>
      </c>
      <c r="K440" s="2">
        <f t="shared" ref="K440" si="227">$K$125</f>
        <v>3000000</v>
      </c>
      <c r="L440" s="2">
        <f t="shared" ref="L440" si="228">J440*5</f>
        <v>12000000</v>
      </c>
      <c r="M440" s="3">
        <f t="shared" ref="M440" si="229">I440/(I440+I441)*100</f>
        <v>96.969696969696969</v>
      </c>
      <c r="N440" s="77">
        <f>I442/I440*100</f>
        <v>0</v>
      </c>
      <c r="O440" s="78">
        <f t="shared" ref="O440" si="230">3.32*(LOG(L440)-LOG(K440))</f>
        <v>1.9988391712088354</v>
      </c>
      <c r="P440" s="78">
        <f t="shared" ref="P440" si="231">IF(O440&lt;0,P437,P437+O440)</f>
        <v>349.87275471056955</v>
      </c>
    </row>
    <row r="441" spans="1:21" ht="15.75" customHeight="1" x14ac:dyDescent="0.35">
      <c r="A441" s="2"/>
      <c r="B441" s="109"/>
      <c r="C441" s="102"/>
      <c r="D441" s="92" t="s">
        <v>66</v>
      </c>
      <c r="E441" s="5">
        <v>4</v>
      </c>
      <c r="F441" s="5">
        <v>5</v>
      </c>
      <c r="G441" s="5">
        <v>3</v>
      </c>
      <c r="H441" s="5">
        <v>3</v>
      </c>
      <c r="I441" s="12">
        <f t="shared" si="225"/>
        <v>3.75</v>
      </c>
      <c r="J441" s="15"/>
      <c r="K441" s="2"/>
      <c r="L441" s="2"/>
      <c r="M441" s="16"/>
      <c r="N441" s="20"/>
      <c r="O441" s="20"/>
      <c r="P441" s="20"/>
    </row>
    <row r="442" spans="1:21" ht="15.75" customHeight="1" x14ac:dyDescent="0.35">
      <c r="A442" s="2"/>
      <c r="B442" s="109"/>
      <c r="C442" s="102"/>
      <c r="D442" s="92" t="s">
        <v>67</v>
      </c>
      <c r="E442" s="5">
        <v>0</v>
      </c>
      <c r="F442" s="5">
        <v>0</v>
      </c>
      <c r="G442" s="5">
        <v>0</v>
      </c>
      <c r="H442" s="5">
        <v>0</v>
      </c>
      <c r="I442" s="12">
        <f t="shared" si="225"/>
        <v>0</v>
      </c>
      <c r="J442" s="2"/>
      <c r="K442" s="2"/>
      <c r="L442" s="2"/>
      <c r="M442" s="16"/>
      <c r="N442" s="20"/>
      <c r="O442" s="20"/>
      <c r="P442" s="20"/>
      <c r="Q442" s="36"/>
      <c r="R442" s="36"/>
      <c r="S442" s="36"/>
      <c r="T442" s="36"/>
      <c r="U442" s="36"/>
    </row>
    <row r="443" spans="1:21" ht="15.75" customHeight="1" x14ac:dyDescent="0.35">
      <c r="A443" s="13">
        <f t="shared" ref="A443:B443" si="232">A440+7</f>
        <v>45349</v>
      </c>
      <c r="B443" s="109">
        <f t="shared" si="232"/>
        <v>998</v>
      </c>
      <c r="C443" s="102" t="str">
        <f t="shared" ref="C443" si="233">$C$155</f>
        <v>10% FBS R1</v>
      </c>
      <c r="D443" s="91" t="s">
        <v>65</v>
      </c>
      <c r="E443" s="54">
        <v>127</v>
      </c>
      <c r="F443" s="54">
        <v>170</v>
      </c>
      <c r="G443" s="54">
        <v>193</v>
      </c>
      <c r="H443" s="54">
        <v>157</v>
      </c>
      <c r="I443" s="12">
        <f t="shared" si="225"/>
        <v>161.75</v>
      </c>
      <c r="J443" s="15">
        <f t="shared" ref="J443" si="234">I443*2*10000</f>
        <v>3235000</v>
      </c>
      <c r="K443" s="2">
        <f t="shared" ref="K443" si="235">$K$155</f>
        <v>3000000</v>
      </c>
      <c r="L443" s="2">
        <f t="shared" ref="L443" si="236">J443*5</f>
        <v>16175000</v>
      </c>
      <c r="M443" s="75">
        <f t="shared" ref="M443" si="237">I443/(I443+I444)*100</f>
        <v>88.02721088435375</v>
      </c>
      <c r="N443" s="22">
        <f>I445/I443*100</f>
        <v>0</v>
      </c>
      <c r="O443" s="23">
        <f>3.32*(LOG(L443)-LOG(K443))</f>
        <v>2.4293204749419703</v>
      </c>
      <c r="P443" s="23">
        <f t="shared" ref="P443" si="238">IF(O443&lt;0,P440,P440+O443)</f>
        <v>352.30207518551151</v>
      </c>
      <c r="Q443" s="38"/>
      <c r="R443" s="38"/>
      <c r="S443" s="39"/>
      <c r="T443" s="38"/>
      <c r="U443" s="36"/>
    </row>
    <row r="444" spans="1:21" ht="15.75" customHeight="1" x14ac:dyDescent="0.35">
      <c r="A444" s="2"/>
      <c r="B444" s="109"/>
      <c r="C444" s="102"/>
      <c r="D444" s="92" t="s">
        <v>66</v>
      </c>
      <c r="E444" s="54">
        <v>19</v>
      </c>
      <c r="F444" s="54">
        <v>23</v>
      </c>
      <c r="G444" s="54">
        <v>20</v>
      </c>
      <c r="H444" s="54">
        <v>26</v>
      </c>
      <c r="I444" s="12">
        <f t="shared" si="225"/>
        <v>22</v>
      </c>
      <c r="J444" s="15"/>
      <c r="K444" s="2"/>
      <c r="L444" s="2"/>
      <c r="M444" s="16"/>
      <c r="N444" s="20"/>
      <c r="O444" s="20"/>
      <c r="P444" s="20"/>
      <c r="Q444" s="24"/>
      <c r="R444" s="24"/>
      <c r="S444" s="24"/>
      <c r="T444" s="67"/>
      <c r="U444" s="36"/>
    </row>
    <row r="445" spans="1:21" ht="15.75" customHeight="1" x14ac:dyDescent="0.35">
      <c r="A445" s="2"/>
      <c r="B445" s="109"/>
      <c r="C445" s="102"/>
      <c r="D445" s="92" t="s">
        <v>67</v>
      </c>
      <c r="E445" s="54">
        <v>0</v>
      </c>
      <c r="F445" s="54">
        <v>0</v>
      </c>
      <c r="G445" s="54">
        <v>0</v>
      </c>
      <c r="H445" s="54">
        <v>0</v>
      </c>
      <c r="I445" s="12">
        <f t="shared" si="225"/>
        <v>0</v>
      </c>
      <c r="J445" s="2"/>
      <c r="K445" s="2"/>
      <c r="L445" s="2"/>
      <c r="M445" s="16"/>
      <c r="N445" s="20"/>
      <c r="O445" s="20"/>
      <c r="P445" s="20"/>
      <c r="Q445" s="24"/>
      <c r="R445" s="24"/>
      <c r="S445" s="24"/>
      <c r="T445" s="67"/>
      <c r="U445" s="36"/>
    </row>
    <row r="446" spans="1:21" ht="15.75" customHeight="1" x14ac:dyDescent="0.35">
      <c r="A446" s="63">
        <f>A443+7</f>
        <v>45356</v>
      </c>
      <c r="B446" s="110">
        <f>B443+7</f>
        <v>1005</v>
      </c>
      <c r="C446" s="103" t="str">
        <f>$C$155</f>
        <v>10% FBS R1</v>
      </c>
      <c r="D446" s="91" t="s">
        <v>65</v>
      </c>
      <c r="E446" s="58">
        <v>129</v>
      </c>
      <c r="F446" s="58">
        <v>156</v>
      </c>
      <c r="G446" s="58">
        <v>163</v>
      </c>
      <c r="H446" s="58">
        <v>158</v>
      </c>
      <c r="I446" s="73">
        <f t="shared" si="225"/>
        <v>151.5</v>
      </c>
      <c r="J446" s="74">
        <f>I446*2*10000</f>
        <v>3030000</v>
      </c>
      <c r="K446" s="56">
        <f>$K$155</f>
        <v>3000000</v>
      </c>
      <c r="L446" s="56">
        <f>J446*5</f>
        <v>15150000</v>
      </c>
      <c r="M446" s="76">
        <f>I446/(I446+I447)*100</f>
        <v>93.518518518518519</v>
      </c>
      <c r="N446" s="22">
        <f>I448/I446*100</f>
        <v>0</v>
      </c>
      <c r="O446" s="66">
        <f>3.32*(LOG(L446)-LOG(K446))</f>
        <v>2.3349273753539541</v>
      </c>
      <c r="P446" s="66">
        <f>IF(O446&lt;0,P443,P443+O446)</f>
        <v>354.63700256086548</v>
      </c>
      <c r="Q446" s="68"/>
      <c r="R446" s="68"/>
      <c r="S446" s="69"/>
      <c r="T446" s="68"/>
      <c r="U446" s="36"/>
    </row>
    <row r="447" spans="1:21" ht="15.75" customHeight="1" x14ac:dyDescent="0.35">
      <c r="A447" s="56"/>
      <c r="B447" s="110"/>
      <c r="C447" s="103"/>
      <c r="D447" s="92" t="s">
        <v>66</v>
      </c>
      <c r="E447" s="58">
        <v>9</v>
      </c>
      <c r="F447" s="58">
        <v>11</v>
      </c>
      <c r="G447" s="58">
        <v>9</v>
      </c>
      <c r="H447" s="58">
        <v>13</v>
      </c>
      <c r="I447" s="73">
        <f t="shared" si="225"/>
        <v>10.5</v>
      </c>
      <c r="J447" s="74"/>
      <c r="K447" s="56"/>
      <c r="L447" s="56"/>
      <c r="M447" s="57"/>
      <c r="N447" s="20"/>
      <c r="O447" s="64"/>
      <c r="P447" s="64"/>
      <c r="Q447" s="70"/>
      <c r="R447" s="70"/>
      <c r="S447" s="70"/>
      <c r="T447" s="71"/>
      <c r="U447" s="36"/>
    </row>
    <row r="448" spans="1:21" ht="15.75" customHeight="1" x14ac:dyDescent="0.35">
      <c r="A448" s="56"/>
      <c r="B448" s="110"/>
      <c r="C448" s="103"/>
      <c r="D448" s="92" t="s">
        <v>67</v>
      </c>
      <c r="E448" s="58">
        <v>0</v>
      </c>
      <c r="F448"/>
      <c r="G448" s="58">
        <v>0</v>
      </c>
      <c r="H448" s="58">
        <v>0</v>
      </c>
      <c r="I448" s="73">
        <f t="shared" si="225"/>
        <v>0</v>
      </c>
      <c r="J448" s="56"/>
      <c r="K448" s="56"/>
      <c r="L448" s="56"/>
      <c r="M448" s="57"/>
      <c r="N448" s="20"/>
      <c r="O448" s="64"/>
      <c r="P448" s="64"/>
      <c r="Q448" s="70"/>
      <c r="R448" s="70"/>
      <c r="S448" s="70"/>
      <c r="T448" s="71"/>
      <c r="U448" s="36"/>
    </row>
    <row r="449" spans="1:21" ht="15.75" customHeight="1" x14ac:dyDescent="0.35">
      <c r="A449" s="63">
        <f>A446+7</f>
        <v>45363</v>
      </c>
      <c r="B449" s="110">
        <f>B446+7</f>
        <v>1012</v>
      </c>
      <c r="C449" s="103" t="str">
        <f>$C$155</f>
        <v>10% FBS R1</v>
      </c>
      <c r="D449" s="91" t="s">
        <v>65</v>
      </c>
      <c r="E449" s="58">
        <v>190</v>
      </c>
      <c r="F449" s="58">
        <v>152</v>
      </c>
      <c r="G449" s="58">
        <v>164</v>
      </c>
      <c r="H449" s="58">
        <v>159</v>
      </c>
      <c r="I449" s="73">
        <f t="shared" si="225"/>
        <v>166.25</v>
      </c>
      <c r="J449" s="74">
        <f>I449*2*10000</f>
        <v>3325000</v>
      </c>
      <c r="K449" s="56">
        <f>$K$155</f>
        <v>3000000</v>
      </c>
      <c r="L449" s="56">
        <f>J449*5</f>
        <v>16625000</v>
      </c>
      <c r="M449" s="76">
        <f>I449/(I449+I450)*100</f>
        <v>92.361111111111114</v>
      </c>
      <c r="N449" s="22">
        <f>I451/I449*100</f>
        <v>0</v>
      </c>
      <c r="O449" s="66">
        <f>3.32*(LOG(L449)-LOG(K449))</f>
        <v>2.4688861255281918</v>
      </c>
      <c r="P449" s="66">
        <f>IF(O449&lt;0,P446,P446+O449)</f>
        <v>357.10588868639366</v>
      </c>
      <c r="Q449" s="68"/>
      <c r="R449" s="68"/>
      <c r="S449" s="69"/>
      <c r="T449" s="68"/>
      <c r="U449" s="72"/>
    </row>
    <row r="450" spans="1:21" ht="15.75" customHeight="1" x14ac:dyDescent="0.35">
      <c r="A450" s="56"/>
      <c r="B450" s="110"/>
      <c r="C450" s="103"/>
      <c r="D450" s="92" t="s">
        <v>66</v>
      </c>
      <c r="E450" s="58">
        <v>13</v>
      </c>
      <c r="F450" s="58">
        <v>17</v>
      </c>
      <c r="G450" s="58">
        <v>9</v>
      </c>
      <c r="H450" s="58">
        <v>16</v>
      </c>
      <c r="I450" s="73">
        <f t="shared" si="225"/>
        <v>13.75</v>
      </c>
      <c r="J450" s="74"/>
      <c r="K450" s="56"/>
      <c r="L450" s="56"/>
      <c r="M450" s="57"/>
      <c r="N450" s="20"/>
      <c r="O450" s="64"/>
      <c r="P450" s="64"/>
      <c r="Q450" s="70"/>
      <c r="R450" s="70"/>
      <c r="S450" s="70"/>
      <c r="T450" s="71"/>
      <c r="U450" s="36"/>
    </row>
    <row r="451" spans="1:21" ht="15.75" customHeight="1" x14ac:dyDescent="0.35">
      <c r="A451" s="56"/>
      <c r="B451" s="110"/>
      <c r="C451" s="103"/>
      <c r="D451" s="92" t="s">
        <v>67</v>
      </c>
      <c r="E451" s="58">
        <v>0</v>
      </c>
      <c r="F451" s="58">
        <v>0</v>
      </c>
      <c r="G451" s="58">
        <v>0</v>
      </c>
      <c r="H451" s="58">
        <v>0</v>
      </c>
      <c r="I451" s="73">
        <f t="shared" si="225"/>
        <v>0</v>
      </c>
      <c r="J451" s="56"/>
      <c r="K451" s="56"/>
      <c r="L451" s="56"/>
      <c r="M451" s="57"/>
      <c r="N451" s="20"/>
      <c r="O451" s="64"/>
      <c r="P451" s="64"/>
      <c r="Q451" s="70"/>
      <c r="R451" s="70"/>
      <c r="S451" s="70"/>
      <c r="T451" s="71"/>
      <c r="U451" s="36"/>
    </row>
    <row r="452" spans="1:21" ht="15.75" customHeight="1" x14ac:dyDescent="0.35">
      <c r="A452" s="63">
        <f>A449+7</f>
        <v>45370</v>
      </c>
      <c r="B452" s="110">
        <f>B449+7</f>
        <v>1019</v>
      </c>
      <c r="C452" s="103" t="str">
        <f>$C$155</f>
        <v>10% FBS R1</v>
      </c>
      <c r="D452" s="91" t="s">
        <v>65</v>
      </c>
      <c r="E452" s="58">
        <v>124</v>
      </c>
      <c r="F452" s="58">
        <v>152</v>
      </c>
      <c r="G452" s="58">
        <v>140</v>
      </c>
      <c r="H452" s="58">
        <v>134</v>
      </c>
      <c r="I452" s="73">
        <f t="shared" si="225"/>
        <v>137.5</v>
      </c>
      <c r="J452" s="74">
        <f>I452*2*10000</f>
        <v>2750000</v>
      </c>
      <c r="K452" s="56">
        <f>$K$155</f>
        <v>3000000</v>
      </c>
      <c r="L452" s="56">
        <f>J452*5</f>
        <v>13750000</v>
      </c>
      <c r="M452" s="76">
        <f>I452/(I452+I453)*100</f>
        <v>94.827586206896555</v>
      </c>
      <c r="N452" s="22">
        <f>I454/I452*100</f>
        <v>0</v>
      </c>
      <c r="O452" s="66">
        <f>3.32*(LOG(L452)-LOG(K452))</f>
        <v>2.1951223922427752</v>
      </c>
      <c r="P452" s="66">
        <f>IF(O452&lt;0,P449,P449+O452)</f>
        <v>359.30101107863641</v>
      </c>
      <c r="Q452" s="68"/>
      <c r="R452" s="68"/>
      <c r="S452" s="69"/>
      <c r="T452" s="68"/>
      <c r="U452" s="36"/>
    </row>
    <row r="453" spans="1:21" ht="15.75" customHeight="1" x14ac:dyDescent="0.35">
      <c r="A453" s="56"/>
      <c r="B453" s="110"/>
      <c r="C453" s="103"/>
      <c r="D453" s="92" t="s">
        <v>66</v>
      </c>
      <c r="E453" s="58">
        <v>6</v>
      </c>
      <c r="F453" s="58">
        <v>6</v>
      </c>
      <c r="G453" s="58">
        <v>8</v>
      </c>
      <c r="H453" s="58">
        <v>10</v>
      </c>
      <c r="I453" s="73">
        <f t="shared" si="225"/>
        <v>7.5</v>
      </c>
      <c r="J453" s="74"/>
      <c r="K453" s="56"/>
      <c r="L453" s="56"/>
      <c r="M453" s="57"/>
      <c r="N453" s="20"/>
      <c r="O453" s="64"/>
      <c r="P453" s="64"/>
      <c r="Q453" s="70"/>
      <c r="R453" s="70"/>
      <c r="S453" s="70"/>
      <c r="T453" s="71"/>
      <c r="U453" s="36"/>
    </row>
    <row r="454" spans="1:21" ht="15.75" customHeight="1" x14ac:dyDescent="0.35">
      <c r="A454" s="56"/>
      <c r="B454" s="110"/>
      <c r="C454" s="103"/>
      <c r="D454" s="92" t="s">
        <v>67</v>
      </c>
      <c r="E454" s="58">
        <v>0</v>
      </c>
      <c r="F454" s="58">
        <v>0</v>
      </c>
      <c r="G454" s="58">
        <v>0</v>
      </c>
      <c r="H454" s="58">
        <v>0</v>
      </c>
      <c r="I454" s="73">
        <f t="shared" si="225"/>
        <v>0</v>
      </c>
      <c r="J454" s="56"/>
      <c r="K454" s="56"/>
      <c r="L454" s="56"/>
      <c r="M454" s="57"/>
      <c r="N454" s="20"/>
      <c r="O454" s="64"/>
      <c r="P454" s="64"/>
      <c r="Q454" s="70"/>
      <c r="R454" s="70"/>
      <c r="S454" s="70"/>
      <c r="T454" s="71"/>
      <c r="U454" s="36"/>
    </row>
    <row r="455" spans="1:21" ht="15.75" customHeight="1" x14ac:dyDescent="0.35">
      <c r="A455" s="63">
        <f t="shared" ref="A455:B455" si="239">A452+7</f>
        <v>45377</v>
      </c>
      <c r="B455" s="110">
        <f t="shared" si="239"/>
        <v>1026</v>
      </c>
      <c r="C455" s="103" t="str">
        <f t="shared" ref="C455" si="240">$C$155</f>
        <v>10% FBS R1</v>
      </c>
      <c r="D455" s="91" t="s">
        <v>65</v>
      </c>
      <c r="E455" s="58">
        <v>194</v>
      </c>
      <c r="F455" s="58">
        <v>182</v>
      </c>
      <c r="G455" s="58">
        <v>190</v>
      </c>
      <c r="H455" s="58">
        <v>193</v>
      </c>
      <c r="I455" s="73">
        <f t="shared" si="225"/>
        <v>189.75</v>
      </c>
      <c r="J455" s="74">
        <f t="shared" ref="J455" si="241">I455*2*10000</f>
        <v>3795000</v>
      </c>
      <c r="K455" s="56">
        <f t="shared" ref="K455" si="242">$K$155</f>
        <v>3000000</v>
      </c>
      <c r="L455" s="56">
        <f t="shared" ref="L455" si="243">J455*5</f>
        <v>18975000</v>
      </c>
      <c r="M455" s="76">
        <f t="shared" ref="M455" si="244">I455/(I455+I456)*100</f>
        <v>94.756554307116104</v>
      </c>
      <c r="N455" s="22">
        <f>I457/I455*100</f>
        <v>0</v>
      </c>
      <c r="O455" s="66">
        <f>3.32*(LOG(L455)-LOG(K455))</f>
        <v>2.6595209590948787</v>
      </c>
      <c r="P455" s="66">
        <f t="shared" ref="P455" si="245">IF(O455&lt;0,P452,P452+O455)</f>
        <v>361.9605320377313</v>
      </c>
      <c r="Q455" s="68"/>
      <c r="R455" s="68"/>
      <c r="S455" s="69"/>
      <c r="T455" s="68"/>
      <c r="U455" s="36"/>
    </row>
    <row r="456" spans="1:21" ht="15.75" customHeight="1" x14ac:dyDescent="0.35">
      <c r="A456" s="56"/>
      <c r="B456" s="110"/>
      <c r="C456" s="103"/>
      <c r="D456" s="92" t="s">
        <v>66</v>
      </c>
      <c r="E456" s="58">
        <v>12</v>
      </c>
      <c r="F456" s="58">
        <v>9</v>
      </c>
      <c r="G456" s="58">
        <v>11</v>
      </c>
      <c r="H456" s="58">
        <v>10</v>
      </c>
      <c r="I456" s="73">
        <f t="shared" si="225"/>
        <v>10.5</v>
      </c>
      <c r="J456" s="74"/>
      <c r="K456" s="56"/>
      <c r="L456" s="56"/>
      <c r="M456" s="57"/>
      <c r="N456" s="2"/>
      <c r="O456" s="64"/>
      <c r="P456" s="64"/>
      <c r="Q456" s="70"/>
      <c r="R456" s="70"/>
      <c r="S456" s="70"/>
      <c r="T456" s="71"/>
      <c r="U456" s="36"/>
    </row>
    <row r="457" spans="1:21" ht="15.75" customHeight="1" x14ac:dyDescent="0.35">
      <c r="A457" s="56"/>
      <c r="B457" s="110"/>
      <c r="C457" s="103"/>
      <c r="D457" s="92" t="s">
        <v>67</v>
      </c>
      <c r="E457" s="58">
        <v>0</v>
      </c>
      <c r="F457" s="58">
        <v>0</v>
      </c>
      <c r="G457" s="58">
        <v>0</v>
      </c>
      <c r="H457" s="58">
        <v>0</v>
      </c>
      <c r="I457" s="73">
        <f t="shared" si="225"/>
        <v>0</v>
      </c>
      <c r="J457" s="56"/>
      <c r="K457" s="56"/>
      <c r="L457" s="56"/>
      <c r="M457" s="57"/>
      <c r="N457" s="2"/>
      <c r="O457" s="64"/>
      <c r="P457" s="64"/>
      <c r="Q457" s="70"/>
      <c r="R457" s="70"/>
      <c r="S457" s="70"/>
      <c r="T457" s="71"/>
      <c r="U457" s="36"/>
    </row>
    <row r="458" spans="1:21" ht="15.75" customHeight="1" x14ac:dyDescent="0.35">
      <c r="A458" s="63">
        <f t="shared" ref="A458:B458" si="246">A455+7</f>
        <v>45384</v>
      </c>
      <c r="B458" s="110">
        <f t="shared" si="246"/>
        <v>1033</v>
      </c>
      <c r="C458" s="103" t="str">
        <f t="shared" ref="C458" si="247">$C$155</f>
        <v>10% FBS R1</v>
      </c>
      <c r="D458" s="91" t="s">
        <v>65</v>
      </c>
      <c r="E458" s="58">
        <v>132</v>
      </c>
      <c r="F458" s="58">
        <v>110</v>
      </c>
      <c r="G458" s="58">
        <v>146</v>
      </c>
      <c r="H458" s="58">
        <v>120</v>
      </c>
      <c r="I458" s="73">
        <f t="shared" si="225"/>
        <v>127</v>
      </c>
      <c r="J458" s="74">
        <f t="shared" ref="J458" si="248">I458*2*10000</f>
        <v>2540000</v>
      </c>
      <c r="K458" s="56">
        <f t="shared" ref="K458" si="249">$K$155</f>
        <v>3000000</v>
      </c>
      <c r="L458" s="56">
        <f t="shared" ref="L458" si="250">J458*5</f>
        <v>12700000</v>
      </c>
      <c r="M458" s="76">
        <f t="shared" ref="M458" si="251">I458/(I458+I459)*100</f>
        <v>96.212121212121218</v>
      </c>
      <c r="N458" s="77">
        <f>I460/I458*100</f>
        <v>0</v>
      </c>
      <c r="O458" s="66">
        <f>3.32*(LOG(L458)-LOG(K458))</f>
        <v>2.0805857879044982</v>
      </c>
      <c r="P458" s="66">
        <f t="shared" ref="P458" si="252">IF(O458&lt;0,P455,P455+O458)</f>
        <v>364.04111782563581</v>
      </c>
      <c r="Q458" s="68"/>
      <c r="R458" s="68"/>
      <c r="S458" s="69"/>
      <c r="T458" s="68"/>
      <c r="U458" s="36"/>
    </row>
    <row r="459" spans="1:21" ht="15.75" customHeight="1" x14ac:dyDescent="0.35">
      <c r="A459" s="56"/>
      <c r="B459" s="110"/>
      <c r="C459" s="103"/>
      <c r="D459" s="92" t="s">
        <v>66</v>
      </c>
      <c r="E459" s="58">
        <v>4</v>
      </c>
      <c r="F459" s="58">
        <v>7</v>
      </c>
      <c r="G459" s="58">
        <v>6</v>
      </c>
      <c r="H459" s="58">
        <v>3</v>
      </c>
      <c r="I459" s="73">
        <f t="shared" si="225"/>
        <v>5</v>
      </c>
      <c r="J459" s="74"/>
      <c r="K459" s="56"/>
      <c r="L459" s="56"/>
      <c r="M459" s="57"/>
      <c r="N459" s="20"/>
      <c r="O459" s="64"/>
      <c r="P459" s="64"/>
      <c r="Q459" s="70"/>
      <c r="R459" s="70"/>
      <c r="S459" s="70"/>
      <c r="T459" s="71"/>
      <c r="U459" s="36"/>
    </row>
    <row r="460" spans="1:21" ht="15.75" customHeight="1" x14ac:dyDescent="0.35">
      <c r="A460" s="56"/>
      <c r="B460" s="110"/>
      <c r="C460" s="103"/>
      <c r="D460" s="92" t="s">
        <v>67</v>
      </c>
      <c r="E460" s="58">
        <v>0</v>
      </c>
      <c r="F460" s="58">
        <v>0</v>
      </c>
      <c r="G460" s="58">
        <v>0</v>
      </c>
      <c r="H460" s="58">
        <v>0</v>
      </c>
      <c r="I460" s="73">
        <f t="shared" si="225"/>
        <v>0</v>
      </c>
      <c r="J460" s="56"/>
      <c r="K460" s="56"/>
      <c r="L460" s="56"/>
      <c r="M460" s="57"/>
      <c r="N460" s="20"/>
      <c r="O460" s="64"/>
      <c r="P460" s="64"/>
      <c r="Q460" s="70"/>
      <c r="R460" s="70"/>
      <c r="S460" s="70"/>
      <c r="T460" s="71"/>
      <c r="U460" s="36"/>
    </row>
    <row r="461" spans="1:21" ht="15.75" customHeight="1" x14ac:dyDescent="0.35">
      <c r="A461" s="63">
        <f t="shared" ref="A461:B461" si="253">A458+7</f>
        <v>45391</v>
      </c>
      <c r="B461" s="110">
        <f t="shared" si="253"/>
        <v>1040</v>
      </c>
      <c r="C461" s="103" t="str">
        <f t="shared" ref="C461" si="254">$C$155</f>
        <v>10% FBS R1</v>
      </c>
      <c r="D461" s="91" t="s">
        <v>65</v>
      </c>
      <c r="E461" s="58">
        <v>125</v>
      </c>
      <c r="F461" s="58">
        <v>127</v>
      </c>
      <c r="G461" s="58">
        <v>132</v>
      </c>
      <c r="H461" s="58">
        <v>140</v>
      </c>
      <c r="I461" s="73">
        <f t="shared" si="225"/>
        <v>131</v>
      </c>
      <c r="J461" s="74">
        <f t="shared" ref="J461" si="255">I461*2*10000</f>
        <v>2620000</v>
      </c>
      <c r="K461" s="56">
        <f t="shared" ref="K461" si="256">$K$155</f>
        <v>3000000</v>
      </c>
      <c r="L461" s="56">
        <f t="shared" ref="L461" si="257">J461*5</f>
        <v>13100000</v>
      </c>
      <c r="M461" s="76">
        <f t="shared" ref="M461" si="258">I461/(I461+I462)*100</f>
        <v>93.238434163701072</v>
      </c>
      <c r="N461" s="22">
        <f>I463/I461*100</f>
        <v>0</v>
      </c>
      <c r="O461" s="66">
        <f>3.32*(LOG(L461)-LOG(K461))</f>
        <v>2.1252981359078582</v>
      </c>
      <c r="P461" s="66">
        <f t="shared" ref="P461" si="259">IF(O461&lt;0,P458,P458+O461)</f>
        <v>366.16641596154369</v>
      </c>
      <c r="Q461" s="68"/>
      <c r="R461" s="68"/>
      <c r="S461" s="69"/>
      <c r="T461" s="68"/>
      <c r="U461" s="36"/>
    </row>
    <row r="462" spans="1:21" ht="15.75" customHeight="1" x14ac:dyDescent="0.35">
      <c r="A462" s="56"/>
      <c r="B462" s="110"/>
      <c r="C462" s="103"/>
      <c r="D462" s="92" t="s">
        <v>66</v>
      </c>
      <c r="E462" s="58">
        <v>10</v>
      </c>
      <c r="F462" s="58">
        <v>7</v>
      </c>
      <c r="G462" s="58">
        <v>9</v>
      </c>
      <c r="H462" s="58">
        <v>12</v>
      </c>
      <c r="I462" s="73">
        <f t="shared" si="225"/>
        <v>9.5</v>
      </c>
      <c r="J462" s="74"/>
      <c r="K462" s="56"/>
      <c r="L462" s="56"/>
      <c r="M462" s="57"/>
      <c r="N462" s="20"/>
      <c r="O462" s="64"/>
      <c r="P462" s="64"/>
      <c r="Q462" s="70"/>
      <c r="R462" s="70"/>
      <c r="S462" s="70"/>
      <c r="T462" s="71"/>
      <c r="U462" s="36"/>
    </row>
    <row r="463" spans="1:21" ht="15.75" customHeight="1" x14ac:dyDescent="0.35">
      <c r="A463" s="56"/>
      <c r="B463" s="110"/>
      <c r="C463" s="103"/>
      <c r="D463" s="92" t="s">
        <v>67</v>
      </c>
      <c r="E463" s="58">
        <v>0</v>
      </c>
      <c r="F463" s="58">
        <v>0</v>
      </c>
      <c r="G463" s="58">
        <v>0</v>
      </c>
      <c r="H463" s="58">
        <v>0</v>
      </c>
      <c r="I463" s="73">
        <f t="shared" si="225"/>
        <v>0</v>
      </c>
      <c r="J463" s="56"/>
      <c r="K463" s="56"/>
      <c r="L463" s="56"/>
      <c r="M463" s="57"/>
      <c r="N463" s="20"/>
      <c r="O463" s="64"/>
      <c r="P463" s="64"/>
      <c r="Q463" s="70"/>
      <c r="R463" s="70"/>
      <c r="S463" s="70"/>
      <c r="T463" s="71"/>
      <c r="U463" s="36"/>
    </row>
    <row r="464" spans="1:21" ht="15.75" customHeight="1" x14ac:dyDescent="0.35">
      <c r="A464" s="63">
        <f t="shared" ref="A464:B464" si="260">A461+7</f>
        <v>45398</v>
      </c>
      <c r="B464" s="110">
        <f t="shared" si="260"/>
        <v>1047</v>
      </c>
      <c r="C464" s="103" t="str">
        <f t="shared" ref="C464:C479" si="261">$C$155</f>
        <v>10% FBS R1</v>
      </c>
      <c r="D464" s="91" t="s">
        <v>65</v>
      </c>
      <c r="E464" s="58">
        <v>112</v>
      </c>
      <c r="F464" s="58">
        <v>132</v>
      </c>
      <c r="G464" s="58">
        <v>109</v>
      </c>
      <c r="H464" s="58">
        <v>117</v>
      </c>
      <c r="I464" s="73">
        <f t="shared" si="225"/>
        <v>117.5</v>
      </c>
      <c r="J464" s="74">
        <f t="shared" ref="J464" si="262">I464*2*10000</f>
        <v>2350000</v>
      </c>
      <c r="K464" s="56">
        <f t="shared" ref="K464:K479" si="263">$K$155</f>
        <v>3000000</v>
      </c>
      <c r="L464" s="56">
        <f t="shared" ref="L464" si="264">J464*5</f>
        <v>11750000</v>
      </c>
      <c r="M464" s="76">
        <f t="shared" ref="M464" si="265">I464/(I464+I465)*100</f>
        <v>90.211132437619952</v>
      </c>
      <c r="N464" s="22">
        <f>I466/I464*100</f>
        <v>0</v>
      </c>
      <c r="O464" s="66">
        <f>3.32*(LOG(L464)-LOG(K464))</f>
        <v>1.9684831514684682</v>
      </c>
      <c r="P464" s="66">
        <f t="shared" ref="P464" si="266">IF(O464&lt;0,P461,P461+O464)</f>
        <v>368.13489911301218</v>
      </c>
      <c r="Q464" s="68"/>
      <c r="R464" s="68"/>
      <c r="S464" s="69"/>
      <c r="T464" s="68"/>
      <c r="U464" s="36"/>
    </row>
    <row r="465" spans="1:21" ht="15.75" customHeight="1" x14ac:dyDescent="0.35">
      <c r="A465" s="56"/>
      <c r="B465" s="110"/>
      <c r="C465" s="103"/>
      <c r="D465" s="92" t="s">
        <v>66</v>
      </c>
      <c r="E465" s="58">
        <v>12</v>
      </c>
      <c r="F465" s="58">
        <v>15</v>
      </c>
      <c r="G465" s="58">
        <v>14</v>
      </c>
      <c r="H465" s="58">
        <v>10</v>
      </c>
      <c r="I465" s="73">
        <f t="shared" si="225"/>
        <v>12.75</v>
      </c>
      <c r="J465" s="74"/>
      <c r="K465" s="56"/>
      <c r="L465" s="56"/>
      <c r="M465" s="57"/>
      <c r="N465" s="20"/>
      <c r="O465" s="64"/>
      <c r="P465" s="64"/>
      <c r="Q465" s="70"/>
      <c r="R465" s="70"/>
      <c r="S465" s="70"/>
      <c r="T465" s="71"/>
      <c r="U465" s="36"/>
    </row>
    <row r="466" spans="1:21" ht="15.75" customHeight="1" x14ac:dyDescent="0.35">
      <c r="A466" s="56"/>
      <c r="B466" s="110"/>
      <c r="C466" s="103"/>
      <c r="D466" s="92" t="s">
        <v>67</v>
      </c>
      <c r="E466" s="58">
        <v>0</v>
      </c>
      <c r="F466" s="58">
        <v>0</v>
      </c>
      <c r="G466" s="58">
        <v>0</v>
      </c>
      <c r="H466" s="58">
        <v>0</v>
      </c>
      <c r="I466" s="73">
        <f t="shared" si="225"/>
        <v>0</v>
      </c>
      <c r="J466" s="56"/>
      <c r="K466" s="56"/>
      <c r="L466" s="56"/>
      <c r="M466" s="57"/>
      <c r="N466" s="20"/>
      <c r="O466" s="64"/>
      <c r="P466" s="64"/>
      <c r="Q466" s="70"/>
      <c r="R466" s="70"/>
      <c r="S466" s="70"/>
      <c r="T466" s="71"/>
      <c r="U466" s="36"/>
    </row>
    <row r="467" spans="1:21" ht="15.75" customHeight="1" x14ac:dyDescent="0.35">
      <c r="A467" s="63">
        <f t="shared" ref="A467:B467" si="267">A464+7</f>
        <v>45405</v>
      </c>
      <c r="B467" s="110">
        <f t="shared" si="267"/>
        <v>1054</v>
      </c>
      <c r="C467" s="103" t="str">
        <f t="shared" si="261"/>
        <v>10% FBS R1</v>
      </c>
      <c r="D467" s="91" t="s">
        <v>65</v>
      </c>
      <c r="E467" s="58">
        <v>161</v>
      </c>
      <c r="F467" s="58">
        <v>177</v>
      </c>
      <c r="G467" s="58">
        <v>163</v>
      </c>
      <c r="H467" s="58">
        <v>176</v>
      </c>
      <c r="I467" s="73">
        <f t="shared" si="225"/>
        <v>169.25</v>
      </c>
      <c r="J467" s="74">
        <f t="shared" ref="J467" si="268">I467*2*10000</f>
        <v>3385000</v>
      </c>
      <c r="K467" s="56">
        <f t="shared" si="263"/>
        <v>3000000</v>
      </c>
      <c r="L467" s="56">
        <f t="shared" ref="L467" si="269">J467*5</f>
        <v>16925000</v>
      </c>
      <c r="M467" s="76">
        <f t="shared" ref="M467" si="270">I467/(I467+I468)*100</f>
        <v>94.421199442119942</v>
      </c>
      <c r="N467" s="22">
        <f>I469/I467*100</f>
        <v>0</v>
      </c>
      <c r="O467" s="66">
        <f>3.32*(LOG(L467)-LOG(K467))</f>
        <v>2.4946726431565636</v>
      </c>
      <c r="P467" s="66">
        <f t="shared" ref="P467" si="271">IF(O467&lt;0,P464,P464+O467)</f>
        <v>370.62957175616873</v>
      </c>
      <c r="Q467" s="68"/>
      <c r="R467" s="68"/>
      <c r="S467" s="69"/>
      <c r="T467" s="68"/>
      <c r="U467" s="36"/>
    </row>
    <row r="468" spans="1:21" ht="15.75" customHeight="1" x14ac:dyDescent="0.35">
      <c r="A468" s="56"/>
      <c r="B468" s="110"/>
      <c r="C468" s="103"/>
      <c r="D468" s="92" t="s">
        <v>66</v>
      </c>
      <c r="E468" s="58">
        <v>13</v>
      </c>
      <c r="F468" s="58">
        <v>7</v>
      </c>
      <c r="G468" s="58">
        <v>11</v>
      </c>
      <c r="H468" s="58">
        <v>9</v>
      </c>
      <c r="I468" s="73">
        <f t="shared" si="225"/>
        <v>10</v>
      </c>
      <c r="J468" s="74"/>
      <c r="K468" s="56"/>
      <c r="L468" s="56"/>
      <c r="M468" s="57"/>
      <c r="N468" s="20"/>
      <c r="O468" s="64"/>
      <c r="P468" s="64"/>
      <c r="Q468" s="70"/>
      <c r="R468" s="70"/>
      <c r="S468" s="70"/>
      <c r="T468" s="71"/>
      <c r="U468" s="36"/>
    </row>
    <row r="469" spans="1:21" ht="15.75" customHeight="1" x14ac:dyDescent="0.35">
      <c r="A469" s="56"/>
      <c r="B469" s="110"/>
      <c r="C469" s="103"/>
      <c r="D469" s="92" t="s">
        <v>67</v>
      </c>
      <c r="E469" s="58">
        <v>0</v>
      </c>
      <c r="F469" s="58">
        <v>0</v>
      </c>
      <c r="G469" s="58">
        <v>0</v>
      </c>
      <c r="H469" s="58">
        <v>0</v>
      </c>
      <c r="I469" s="73">
        <f t="shared" si="225"/>
        <v>0</v>
      </c>
      <c r="J469" s="56"/>
      <c r="K469" s="56"/>
      <c r="L469" s="56"/>
      <c r="M469" s="57"/>
      <c r="N469" s="20"/>
      <c r="O469" s="64"/>
      <c r="P469" s="64"/>
      <c r="Q469" s="70"/>
      <c r="R469" s="70"/>
      <c r="S469" s="70"/>
      <c r="T469" s="71"/>
      <c r="U469" s="36"/>
    </row>
    <row r="470" spans="1:21" ht="15.75" customHeight="1" x14ac:dyDescent="0.35">
      <c r="A470" s="63">
        <f t="shared" ref="A470:B470" si="272">A467+7</f>
        <v>45412</v>
      </c>
      <c r="B470" s="110">
        <f t="shared" si="272"/>
        <v>1061</v>
      </c>
      <c r="C470" s="103" t="str">
        <f t="shared" si="261"/>
        <v>10% FBS R1</v>
      </c>
      <c r="D470" s="91" t="s">
        <v>65</v>
      </c>
      <c r="E470" s="58">
        <v>135</v>
      </c>
      <c r="F470" s="58">
        <v>134</v>
      </c>
      <c r="G470" s="58">
        <v>118</v>
      </c>
      <c r="H470" s="58">
        <v>106</v>
      </c>
      <c r="I470" s="73">
        <f t="shared" si="225"/>
        <v>123.25</v>
      </c>
      <c r="J470" s="74">
        <f t="shared" ref="J470" si="273">I470*2*10000</f>
        <v>2465000</v>
      </c>
      <c r="K470" s="56">
        <f t="shared" si="263"/>
        <v>3000000</v>
      </c>
      <c r="L470" s="56">
        <f t="shared" ref="L470" si="274">J470*5</f>
        <v>12325000</v>
      </c>
      <c r="M470" s="76">
        <f t="shared" ref="M470" si="275">I470/(I470+I471)*100</f>
        <v>95.728155339805824</v>
      </c>
      <c r="N470" s="22">
        <f>I472/I470*100</f>
        <v>0</v>
      </c>
      <c r="O470" s="66">
        <f>3.32*(LOG(L470)-LOG(K470))</f>
        <v>2.0373700351222874</v>
      </c>
      <c r="P470" s="66">
        <f t="shared" ref="P470" si="276">IF(O470&lt;0,P467,P467+O470)</f>
        <v>372.66694179129104</v>
      </c>
      <c r="Q470" s="68"/>
      <c r="R470" s="68"/>
      <c r="S470" s="69"/>
      <c r="T470" s="68"/>
      <c r="U470" s="36"/>
    </row>
    <row r="471" spans="1:21" ht="15.75" customHeight="1" x14ac:dyDescent="0.35">
      <c r="A471" s="56"/>
      <c r="B471" s="110"/>
      <c r="C471" s="103"/>
      <c r="D471" s="92" t="s">
        <v>66</v>
      </c>
      <c r="E471" s="58">
        <v>4</v>
      </c>
      <c r="F471" s="58">
        <v>7</v>
      </c>
      <c r="G471" s="58">
        <v>3</v>
      </c>
      <c r="H471" s="58">
        <v>8</v>
      </c>
      <c r="I471" s="73">
        <f t="shared" si="225"/>
        <v>5.5</v>
      </c>
      <c r="J471" s="74"/>
      <c r="K471" s="56"/>
      <c r="L471" s="56"/>
      <c r="M471" s="57"/>
      <c r="N471" s="20"/>
      <c r="O471" s="64"/>
      <c r="P471" s="64"/>
      <c r="Q471" s="70"/>
      <c r="R471" s="70"/>
      <c r="S471" s="70"/>
      <c r="T471" s="71"/>
      <c r="U471" s="36"/>
    </row>
    <row r="472" spans="1:21" ht="15.75" customHeight="1" x14ac:dyDescent="0.35">
      <c r="A472" s="56"/>
      <c r="B472" s="110"/>
      <c r="C472" s="103"/>
      <c r="D472" s="92" t="s">
        <v>67</v>
      </c>
      <c r="E472" s="58">
        <v>0</v>
      </c>
      <c r="F472" s="58">
        <v>0</v>
      </c>
      <c r="G472" s="58">
        <v>0</v>
      </c>
      <c r="H472" s="58">
        <v>0</v>
      </c>
      <c r="I472" s="73">
        <f t="shared" si="225"/>
        <v>0</v>
      </c>
      <c r="J472" s="56"/>
      <c r="K472" s="56"/>
      <c r="L472" s="56"/>
      <c r="M472" s="57"/>
      <c r="N472" s="20"/>
      <c r="O472" s="64"/>
      <c r="P472" s="64"/>
      <c r="Q472" s="70"/>
      <c r="R472" s="70"/>
      <c r="S472" s="70"/>
      <c r="T472" s="71"/>
      <c r="U472" s="36"/>
    </row>
    <row r="473" spans="1:21" ht="15.75" customHeight="1" x14ac:dyDescent="0.35">
      <c r="A473" s="63">
        <f t="shared" ref="A473:B473" si="277">A470+7</f>
        <v>45419</v>
      </c>
      <c r="B473" s="110">
        <f t="shared" si="277"/>
        <v>1068</v>
      </c>
      <c r="C473" s="103" t="str">
        <f t="shared" si="261"/>
        <v>10% FBS R1</v>
      </c>
      <c r="D473" s="91" t="s">
        <v>65</v>
      </c>
      <c r="E473" s="58">
        <v>231</v>
      </c>
      <c r="F473" s="58">
        <v>229</v>
      </c>
      <c r="G473" s="58">
        <v>223</v>
      </c>
      <c r="H473" s="58">
        <v>235</v>
      </c>
      <c r="I473" s="73">
        <f t="shared" si="225"/>
        <v>229.5</v>
      </c>
      <c r="J473" s="74">
        <f t="shared" ref="J473" si="278">I473*2*10000</f>
        <v>4590000</v>
      </c>
      <c r="K473" s="56">
        <f t="shared" si="263"/>
        <v>3000000</v>
      </c>
      <c r="L473" s="56">
        <f t="shared" ref="L473" si="279">J473*5</f>
        <v>22950000</v>
      </c>
      <c r="M473" s="76">
        <f t="shared" ref="M473" si="280">I473/(I473+I474)*100</f>
        <v>93.387589013224826</v>
      </c>
      <c r="N473" s="22">
        <f>I475/I473*100</f>
        <v>0</v>
      </c>
      <c r="O473" s="66">
        <f>3.32*(LOG(L473)-LOG(K473))</f>
        <v>2.9337559647100089</v>
      </c>
      <c r="P473" s="66">
        <f t="shared" ref="P473" si="281">IF(O473&lt;0,P470,P470+O473)</f>
        <v>375.60069775600107</v>
      </c>
      <c r="Q473" s="68"/>
      <c r="R473" s="68"/>
      <c r="S473" s="69"/>
      <c r="T473" s="68"/>
      <c r="U473" s="36"/>
    </row>
    <row r="474" spans="1:21" ht="15.75" customHeight="1" x14ac:dyDescent="0.35">
      <c r="A474" s="56"/>
      <c r="B474" s="110"/>
      <c r="C474" s="103"/>
      <c r="D474" s="92" t="s">
        <v>66</v>
      </c>
      <c r="E474" s="58">
        <v>12</v>
      </c>
      <c r="F474" s="58">
        <v>20</v>
      </c>
      <c r="G474" s="58">
        <v>15</v>
      </c>
      <c r="H474" s="58">
        <v>18</v>
      </c>
      <c r="I474" s="73">
        <f t="shared" si="225"/>
        <v>16.25</v>
      </c>
      <c r="J474" s="74"/>
      <c r="K474" s="56"/>
      <c r="L474" s="56"/>
      <c r="M474" s="57"/>
      <c r="N474" s="2"/>
      <c r="O474" s="64"/>
      <c r="P474" s="64"/>
      <c r="Q474" s="70"/>
      <c r="R474" s="70"/>
      <c r="S474" s="70"/>
      <c r="T474" s="71"/>
      <c r="U474" s="36"/>
    </row>
    <row r="475" spans="1:21" ht="15.75" customHeight="1" x14ac:dyDescent="0.35">
      <c r="A475" s="56"/>
      <c r="B475" s="110"/>
      <c r="C475" s="103"/>
      <c r="D475" s="92" t="s">
        <v>67</v>
      </c>
      <c r="E475" s="58">
        <v>0</v>
      </c>
      <c r="F475" s="58">
        <v>0</v>
      </c>
      <c r="G475" s="58">
        <v>0</v>
      </c>
      <c r="H475" s="58">
        <v>0</v>
      </c>
      <c r="I475" s="73">
        <f t="shared" si="225"/>
        <v>0</v>
      </c>
      <c r="J475" s="56"/>
      <c r="K475" s="56"/>
      <c r="L475" s="56"/>
      <c r="M475" s="57"/>
      <c r="N475" s="2"/>
      <c r="O475" s="64"/>
      <c r="P475" s="64"/>
      <c r="Q475" s="70"/>
      <c r="R475" s="70"/>
      <c r="S475" s="70"/>
      <c r="T475" s="71"/>
      <c r="U475" s="36"/>
    </row>
    <row r="476" spans="1:21" ht="15.75" customHeight="1" x14ac:dyDescent="0.35">
      <c r="A476" s="63">
        <f t="shared" ref="A476:B476" si="282">A473+7</f>
        <v>45426</v>
      </c>
      <c r="B476" s="110">
        <f t="shared" si="282"/>
        <v>1075</v>
      </c>
      <c r="C476" s="103" t="str">
        <f t="shared" si="261"/>
        <v>10% FBS R1</v>
      </c>
      <c r="D476" s="91" t="s">
        <v>65</v>
      </c>
      <c r="E476" s="58">
        <v>160</v>
      </c>
      <c r="F476" s="58">
        <v>124</v>
      </c>
      <c r="G476" s="58">
        <v>149</v>
      </c>
      <c r="H476" s="58">
        <v>154</v>
      </c>
      <c r="I476" s="73">
        <f t="shared" si="225"/>
        <v>146.75</v>
      </c>
      <c r="J476" s="74">
        <f t="shared" ref="J476" si="283">I476*2*10000</f>
        <v>2935000</v>
      </c>
      <c r="K476" s="56">
        <f t="shared" si="263"/>
        <v>3000000</v>
      </c>
      <c r="L476" s="56">
        <f t="shared" ref="L476" si="284">J476*5</f>
        <v>14675000</v>
      </c>
      <c r="M476" s="76">
        <f t="shared" ref="M476" si="285">I476/(I476+I477)*100</f>
        <v>91.575663026521056</v>
      </c>
      <c r="N476" s="77">
        <f>I478/I476*100</f>
        <v>0</v>
      </c>
      <c r="O476" s="66">
        <f>3.32*(LOG(L476)-LOG(K476))</f>
        <v>2.288996759263966</v>
      </c>
      <c r="P476" s="66">
        <f t="shared" ref="P476" si="286">IF(O476&lt;0,P473,P473+O476)</f>
        <v>377.88969451526503</v>
      </c>
      <c r="Q476" s="68"/>
      <c r="R476" s="68"/>
      <c r="S476" s="69"/>
      <c r="T476" s="68"/>
      <c r="U476" s="36"/>
    </row>
    <row r="477" spans="1:21" ht="15.75" customHeight="1" x14ac:dyDescent="0.35">
      <c r="A477" s="56"/>
      <c r="B477" s="110"/>
      <c r="C477" s="103"/>
      <c r="D477" s="92" t="s">
        <v>66</v>
      </c>
      <c r="E477" s="58">
        <v>12</v>
      </c>
      <c r="F477" s="58">
        <v>14</v>
      </c>
      <c r="G477" s="58">
        <v>16</v>
      </c>
      <c r="H477" s="58">
        <v>12</v>
      </c>
      <c r="I477" s="73">
        <f t="shared" si="225"/>
        <v>13.5</v>
      </c>
      <c r="J477" s="74"/>
      <c r="K477" s="56"/>
      <c r="L477" s="56"/>
      <c r="M477" s="57"/>
      <c r="N477" s="20"/>
      <c r="O477" s="64"/>
      <c r="P477" s="64"/>
      <c r="Q477" s="70"/>
      <c r="R477" s="70"/>
      <c r="S477" s="70"/>
      <c r="T477" s="71"/>
      <c r="U477" s="36"/>
    </row>
    <row r="478" spans="1:21" ht="15.75" customHeight="1" x14ac:dyDescent="0.35">
      <c r="A478" s="56"/>
      <c r="B478" s="110"/>
      <c r="C478" s="103"/>
      <c r="D478" s="92" t="s">
        <v>67</v>
      </c>
      <c r="E478" s="58">
        <v>0</v>
      </c>
      <c r="F478" s="58">
        <v>0</v>
      </c>
      <c r="G478" s="58">
        <v>0</v>
      </c>
      <c r="H478" s="58">
        <v>0</v>
      </c>
      <c r="I478" s="73">
        <f t="shared" si="225"/>
        <v>0</v>
      </c>
      <c r="J478" s="56"/>
      <c r="K478" s="56"/>
      <c r="L478" s="56"/>
      <c r="M478" s="57"/>
      <c r="N478" s="20"/>
      <c r="O478" s="64"/>
      <c r="P478" s="64"/>
      <c r="Q478" s="70"/>
      <c r="R478" s="70"/>
      <c r="S478" s="70"/>
      <c r="T478" s="71"/>
      <c r="U478" s="36"/>
    </row>
    <row r="479" spans="1:21" ht="15.75" customHeight="1" x14ac:dyDescent="0.35">
      <c r="A479" s="63">
        <f t="shared" ref="A479:B479" si="287">A476+7</f>
        <v>45433</v>
      </c>
      <c r="B479" s="110">
        <f t="shared" si="287"/>
        <v>1082</v>
      </c>
      <c r="C479" s="103" t="str">
        <f t="shared" si="261"/>
        <v>10% FBS R1</v>
      </c>
      <c r="D479" s="91" t="s">
        <v>65</v>
      </c>
      <c r="E479" s="58">
        <v>159</v>
      </c>
      <c r="F479" s="58">
        <v>193</v>
      </c>
      <c r="G479" s="58">
        <v>168</v>
      </c>
      <c r="H479" s="58">
        <v>176</v>
      </c>
      <c r="I479" s="73">
        <f t="shared" si="225"/>
        <v>174</v>
      </c>
      <c r="J479" s="74">
        <f t="shared" ref="J479" si="288">I479*2*10000</f>
        <v>3480000</v>
      </c>
      <c r="K479" s="56">
        <f t="shared" si="263"/>
        <v>3000000</v>
      </c>
      <c r="L479" s="56">
        <f t="shared" ref="L479" si="289">J479*5</f>
        <v>17400000</v>
      </c>
      <c r="M479" s="76">
        <f t="shared" ref="M479" si="290">I479/(I479+I480)*100</f>
        <v>89.345314505776642</v>
      </c>
      <c r="N479" s="22">
        <f>I481/I479*100</f>
        <v>0</v>
      </c>
      <c r="O479" s="66">
        <f>3.32*(LOG(L479)-LOG(K479))</f>
        <v>2.5345809386289502</v>
      </c>
      <c r="P479" s="66">
        <f t="shared" ref="P479" si="291">IF(O479&lt;0,P476,P476+O479)</f>
        <v>380.42427545389398</v>
      </c>
      <c r="Q479" s="68"/>
      <c r="R479" s="68"/>
      <c r="S479" s="69"/>
      <c r="T479" s="68"/>
      <c r="U479" s="36"/>
    </row>
    <row r="480" spans="1:21" ht="15.75" customHeight="1" x14ac:dyDescent="0.35">
      <c r="A480" s="56"/>
      <c r="B480" s="110"/>
      <c r="C480" s="103"/>
      <c r="D480" s="92" t="s">
        <v>66</v>
      </c>
      <c r="E480" s="58">
        <v>18</v>
      </c>
      <c r="F480" s="58">
        <v>23</v>
      </c>
      <c r="G480" s="58">
        <v>26</v>
      </c>
      <c r="H480" s="58">
        <v>16</v>
      </c>
      <c r="I480" s="73">
        <f t="shared" si="225"/>
        <v>20.75</v>
      </c>
      <c r="J480" s="74"/>
      <c r="K480" s="56"/>
      <c r="L480" s="56"/>
      <c r="M480" s="57"/>
      <c r="N480" s="20"/>
      <c r="O480" s="64"/>
      <c r="P480" s="64"/>
      <c r="Q480" s="70"/>
      <c r="R480" s="70"/>
      <c r="S480" s="70"/>
      <c r="T480" s="71"/>
      <c r="U480" s="36"/>
    </row>
    <row r="481" spans="1:21" ht="15.75" customHeight="1" x14ac:dyDescent="0.35">
      <c r="A481" s="56"/>
      <c r="B481" s="110"/>
      <c r="C481" s="103"/>
      <c r="D481" s="92" t="s">
        <v>67</v>
      </c>
      <c r="E481" s="58">
        <v>0</v>
      </c>
      <c r="F481" s="58">
        <v>0</v>
      </c>
      <c r="G481" s="58">
        <v>0</v>
      </c>
      <c r="H481" s="58">
        <v>0</v>
      </c>
      <c r="I481" s="73">
        <f t="shared" si="225"/>
        <v>0</v>
      </c>
      <c r="J481" s="56"/>
      <c r="K481" s="56"/>
      <c r="L481" s="56"/>
      <c r="M481" s="57"/>
      <c r="N481" s="20"/>
      <c r="O481" s="64"/>
      <c r="P481" s="64"/>
      <c r="Q481" s="70"/>
      <c r="R481" s="70"/>
      <c r="S481" s="70"/>
      <c r="T481" s="71"/>
      <c r="U481" s="36"/>
    </row>
    <row r="482" spans="1:21" ht="15.75" customHeight="1" x14ac:dyDescent="0.35">
      <c r="A482" s="63">
        <f t="shared" ref="A482:B482" si="292">A479+7</f>
        <v>45440</v>
      </c>
      <c r="B482" s="110">
        <f t="shared" si="292"/>
        <v>1089</v>
      </c>
      <c r="C482" s="103" t="str">
        <f t="shared" ref="C482:C485" si="293">$C$155</f>
        <v>10% FBS R1</v>
      </c>
      <c r="D482" s="91" t="s">
        <v>65</v>
      </c>
      <c r="E482" s="58">
        <v>169</v>
      </c>
      <c r="F482" s="58">
        <v>172</v>
      </c>
      <c r="G482" s="58">
        <v>157</v>
      </c>
      <c r="H482" s="58">
        <v>163</v>
      </c>
      <c r="I482" s="73">
        <f t="shared" si="225"/>
        <v>165.25</v>
      </c>
      <c r="J482" s="74">
        <f t="shared" ref="J482" si="294">I482*2*10000</f>
        <v>3305000</v>
      </c>
      <c r="K482" s="56">
        <f t="shared" ref="K482:K485" si="295">$K$155</f>
        <v>3000000</v>
      </c>
      <c r="L482" s="56">
        <f t="shared" ref="L482" si="296">J482*5</f>
        <v>16525000</v>
      </c>
      <c r="M482" s="76">
        <f t="shared" ref="M482" si="297">I482/(I482+I483)*100</f>
        <v>87.318361955085862</v>
      </c>
      <c r="N482" s="22">
        <f>I484/I482*100</f>
        <v>0</v>
      </c>
      <c r="O482" s="66">
        <f>3.32*(LOG(L482)-LOG(K482))</f>
        <v>2.4601871086142113</v>
      </c>
      <c r="P482" s="66">
        <f t="shared" ref="P482" si="298">IF(O482&lt;0,P479,P479+O482)</f>
        <v>382.88446256250819</v>
      </c>
      <c r="Q482" s="68"/>
      <c r="R482" s="68"/>
      <c r="S482" s="69"/>
      <c r="T482" s="68"/>
      <c r="U482" s="36"/>
    </row>
    <row r="483" spans="1:21" ht="15.75" customHeight="1" x14ac:dyDescent="0.35">
      <c r="A483" s="56"/>
      <c r="B483" s="110"/>
      <c r="C483" s="103"/>
      <c r="D483" s="92" t="s">
        <v>66</v>
      </c>
      <c r="E483" s="58">
        <v>17</v>
      </c>
      <c r="F483" s="58">
        <v>30</v>
      </c>
      <c r="G483" s="58">
        <v>26</v>
      </c>
      <c r="H483" s="58">
        <v>23</v>
      </c>
      <c r="I483" s="73">
        <f t="shared" si="225"/>
        <v>24</v>
      </c>
      <c r="J483" s="74"/>
      <c r="K483" s="56"/>
      <c r="L483" s="56"/>
      <c r="M483" s="57"/>
      <c r="N483" s="20"/>
      <c r="O483" s="64"/>
      <c r="P483" s="64"/>
      <c r="Q483" s="70"/>
      <c r="R483" s="70"/>
      <c r="S483" s="70"/>
      <c r="T483" s="71"/>
      <c r="U483" s="36"/>
    </row>
    <row r="484" spans="1:21" ht="15.75" customHeight="1" x14ac:dyDescent="0.35">
      <c r="A484" s="56"/>
      <c r="B484" s="110"/>
      <c r="C484" s="103"/>
      <c r="D484" s="92" t="s">
        <v>67</v>
      </c>
      <c r="E484" s="58">
        <v>0</v>
      </c>
      <c r="F484" s="58">
        <v>0</v>
      </c>
      <c r="G484" s="58">
        <v>0</v>
      </c>
      <c r="H484" s="58">
        <v>0</v>
      </c>
      <c r="I484" s="73">
        <f t="shared" si="225"/>
        <v>0</v>
      </c>
      <c r="J484" s="56"/>
      <c r="K484" s="56"/>
      <c r="L484" s="56"/>
      <c r="M484" s="57"/>
      <c r="N484" s="20"/>
      <c r="O484" s="64"/>
      <c r="P484" s="64"/>
      <c r="Q484" s="70"/>
      <c r="R484" s="70"/>
      <c r="S484" s="70"/>
      <c r="T484" s="71"/>
      <c r="U484" s="36"/>
    </row>
    <row r="485" spans="1:21" ht="15.75" customHeight="1" x14ac:dyDescent="0.35">
      <c r="A485" s="63">
        <f t="shared" ref="A485:B485" si="299">A482+7</f>
        <v>45447</v>
      </c>
      <c r="B485" s="110">
        <f t="shared" si="299"/>
        <v>1096</v>
      </c>
      <c r="C485" s="103" t="str">
        <f t="shared" si="293"/>
        <v>10% FBS R1</v>
      </c>
      <c r="D485" s="91" t="s">
        <v>65</v>
      </c>
      <c r="E485" s="58">
        <v>226</v>
      </c>
      <c r="F485" s="58">
        <v>241</v>
      </c>
      <c r="G485" s="58">
        <v>239</v>
      </c>
      <c r="H485" s="58">
        <v>242</v>
      </c>
      <c r="I485" s="73">
        <f t="shared" si="225"/>
        <v>237</v>
      </c>
      <c r="J485" s="74">
        <f t="shared" ref="J485" si="300">I485*2*10000</f>
        <v>4740000</v>
      </c>
      <c r="K485" s="56">
        <f t="shared" si="295"/>
        <v>3000000</v>
      </c>
      <c r="L485" s="56">
        <f t="shared" ref="L485" si="301">J485*5</f>
        <v>23700000</v>
      </c>
      <c r="M485" s="76">
        <f t="shared" ref="M485" si="302">I485/(I485+I486)*100</f>
        <v>84.117125110913932</v>
      </c>
      <c r="N485" s="22">
        <f>I487/I485*100</f>
        <v>0</v>
      </c>
      <c r="O485" s="66">
        <f>3.32*(LOG(L485)-LOG(K485))</f>
        <v>2.9801219430842636</v>
      </c>
      <c r="P485" s="66">
        <f t="shared" ref="P485" si="303">IF(O485&lt;0,P482,P482+O485)</f>
        <v>385.86458450559246</v>
      </c>
      <c r="Q485" s="68"/>
      <c r="R485" s="68"/>
      <c r="S485" s="69"/>
      <c r="T485" s="68"/>
      <c r="U485" s="36"/>
    </row>
    <row r="486" spans="1:21" ht="15.75" customHeight="1" x14ac:dyDescent="0.35">
      <c r="A486" s="56"/>
      <c r="B486" s="110"/>
      <c r="C486" s="103"/>
      <c r="D486" s="92" t="s">
        <v>66</v>
      </c>
      <c r="E486" s="58">
        <v>46</v>
      </c>
      <c r="F486" s="58">
        <v>31</v>
      </c>
      <c r="G486" s="58">
        <v>50</v>
      </c>
      <c r="H486" s="58">
        <v>52</v>
      </c>
      <c r="I486" s="73">
        <f t="shared" si="225"/>
        <v>44.75</v>
      </c>
      <c r="J486" s="74"/>
      <c r="K486" s="56"/>
      <c r="L486" s="56"/>
      <c r="M486" s="57"/>
      <c r="N486" s="20"/>
      <c r="O486" s="64"/>
      <c r="P486" s="64"/>
      <c r="Q486" s="70"/>
      <c r="R486" s="70"/>
      <c r="S486" s="70"/>
      <c r="T486" s="71"/>
      <c r="U486" s="36"/>
    </row>
    <row r="487" spans="1:21" ht="15.75" customHeight="1" x14ac:dyDescent="0.35">
      <c r="A487" s="56"/>
      <c r="B487" s="110"/>
      <c r="C487" s="103"/>
      <c r="D487" s="92" t="s">
        <v>67</v>
      </c>
      <c r="E487" s="58">
        <v>0</v>
      </c>
      <c r="F487" s="58">
        <v>0</v>
      </c>
      <c r="G487" s="58">
        <v>0</v>
      </c>
      <c r="H487" s="58">
        <v>0</v>
      </c>
      <c r="I487" s="73">
        <f t="shared" si="225"/>
        <v>0</v>
      </c>
      <c r="J487" s="56"/>
      <c r="K487" s="56"/>
      <c r="L487" s="56"/>
      <c r="M487" s="57"/>
      <c r="N487" s="20"/>
      <c r="O487" s="64"/>
      <c r="P487" s="64"/>
      <c r="Q487" s="70"/>
      <c r="R487" s="70"/>
      <c r="S487" s="70"/>
      <c r="T487" s="71"/>
      <c r="U487" s="36"/>
    </row>
    <row r="488" spans="1:21" ht="15.75" customHeight="1" x14ac:dyDescent="0.35">
      <c r="A488" s="63">
        <f t="shared" ref="A488:B488" si="304">A485+7</f>
        <v>45454</v>
      </c>
      <c r="B488" s="110">
        <f t="shared" si="304"/>
        <v>1103</v>
      </c>
      <c r="C488" s="103" t="str">
        <f t="shared" ref="C488:C491" si="305">$C$155</f>
        <v>10% FBS R1</v>
      </c>
      <c r="D488" s="91" t="s">
        <v>65</v>
      </c>
      <c r="E488" s="58">
        <v>210</v>
      </c>
      <c r="F488" s="58">
        <v>216</v>
      </c>
      <c r="G488" s="58">
        <v>199</v>
      </c>
      <c r="H488" s="58">
        <v>207</v>
      </c>
      <c r="I488" s="73">
        <f t="shared" si="225"/>
        <v>208</v>
      </c>
      <c r="J488" s="74">
        <f t="shared" ref="J488" si="306">I488*2*10000</f>
        <v>4160000</v>
      </c>
      <c r="K488" s="56">
        <f t="shared" ref="K488:K491" si="307">$K$155</f>
        <v>3000000</v>
      </c>
      <c r="L488" s="56">
        <f t="shared" ref="L488" si="308">J488*5</f>
        <v>20800000</v>
      </c>
      <c r="M488" s="76">
        <f t="shared" ref="M488" si="309">I488/(I488+I489)*100</f>
        <v>74.285714285714292</v>
      </c>
      <c r="N488" s="22">
        <f>I490/I488*100</f>
        <v>0</v>
      </c>
      <c r="O488" s="66">
        <f>3.32*(LOG(L488)-LOG(K488))</f>
        <v>2.7919277064070895</v>
      </c>
      <c r="P488" s="66">
        <f t="shared" ref="P488" si="310">IF(O488&lt;0,P485,P485+O488)</f>
        <v>388.65651221199954</v>
      </c>
      <c r="Q488" s="68"/>
      <c r="R488" s="68"/>
      <c r="S488" s="69"/>
      <c r="T488" s="68"/>
      <c r="U488" s="36"/>
    </row>
    <row r="489" spans="1:21" ht="15.75" customHeight="1" x14ac:dyDescent="0.35">
      <c r="A489" s="56"/>
      <c r="B489" s="110"/>
      <c r="C489" s="103"/>
      <c r="D489" s="92" t="s">
        <v>66</v>
      </c>
      <c r="E489" s="58">
        <v>75</v>
      </c>
      <c r="F489" s="58">
        <v>64</v>
      </c>
      <c r="G489" s="58">
        <v>78</v>
      </c>
      <c r="H489" s="58">
        <v>71</v>
      </c>
      <c r="I489" s="73">
        <f t="shared" si="225"/>
        <v>72</v>
      </c>
      <c r="J489" s="74"/>
      <c r="K489" s="56"/>
      <c r="L489" s="56"/>
      <c r="M489" s="57"/>
      <c r="N489" s="20"/>
      <c r="O489" s="64"/>
      <c r="P489" s="64"/>
      <c r="Q489" s="70"/>
      <c r="R489" s="70"/>
      <c r="S489" s="70"/>
      <c r="T489" s="71"/>
      <c r="U489" s="36"/>
    </row>
    <row r="490" spans="1:21" ht="15.75" customHeight="1" x14ac:dyDescent="0.35">
      <c r="A490" s="56"/>
      <c r="B490" s="110"/>
      <c r="C490" s="103"/>
      <c r="D490" s="92" t="s">
        <v>67</v>
      </c>
      <c r="E490" s="58">
        <v>0</v>
      </c>
      <c r="F490" s="58">
        <v>0</v>
      </c>
      <c r="G490" s="58">
        <v>0</v>
      </c>
      <c r="H490" s="58">
        <v>0</v>
      </c>
      <c r="I490" s="73">
        <f t="shared" si="225"/>
        <v>0</v>
      </c>
      <c r="J490" s="56"/>
      <c r="K490" s="56"/>
      <c r="L490" s="56"/>
      <c r="M490" s="57"/>
      <c r="N490" s="20"/>
      <c r="O490" s="64"/>
      <c r="P490" s="64"/>
      <c r="Q490" s="70"/>
      <c r="R490" s="70"/>
      <c r="S490" s="70"/>
      <c r="T490" s="71"/>
      <c r="U490" s="36"/>
    </row>
    <row r="491" spans="1:21" ht="15.75" customHeight="1" x14ac:dyDescent="0.35">
      <c r="A491" s="63">
        <f t="shared" ref="A491:B491" si="311">A488+7</f>
        <v>45461</v>
      </c>
      <c r="B491" s="110">
        <f t="shared" si="311"/>
        <v>1110</v>
      </c>
      <c r="C491" s="103" t="str">
        <f t="shared" si="305"/>
        <v>10% FBS R1</v>
      </c>
      <c r="D491" s="91" t="s">
        <v>65</v>
      </c>
      <c r="E491" s="58">
        <v>161</v>
      </c>
      <c r="F491" s="58">
        <v>157</v>
      </c>
      <c r="G491" s="58">
        <v>153</v>
      </c>
      <c r="H491" s="58">
        <v>147</v>
      </c>
      <c r="I491" s="73">
        <f t="shared" si="225"/>
        <v>154.5</v>
      </c>
      <c r="J491" s="74">
        <f t="shared" ref="J491" si="312">I491*2*10000</f>
        <v>3090000</v>
      </c>
      <c r="K491" s="56">
        <f t="shared" si="307"/>
        <v>3000000</v>
      </c>
      <c r="L491" s="56">
        <f t="shared" ref="L491" si="313">J491*5</f>
        <v>15450000</v>
      </c>
      <c r="M491" s="76">
        <f t="shared" ref="M491" si="314">I491/(I491+I492)*100</f>
        <v>89.306358381502889</v>
      </c>
      <c r="N491" s="22">
        <f>I493/I491*100</f>
        <v>0</v>
      </c>
      <c r="O491" s="66">
        <f>3.32*(LOG(L491)-LOG(K491))</f>
        <v>2.3632000004167533</v>
      </c>
      <c r="P491" s="66">
        <f t="shared" ref="P491" si="315">IF(O491&lt;0,P488,P488+O491)</f>
        <v>391.01971221241627</v>
      </c>
      <c r="Q491" s="68"/>
      <c r="R491" s="68"/>
      <c r="S491" s="69"/>
      <c r="T491" s="68"/>
      <c r="U491" s="36"/>
    </row>
    <row r="492" spans="1:21" ht="15.75" customHeight="1" x14ac:dyDescent="0.35">
      <c r="A492" s="56"/>
      <c r="B492" s="110"/>
      <c r="C492" s="103"/>
      <c r="D492" s="92" t="s">
        <v>66</v>
      </c>
      <c r="E492" s="58">
        <v>19</v>
      </c>
      <c r="F492" s="58">
        <v>17</v>
      </c>
      <c r="G492" s="58">
        <v>25</v>
      </c>
      <c r="H492" s="58">
        <v>13</v>
      </c>
      <c r="I492" s="73">
        <f t="shared" si="225"/>
        <v>18.5</v>
      </c>
      <c r="J492" s="74"/>
      <c r="K492" s="56"/>
      <c r="L492" s="56"/>
      <c r="M492" s="57"/>
      <c r="N492" s="2"/>
      <c r="O492" s="64"/>
      <c r="P492" s="64"/>
      <c r="Q492" s="70"/>
      <c r="R492" s="70"/>
      <c r="S492" s="70"/>
      <c r="T492" s="71"/>
      <c r="U492" s="36"/>
    </row>
    <row r="493" spans="1:21" ht="15.75" customHeight="1" x14ac:dyDescent="0.35">
      <c r="A493" s="56"/>
      <c r="B493" s="110"/>
      <c r="C493" s="103"/>
      <c r="D493" s="92" t="s">
        <v>67</v>
      </c>
      <c r="E493" s="58">
        <v>0</v>
      </c>
      <c r="F493" s="58">
        <v>0</v>
      </c>
      <c r="G493" s="58">
        <v>0</v>
      </c>
      <c r="H493" s="58">
        <v>0</v>
      </c>
      <c r="I493" s="73">
        <f t="shared" si="225"/>
        <v>0</v>
      </c>
      <c r="J493" s="56"/>
      <c r="K493" s="56"/>
      <c r="L493" s="56"/>
      <c r="M493" s="57"/>
      <c r="N493" s="2"/>
      <c r="O493" s="64"/>
      <c r="P493" s="64"/>
      <c r="Q493" s="70"/>
      <c r="R493" s="70"/>
      <c r="S493" s="70"/>
      <c r="T493" s="71"/>
      <c r="U493" s="36"/>
    </row>
    <row r="494" spans="1:21" ht="15.75" customHeight="1" x14ac:dyDescent="0.35">
      <c r="A494" s="63">
        <f t="shared" ref="A494:B494" si="316">A491+7</f>
        <v>45468</v>
      </c>
      <c r="B494" s="110">
        <f t="shared" si="316"/>
        <v>1117</v>
      </c>
      <c r="C494" s="103" t="str">
        <f t="shared" ref="C494:C500" si="317">$C$155</f>
        <v>10% FBS R1</v>
      </c>
      <c r="D494" s="91" t="s">
        <v>65</v>
      </c>
      <c r="E494" s="58">
        <v>133</v>
      </c>
      <c r="F494" s="58">
        <v>132</v>
      </c>
      <c r="G494" s="58">
        <v>140</v>
      </c>
      <c r="H494" s="58">
        <v>129</v>
      </c>
      <c r="I494" s="73">
        <f t="shared" si="225"/>
        <v>133.5</v>
      </c>
      <c r="J494" s="74">
        <f t="shared" ref="J494" si="318">I494*2*10000</f>
        <v>2670000</v>
      </c>
      <c r="K494" s="56">
        <f t="shared" ref="K494:K500" si="319">$K$155</f>
        <v>3000000</v>
      </c>
      <c r="L494" s="56">
        <f t="shared" ref="L494" si="320">J494*5</f>
        <v>13350000</v>
      </c>
      <c r="M494" s="76">
        <f t="shared" ref="M494" si="321">I494/(I494+I495)*100</f>
        <v>96.389891696750908</v>
      </c>
      <c r="N494" s="77">
        <f>I496/I494*100</f>
        <v>0</v>
      </c>
      <c r="O494" s="66">
        <f>3.32*(LOG(L494)-LOG(K494))</f>
        <v>2.1525552364566911</v>
      </c>
      <c r="P494" s="66">
        <f t="shared" ref="P494" si="322">IF(O494&lt;0,P491,P491+O494)</f>
        <v>393.17226744887296</v>
      </c>
      <c r="Q494" s="68"/>
      <c r="R494" s="68"/>
      <c r="S494" s="69"/>
      <c r="T494" s="68"/>
      <c r="U494" s="36"/>
    </row>
    <row r="495" spans="1:21" ht="15.75" customHeight="1" x14ac:dyDescent="0.35">
      <c r="A495" s="56"/>
      <c r="B495" s="110"/>
      <c r="C495" s="103"/>
      <c r="D495" s="92" t="s">
        <v>66</v>
      </c>
      <c r="E495" s="58">
        <v>4</v>
      </c>
      <c r="F495" s="58">
        <v>7</v>
      </c>
      <c r="G495" s="58">
        <v>4</v>
      </c>
      <c r="H495" s="58">
        <v>5</v>
      </c>
      <c r="I495" s="73">
        <f t="shared" si="225"/>
        <v>5</v>
      </c>
      <c r="J495" s="74"/>
      <c r="K495" s="56"/>
      <c r="L495" s="56"/>
      <c r="M495" s="57"/>
      <c r="N495" s="20"/>
      <c r="O495" s="64"/>
      <c r="P495" s="64"/>
      <c r="Q495" s="70"/>
      <c r="R495" s="70"/>
      <c r="S495" s="70"/>
      <c r="T495" s="71"/>
      <c r="U495" s="36"/>
    </row>
    <row r="496" spans="1:21" ht="15.75" customHeight="1" x14ac:dyDescent="0.35">
      <c r="A496" s="56"/>
      <c r="B496" s="110"/>
      <c r="C496" s="103"/>
      <c r="D496" s="92" t="s">
        <v>67</v>
      </c>
      <c r="E496" s="58">
        <v>0</v>
      </c>
      <c r="F496" s="58">
        <v>0</v>
      </c>
      <c r="G496" s="58">
        <v>0</v>
      </c>
      <c r="H496" s="58">
        <v>0</v>
      </c>
      <c r="I496" s="73">
        <f t="shared" si="225"/>
        <v>0</v>
      </c>
      <c r="J496" s="56"/>
      <c r="K496" s="56"/>
      <c r="L496" s="56"/>
      <c r="M496" s="57"/>
      <c r="N496" s="20"/>
      <c r="O496" s="64"/>
      <c r="P496" s="64"/>
      <c r="Q496" s="70"/>
      <c r="R496" s="70"/>
      <c r="S496" s="70"/>
      <c r="T496" s="71"/>
      <c r="U496" s="36"/>
    </row>
    <row r="497" spans="1:21" ht="15.75" customHeight="1" x14ac:dyDescent="0.35">
      <c r="A497" s="63">
        <f t="shared" ref="A497:B497" si="323">A494+7</f>
        <v>45475</v>
      </c>
      <c r="B497" s="110">
        <f t="shared" si="323"/>
        <v>1124</v>
      </c>
      <c r="C497" s="103" t="str">
        <f t="shared" si="317"/>
        <v>10% FBS R1</v>
      </c>
      <c r="D497" s="91" t="s">
        <v>65</v>
      </c>
      <c r="E497" s="58">
        <v>154</v>
      </c>
      <c r="F497" s="58">
        <v>149</v>
      </c>
      <c r="G497" s="58">
        <v>147</v>
      </c>
      <c r="H497" s="58">
        <v>151</v>
      </c>
      <c r="I497" s="73">
        <f t="shared" si="225"/>
        <v>150.25</v>
      </c>
      <c r="J497" s="74">
        <f t="shared" ref="J497" si="324">I497*2*10000</f>
        <v>3005000</v>
      </c>
      <c r="K497" s="56">
        <f t="shared" si="319"/>
        <v>3000000</v>
      </c>
      <c r="L497" s="56">
        <f t="shared" ref="L497" si="325">J497*5</f>
        <v>15025000</v>
      </c>
      <c r="M497" s="76">
        <f t="shared" ref="M497" si="326">I497/(I497+I498)*100</f>
        <v>97.406807131280388</v>
      </c>
      <c r="N497" s="22">
        <f>I499/I497*100</f>
        <v>0</v>
      </c>
      <c r="O497" s="66">
        <f>3.32*(LOG(L497)-LOG(K497))</f>
        <v>2.3229815101709814</v>
      </c>
      <c r="P497" s="66">
        <f t="shared" ref="P497" si="327">IF(O497&lt;0,P494,P494+O497)</f>
        <v>395.49524895904392</v>
      </c>
      <c r="Q497" s="68"/>
      <c r="R497" s="68"/>
      <c r="S497" s="69"/>
      <c r="T497" s="68"/>
      <c r="U497" s="36"/>
    </row>
    <row r="498" spans="1:21" ht="15.75" customHeight="1" x14ac:dyDescent="0.35">
      <c r="A498" s="56"/>
      <c r="B498" s="110"/>
      <c r="C498" s="103"/>
      <c r="D498" s="93" t="s">
        <v>66</v>
      </c>
      <c r="E498" s="58">
        <v>4</v>
      </c>
      <c r="F498" s="58">
        <v>3</v>
      </c>
      <c r="G498" s="58">
        <v>4</v>
      </c>
      <c r="H498" s="58">
        <v>5</v>
      </c>
      <c r="I498" s="73">
        <f t="shared" si="225"/>
        <v>4</v>
      </c>
      <c r="J498" s="74"/>
      <c r="K498" s="56"/>
      <c r="L498" s="56"/>
      <c r="M498" s="57"/>
      <c r="N498" s="20"/>
      <c r="O498" s="64"/>
      <c r="P498" s="64"/>
      <c r="Q498" s="70"/>
      <c r="R498" s="70"/>
      <c r="S498" s="70"/>
      <c r="T498" s="71"/>
      <c r="U498" s="36"/>
    </row>
    <row r="499" spans="1:21" ht="15.75" customHeight="1" x14ac:dyDescent="0.35">
      <c r="A499" s="56"/>
      <c r="B499" s="110"/>
      <c r="C499" s="103"/>
      <c r="D499" s="92" t="s">
        <v>67</v>
      </c>
      <c r="E499" s="58">
        <v>0</v>
      </c>
      <c r="F499" s="58">
        <v>0</v>
      </c>
      <c r="G499" s="58">
        <v>0</v>
      </c>
      <c r="H499" s="58">
        <v>0</v>
      </c>
      <c r="I499" s="73">
        <f t="shared" si="225"/>
        <v>0</v>
      </c>
      <c r="J499" s="56"/>
      <c r="K499" s="56"/>
      <c r="L499" s="56"/>
      <c r="M499" s="57"/>
      <c r="N499" s="20"/>
      <c r="O499" s="64"/>
      <c r="P499" s="64"/>
      <c r="Q499" s="70"/>
      <c r="R499" s="70"/>
      <c r="S499" s="70"/>
      <c r="T499" s="71"/>
      <c r="U499" s="36"/>
    </row>
    <row r="500" spans="1:21" ht="15.75" customHeight="1" x14ac:dyDescent="0.35">
      <c r="A500" s="63">
        <f t="shared" ref="A500:B500" si="328">A497+7</f>
        <v>45482</v>
      </c>
      <c r="B500" s="110">
        <f t="shared" si="328"/>
        <v>1131</v>
      </c>
      <c r="C500" s="103" t="str">
        <f t="shared" si="317"/>
        <v>10% FBS R1</v>
      </c>
      <c r="D500" s="91" t="s">
        <v>65</v>
      </c>
      <c r="E500" s="58">
        <v>202</v>
      </c>
      <c r="F500" s="58">
        <v>249</v>
      </c>
      <c r="G500" s="58">
        <v>267</v>
      </c>
      <c r="H500" s="58">
        <v>288</v>
      </c>
      <c r="I500" s="73">
        <f t="shared" si="225"/>
        <v>251.5</v>
      </c>
      <c r="J500" s="74">
        <f t="shared" ref="J500" si="329">I500*2*10000</f>
        <v>5030000</v>
      </c>
      <c r="K500" s="56">
        <f t="shared" si="319"/>
        <v>3000000</v>
      </c>
      <c r="L500" s="56">
        <f t="shared" ref="L500" si="330">J500*5</f>
        <v>25150000</v>
      </c>
      <c r="M500" s="76">
        <f t="shared" ref="M500" si="331">I500/(I500+I501)*100</f>
        <v>93.407613741875579</v>
      </c>
      <c r="N500" s="22">
        <f>I502/I500*100</f>
        <v>0</v>
      </c>
      <c r="O500" s="66">
        <f>3.32*(LOG(L500)-LOG(K500))</f>
        <v>3.065743559111981</v>
      </c>
      <c r="P500" s="66">
        <f t="shared" ref="P500" si="332">IF(O500&lt;0,P497,P497+O500)</f>
        <v>398.5609925181559</v>
      </c>
      <c r="Q500" s="68"/>
      <c r="R500" s="68"/>
      <c r="S500" s="69"/>
      <c r="T500" s="68"/>
      <c r="U500" s="36"/>
    </row>
    <row r="501" spans="1:21" ht="15.75" customHeight="1" x14ac:dyDescent="0.35">
      <c r="A501" s="56"/>
      <c r="B501" s="110"/>
      <c r="C501" s="103"/>
      <c r="D501" s="92" t="s">
        <v>66</v>
      </c>
      <c r="E501" s="58">
        <v>22</v>
      </c>
      <c r="F501" s="58">
        <v>8</v>
      </c>
      <c r="G501" s="58">
        <v>14</v>
      </c>
      <c r="H501" s="58">
        <v>27</v>
      </c>
      <c r="I501" s="73">
        <f t="shared" si="225"/>
        <v>17.75</v>
      </c>
      <c r="J501" s="74"/>
      <c r="K501" s="56"/>
      <c r="L501" s="56"/>
      <c r="M501" s="57"/>
      <c r="N501" s="20"/>
      <c r="O501" s="64"/>
      <c r="P501" s="64"/>
      <c r="Q501" s="70"/>
      <c r="R501" s="70"/>
      <c r="S501" s="70"/>
      <c r="T501" s="71"/>
      <c r="U501" s="36"/>
    </row>
    <row r="502" spans="1:21" ht="15.75" customHeight="1" x14ac:dyDescent="0.35">
      <c r="A502" s="56"/>
      <c r="B502" s="110"/>
      <c r="C502" s="103"/>
      <c r="D502" s="92" t="s">
        <v>67</v>
      </c>
      <c r="E502" s="58">
        <v>0</v>
      </c>
      <c r="F502" s="58">
        <v>0</v>
      </c>
      <c r="G502" s="58">
        <v>0</v>
      </c>
      <c r="H502" s="58">
        <v>0</v>
      </c>
      <c r="I502" s="73">
        <f t="shared" si="225"/>
        <v>0</v>
      </c>
      <c r="J502" s="56"/>
      <c r="K502" s="56"/>
      <c r="L502" s="56"/>
      <c r="M502" s="57"/>
      <c r="N502" s="20"/>
      <c r="O502" s="64"/>
      <c r="P502" s="64"/>
      <c r="Q502" s="70"/>
      <c r="R502" s="70"/>
      <c r="S502" s="70"/>
      <c r="T502" s="71"/>
      <c r="U502" s="36"/>
    </row>
    <row r="503" spans="1:21" ht="15.75" customHeight="1" x14ac:dyDescent="0.35">
      <c r="A503" s="63">
        <f t="shared" ref="A503:B503" si="333">A500+7</f>
        <v>45489</v>
      </c>
      <c r="B503" s="110">
        <f t="shared" si="333"/>
        <v>1138</v>
      </c>
      <c r="C503" s="103" t="str">
        <f t="shared" ref="C503" si="334">$C$155</f>
        <v>10% FBS R1</v>
      </c>
      <c r="D503" s="91" t="s">
        <v>65</v>
      </c>
      <c r="E503" s="58">
        <v>86</v>
      </c>
      <c r="F503" s="58">
        <v>109</v>
      </c>
      <c r="G503" s="58">
        <v>94</v>
      </c>
      <c r="H503" s="58">
        <v>93</v>
      </c>
      <c r="I503" s="73">
        <f t="shared" si="225"/>
        <v>95.5</v>
      </c>
      <c r="J503" s="74">
        <f t="shared" ref="J503" si="335">I503*2*10000</f>
        <v>1910000</v>
      </c>
      <c r="K503" s="56">
        <f t="shared" ref="K503" si="336">$K$155</f>
        <v>3000000</v>
      </c>
      <c r="L503" s="56">
        <f t="shared" ref="L503" si="337">J503*5</f>
        <v>9550000</v>
      </c>
      <c r="M503" s="76">
        <f t="shared" ref="M503" si="338">I503/(I503+I504)*100</f>
        <v>95.739348370927317</v>
      </c>
      <c r="N503" s="22">
        <f>I505/I503*100</f>
        <v>0</v>
      </c>
      <c r="O503" s="66">
        <f>3.32*(LOG(L503)-LOG(K503))</f>
        <v>1.6695686279887567</v>
      </c>
      <c r="P503" s="66">
        <f t="shared" ref="P503" si="339">IF(O503&lt;0,P500,P500+O503)</f>
        <v>400.23056114614468</v>
      </c>
      <c r="Q503" s="68"/>
      <c r="R503" s="68"/>
      <c r="S503" s="69"/>
      <c r="T503" s="68"/>
      <c r="U503" s="36"/>
    </row>
    <row r="504" spans="1:21" ht="15.75" customHeight="1" x14ac:dyDescent="0.35">
      <c r="A504" s="56"/>
      <c r="B504" s="110"/>
      <c r="C504" s="103"/>
      <c r="D504" s="92" t="s">
        <v>66</v>
      </c>
      <c r="E504" s="58">
        <v>3</v>
      </c>
      <c r="F504" s="58">
        <v>6</v>
      </c>
      <c r="G504" s="58">
        <v>2</v>
      </c>
      <c r="H504" s="58">
        <v>6</v>
      </c>
      <c r="I504" s="73">
        <f t="shared" ref="I504:I508" si="340">AVERAGE(E504:H504)</f>
        <v>4.25</v>
      </c>
      <c r="J504" s="74"/>
      <c r="K504" s="56"/>
      <c r="L504" s="56"/>
      <c r="M504" s="57"/>
      <c r="N504" s="2"/>
      <c r="O504" s="64"/>
      <c r="P504" s="64"/>
      <c r="Q504" s="70"/>
      <c r="R504" s="70"/>
      <c r="S504" s="70"/>
      <c r="T504" s="71"/>
      <c r="U504" s="36"/>
    </row>
    <row r="505" spans="1:21" ht="15.75" customHeight="1" x14ac:dyDescent="0.35">
      <c r="A505" s="56"/>
      <c r="B505" s="110"/>
      <c r="C505" s="103"/>
      <c r="D505" s="92" t="s">
        <v>67</v>
      </c>
      <c r="E505" s="58">
        <v>0</v>
      </c>
      <c r="F505" s="58">
        <v>0</v>
      </c>
      <c r="G505" s="58">
        <v>0</v>
      </c>
      <c r="H505" s="58">
        <v>0</v>
      </c>
      <c r="I505" s="73">
        <f t="shared" si="340"/>
        <v>0</v>
      </c>
      <c r="J505" s="56"/>
      <c r="K505" s="56"/>
      <c r="L505" s="56"/>
      <c r="M505" s="57"/>
      <c r="N505" s="2"/>
      <c r="O505" s="64"/>
      <c r="P505" s="64"/>
      <c r="Q505" s="70"/>
      <c r="R505" s="70"/>
      <c r="S505" s="70"/>
      <c r="T505" s="71"/>
      <c r="U505" s="36"/>
    </row>
    <row r="506" spans="1:21" ht="15.75" customHeight="1" x14ac:dyDescent="0.35">
      <c r="A506" s="63">
        <f t="shared" ref="A506:B506" si="341">A503+7</f>
        <v>45496</v>
      </c>
      <c r="B506" s="110">
        <f t="shared" si="341"/>
        <v>1145</v>
      </c>
      <c r="C506" s="103" t="str">
        <f t="shared" ref="C506" si="342">$C$155</f>
        <v>10% FBS R1</v>
      </c>
      <c r="D506" s="91" t="s">
        <v>65</v>
      </c>
      <c r="E506" s="58">
        <v>117</v>
      </c>
      <c r="F506" s="58">
        <v>131</v>
      </c>
      <c r="G506" s="58">
        <v>122</v>
      </c>
      <c r="H506" s="58">
        <v>118</v>
      </c>
      <c r="I506" s="73">
        <f t="shared" si="340"/>
        <v>122</v>
      </c>
      <c r="J506" s="74">
        <f t="shared" ref="J506" si="343">I506*2*10000</f>
        <v>2440000</v>
      </c>
      <c r="K506" s="56">
        <f t="shared" ref="K506" si="344">$K$155</f>
        <v>3000000</v>
      </c>
      <c r="L506" s="56">
        <f t="shared" ref="L506" si="345">J506*5</f>
        <v>12200000</v>
      </c>
      <c r="M506" s="76">
        <f t="shared" ref="M506" si="346">I506/(I506+I507)*100</f>
        <v>95.3125</v>
      </c>
      <c r="N506" s="77">
        <f>I508/I506*100</f>
        <v>0</v>
      </c>
      <c r="O506" s="66">
        <f>3.32*(LOG(L506)-LOG(K506))</f>
        <v>2.0226720721708848</v>
      </c>
      <c r="P506" s="66">
        <f t="shared" ref="P506" si="347">IF(O506&lt;0,P503,P503+O506)</f>
        <v>402.25323321831559</v>
      </c>
      <c r="Q506" s="68"/>
      <c r="R506" s="68"/>
      <c r="S506" s="69"/>
      <c r="T506" s="68"/>
      <c r="U506" s="36"/>
    </row>
    <row r="507" spans="1:21" ht="15.75" customHeight="1" x14ac:dyDescent="0.35">
      <c r="A507" s="56"/>
      <c r="B507" s="110"/>
      <c r="C507" s="103"/>
      <c r="D507" s="93" t="s">
        <v>66</v>
      </c>
      <c r="E507" s="58">
        <v>2</v>
      </c>
      <c r="F507" s="58">
        <v>5</v>
      </c>
      <c r="G507" s="58">
        <v>8</v>
      </c>
      <c r="H507" s="58">
        <v>9</v>
      </c>
      <c r="I507" s="73">
        <f t="shared" si="340"/>
        <v>6</v>
      </c>
      <c r="J507" s="74"/>
      <c r="K507" s="56"/>
      <c r="L507" s="56"/>
      <c r="M507" s="57"/>
      <c r="N507" s="20"/>
      <c r="O507" s="64"/>
      <c r="P507" s="64"/>
      <c r="Q507" s="70"/>
      <c r="R507" s="70"/>
      <c r="S507" s="70"/>
      <c r="T507" s="71"/>
      <c r="U507" s="36"/>
    </row>
    <row r="508" spans="1:21" ht="15.75" customHeight="1" x14ac:dyDescent="0.35">
      <c r="A508" s="56"/>
      <c r="B508" s="110"/>
      <c r="C508" s="103"/>
      <c r="D508" s="92" t="s">
        <v>67</v>
      </c>
      <c r="E508" s="58">
        <v>0</v>
      </c>
      <c r="F508" s="58">
        <v>0</v>
      </c>
      <c r="G508" s="58">
        <v>0</v>
      </c>
      <c r="H508" s="58">
        <v>0</v>
      </c>
      <c r="I508" s="73">
        <f t="shared" si="340"/>
        <v>0</v>
      </c>
      <c r="J508" s="56"/>
      <c r="K508" s="56"/>
      <c r="L508" s="56"/>
      <c r="M508" s="57"/>
      <c r="N508" s="20"/>
      <c r="O508" s="64"/>
      <c r="P508" s="64"/>
      <c r="Q508" s="70"/>
      <c r="R508" s="70"/>
      <c r="S508" s="70"/>
      <c r="T508" s="71"/>
      <c r="U508" s="36"/>
    </row>
    <row r="509" spans="1:21" ht="15.75" customHeight="1" x14ac:dyDescent="0.35">
      <c r="P509" s="36"/>
      <c r="Q509" s="36"/>
      <c r="R509" s="36"/>
      <c r="S509" s="36"/>
      <c r="T509" s="36"/>
      <c r="U509" s="36"/>
    </row>
    <row r="510" spans="1:21" ht="15.75" customHeight="1" x14ac:dyDescent="0.35">
      <c r="P510" s="36"/>
      <c r="Q510" s="36"/>
      <c r="R510" s="36"/>
      <c r="S510" s="36"/>
      <c r="T510" s="36"/>
      <c r="U510" s="36"/>
    </row>
    <row r="511" spans="1:21" ht="15.75" customHeight="1" x14ac:dyDescent="0.35">
      <c r="P511" s="36"/>
      <c r="Q511" s="36"/>
      <c r="R511" s="36"/>
      <c r="S511" s="36"/>
      <c r="T511" s="36"/>
      <c r="U511" s="36"/>
    </row>
    <row r="512" spans="1:21" ht="15.75" customHeight="1" x14ac:dyDescent="0.35">
      <c r="P512" s="36"/>
      <c r="Q512" s="36"/>
      <c r="R512" s="36"/>
      <c r="S512" s="36"/>
      <c r="T512" s="36"/>
      <c r="U512" s="36"/>
    </row>
    <row r="513" spans="16:21" ht="15.75" customHeight="1" x14ac:dyDescent="0.35">
      <c r="P513" s="36"/>
      <c r="Q513" s="36"/>
      <c r="R513" s="36"/>
      <c r="S513" s="36"/>
      <c r="T513" s="36"/>
      <c r="U513" s="36"/>
    </row>
    <row r="514" spans="16:21" ht="15.75" customHeight="1" x14ac:dyDescent="0.35">
      <c r="P514" s="36"/>
      <c r="Q514" s="36"/>
      <c r="R514" s="36"/>
      <c r="S514" s="36"/>
      <c r="T514" s="36"/>
      <c r="U514" s="36"/>
    </row>
    <row r="515" spans="16:21" ht="15.75" customHeight="1" x14ac:dyDescent="0.35">
      <c r="P515" s="36"/>
      <c r="Q515" s="36"/>
      <c r="R515" s="36"/>
      <c r="S515" s="36"/>
      <c r="T515" s="36"/>
      <c r="U515" s="36"/>
    </row>
    <row r="516" spans="16:21" ht="15.75" customHeight="1" x14ac:dyDescent="0.35">
      <c r="P516" s="36"/>
      <c r="Q516" s="36"/>
      <c r="R516" s="36"/>
      <c r="S516" s="36"/>
      <c r="T516" s="36"/>
      <c r="U516" s="36"/>
    </row>
    <row r="517" spans="16:21" ht="15.75" customHeight="1" x14ac:dyDescent="0.35">
      <c r="P517" s="36"/>
      <c r="Q517" s="36"/>
      <c r="R517" s="36"/>
      <c r="S517" s="36"/>
      <c r="T517" s="36"/>
      <c r="U517" s="36"/>
    </row>
    <row r="518" spans="16:21" ht="15.75" customHeight="1" x14ac:dyDescent="0.35">
      <c r="P518" s="36"/>
      <c r="Q518" s="36"/>
      <c r="R518" s="36"/>
      <c r="S518" s="36"/>
      <c r="T518" s="36"/>
      <c r="U518" s="36"/>
    </row>
    <row r="519" spans="16:21" ht="15.75" customHeight="1" x14ac:dyDescent="0.35">
      <c r="P519" s="36"/>
      <c r="Q519" s="36"/>
      <c r="R519" s="36"/>
      <c r="S519" s="36"/>
      <c r="T519" s="36"/>
      <c r="U519" s="36"/>
    </row>
    <row r="520" spans="16:21" ht="15.75" customHeight="1" x14ac:dyDescent="0.35">
      <c r="P520" s="36"/>
      <c r="Q520" s="36"/>
      <c r="R520" s="36"/>
      <c r="S520" s="36"/>
      <c r="T520" s="36"/>
      <c r="U520" s="36"/>
    </row>
    <row r="521" spans="16:21" ht="15.75" customHeight="1" x14ac:dyDescent="0.35">
      <c r="P521" s="36"/>
      <c r="Q521" s="36"/>
      <c r="R521" s="36"/>
      <c r="S521" s="36"/>
      <c r="T521" s="36"/>
      <c r="U521" s="36"/>
    </row>
    <row r="522" spans="16:21" ht="15.75" customHeight="1" x14ac:dyDescent="0.35">
      <c r="P522" s="36"/>
      <c r="Q522" s="36"/>
      <c r="R522" s="36"/>
      <c r="S522" s="36"/>
      <c r="T522" s="36"/>
      <c r="U522" s="36"/>
    </row>
    <row r="523" spans="16:21" ht="15.75" customHeight="1" x14ac:dyDescent="0.35"/>
    <row r="524" spans="16:21" ht="15.75" customHeight="1" x14ac:dyDescent="0.35"/>
    <row r="525" spans="16:21" ht="15.75" customHeight="1" x14ac:dyDescent="0.35"/>
    <row r="526" spans="16:21" ht="15.75" customHeight="1" x14ac:dyDescent="0.35"/>
    <row r="527" spans="16:21" ht="15.75" customHeight="1" x14ac:dyDescent="0.35"/>
    <row r="528" spans="16:21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42"/>
  <sheetViews>
    <sheetView workbookViewId="0">
      <pane ySplit="4" topLeftCell="A5" activePane="bottomLeft" state="frozen"/>
      <selection pane="bottomLeft"/>
    </sheetView>
  </sheetViews>
  <sheetFormatPr defaultColWidth="14.453125" defaultRowHeight="15" customHeight="1" x14ac:dyDescent="0.35"/>
  <cols>
    <col min="1" max="1" width="12.6328125" customWidth="1"/>
    <col min="2" max="2" width="10.6328125" style="98" customWidth="1"/>
    <col min="3" max="3" width="11.6328125" style="99" customWidth="1"/>
    <col min="4" max="4" width="10.6328125" customWidth="1"/>
    <col min="5" max="8" width="9" style="46" customWidth="1"/>
    <col min="9" max="9" width="9" customWidth="1"/>
    <col min="10" max="10" width="11.54296875" bestFit="1" customWidth="1"/>
    <col min="11" max="11" width="9" customWidth="1"/>
    <col min="12" max="12" width="9.81640625" customWidth="1"/>
    <col min="13" max="13" width="10.6328125" customWidth="1"/>
    <col min="14" max="14" width="10.7265625" bestFit="1" customWidth="1"/>
    <col min="15" max="15" width="9" customWidth="1"/>
    <col min="16" max="16" width="12.6328125" customWidth="1"/>
  </cols>
  <sheetData>
    <row r="1" spans="1:16" ht="15" customHeight="1" thickBot="1" x14ac:dyDescent="0.4">
      <c r="A1" s="140" t="s">
        <v>77</v>
      </c>
    </row>
    <row r="2" spans="1:16" ht="35" customHeight="1" x14ac:dyDescent="0.35">
      <c r="A2" s="143" t="s">
        <v>0</v>
      </c>
      <c r="B2" s="145" t="s">
        <v>53</v>
      </c>
      <c r="C2" s="141" t="s">
        <v>54</v>
      </c>
      <c r="D2" s="147" t="s">
        <v>55</v>
      </c>
      <c r="E2" s="149" t="s">
        <v>56</v>
      </c>
      <c r="F2" s="150"/>
      <c r="G2" s="150"/>
      <c r="H2" s="151"/>
      <c r="I2" s="141" t="s">
        <v>57</v>
      </c>
      <c r="J2" s="152" t="s">
        <v>1</v>
      </c>
      <c r="K2" s="152" t="s">
        <v>58</v>
      </c>
      <c r="L2" s="152" t="s">
        <v>59</v>
      </c>
      <c r="M2" s="152" t="s">
        <v>60</v>
      </c>
      <c r="N2" s="154" t="s">
        <v>69</v>
      </c>
      <c r="O2" s="152" t="s">
        <v>2</v>
      </c>
      <c r="P2" s="147" t="s">
        <v>68</v>
      </c>
    </row>
    <row r="3" spans="1:16" ht="15" customHeight="1" thickBot="1" x14ac:dyDescent="0.4">
      <c r="A3" s="144"/>
      <c r="B3" s="146"/>
      <c r="C3" s="142"/>
      <c r="D3" s="148"/>
      <c r="E3" s="117" t="s">
        <v>61</v>
      </c>
      <c r="F3" s="118" t="s">
        <v>62</v>
      </c>
      <c r="G3" s="118" t="s">
        <v>63</v>
      </c>
      <c r="H3" s="119" t="s">
        <v>64</v>
      </c>
      <c r="I3" s="142"/>
      <c r="J3" s="153"/>
      <c r="K3" s="153"/>
      <c r="L3" s="153"/>
      <c r="M3" s="153"/>
      <c r="N3" s="155"/>
      <c r="O3" s="153"/>
      <c r="P3" s="148"/>
    </row>
    <row r="4" spans="1:16" ht="15" customHeight="1" thickBot="1" x14ac:dyDescent="0.4">
      <c r="A4" s="133" t="s">
        <v>73</v>
      </c>
      <c r="B4" s="134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1:16" ht="14.25" customHeight="1" x14ac:dyDescent="0.35">
      <c r="A5" s="86" t="s">
        <v>3</v>
      </c>
      <c r="B5" s="131">
        <v>3</v>
      </c>
      <c r="C5" s="128" t="s">
        <v>43</v>
      </c>
      <c r="D5" s="91" t="s">
        <v>65</v>
      </c>
      <c r="E5" s="87">
        <v>67</v>
      </c>
      <c r="F5" s="87">
        <v>65</v>
      </c>
      <c r="G5" s="87">
        <v>66</v>
      </c>
      <c r="H5" s="87">
        <v>79</v>
      </c>
      <c r="I5" s="25">
        <f t="shared" ref="I5:I229" si="0">AVERAGE(E5:H5)</f>
        <v>69.25</v>
      </c>
      <c r="J5" s="25">
        <f>I5*2*10000</f>
        <v>1385000</v>
      </c>
      <c r="K5" s="25">
        <v>1290000</v>
      </c>
      <c r="L5" s="25">
        <f>J5*5</f>
        <v>6925000</v>
      </c>
      <c r="M5" s="88">
        <f>I5/(I5+I6)*100</f>
        <v>98.928571428571431</v>
      </c>
      <c r="N5" s="34">
        <f>I7/I5*100</f>
        <v>0</v>
      </c>
      <c r="O5" s="89">
        <f>3.32*(LOG(L5)-LOG(K5))</f>
        <v>2.4230358238916292</v>
      </c>
      <c r="P5" s="25">
        <v>2.42</v>
      </c>
    </row>
    <row r="6" spans="1:16" ht="14.25" customHeight="1" x14ac:dyDescent="0.35">
      <c r="A6" s="2"/>
      <c r="B6" s="109"/>
      <c r="C6" s="129"/>
      <c r="D6" s="92" t="s">
        <v>66</v>
      </c>
      <c r="E6" s="52">
        <v>1</v>
      </c>
      <c r="F6" s="52">
        <v>0</v>
      </c>
      <c r="G6" s="52">
        <v>1</v>
      </c>
      <c r="H6" s="52">
        <v>1</v>
      </c>
      <c r="I6" s="2">
        <f t="shared" si="0"/>
        <v>0.75</v>
      </c>
      <c r="J6" s="2"/>
      <c r="K6" s="2"/>
      <c r="L6" s="2"/>
      <c r="M6" s="2"/>
      <c r="N6" s="20"/>
      <c r="O6" s="2"/>
      <c r="P6" s="2"/>
    </row>
    <row r="7" spans="1:16" ht="14.25" customHeight="1" x14ac:dyDescent="0.35">
      <c r="A7" s="2"/>
      <c r="B7" s="109"/>
      <c r="C7" s="129"/>
      <c r="D7" s="92" t="s">
        <v>67</v>
      </c>
      <c r="E7" s="52">
        <v>0</v>
      </c>
      <c r="F7" s="52">
        <v>0</v>
      </c>
      <c r="G7" s="52">
        <v>0</v>
      </c>
      <c r="H7" s="52">
        <v>0</v>
      </c>
      <c r="I7" s="2">
        <f t="shared" si="0"/>
        <v>0</v>
      </c>
      <c r="J7" s="2"/>
      <c r="K7" s="2"/>
      <c r="L7" s="2"/>
      <c r="M7" s="2"/>
      <c r="N7" s="20"/>
      <c r="O7" s="2"/>
      <c r="P7" s="2"/>
    </row>
    <row r="8" spans="1:16" ht="14.25" customHeight="1" x14ac:dyDescent="0.35">
      <c r="A8" s="13" t="s">
        <v>5</v>
      </c>
      <c r="B8" s="109">
        <v>7</v>
      </c>
      <c r="C8" s="129" t="s">
        <v>43</v>
      </c>
      <c r="D8" s="91" t="s">
        <v>65</v>
      </c>
      <c r="E8" s="52">
        <v>62</v>
      </c>
      <c r="F8" s="52">
        <v>75</v>
      </c>
      <c r="G8" s="52">
        <v>77</v>
      </c>
      <c r="H8" s="52">
        <v>76</v>
      </c>
      <c r="I8" s="2">
        <f t="shared" si="0"/>
        <v>72.5</v>
      </c>
      <c r="J8" s="2">
        <f>I8*2*10000</f>
        <v>1450000</v>
      </c>
      <c r="K8" s="2">
        <v>3000000</v>
      </c>
      <c r="L8" s="2">
        <f>J8*5</f>
        <v>7250000</v>
      </c>
      <c r="M8" s="3">
        <f>I8/(I8+I9)*100</f>
        <v>99.656357388316152</v>
      </c>
      <c r="N8" s="22">
        <f>I10/I8*100</f>
        <v>0</v>
      </c>
      <c r="O8" s="4">
        <f>3.32*(LOG(L8)-LOG(K8))</f>
        <v>1.2722796161464203</v>
      </c>
      <c r="P8" s="4">
        <f>P5+O8</f>
        <v>3.6922796161464202</v>
      </c>
    </row>
    <row r="9" spans="1:16" ht="14.25" customHeight="1" x14ac:dyDescent="0.35">
      <c r="A9" s="2"/>
      <c r="B9" s="109"/>
      <c r="C9" s="129"/>
      <c r="D9" s="92" t="s">
        <v>66</v>
      </c>
      <c r="E9" s="52">
        <v>0</v>
      </c>
      <c r="F9" s="52">
        <v>1</v>
      </c>
      <c r="G9" s="52">
        <v>0</v>
      </c>
      <c r="H9" s="52">
        <v>0</v>
      </c>
      <c r="I9" s="2">
        <f t="shared" si="0"/>
        <v>0.25</v>
      </c>
      <c r="J9" s="2"/>
      <c r="K9" s="2"/>
      <c r="L9" s="2"/>
      <c r="M9" s="2"/>
      <c r="N9" s="20"/>
      <c r="O9" s="2"/>
      <c r="P9" s="2"/>
    </row>
    <row r="10" spans="1:16" ht="14.25" customHeight="1" x14ac:dyDescent="0.35">
      <c r="A10" s="2"/>
      <c r="B10" s="109"/>
      <c r="C10" s="129"/>
      <c r="D10" s="92" t="s">
        <v>67</v>
      </c>
      <c r="E10" s="52">
        <v>0</v>
      </c>
      <c r="F10" s="52">
        <v>0</v>
      </c>
      <c r="G10" s="52">
        <v>0</v>
      </c>
      <c r="H10" s="52">
        <v>0</v>
      </c>
      <c r="I10" s="2">
        <f t="shared" si="0"/>
        <v>0</v>
      </c>
      <c r="J10" s="2"/>
      <c r="K10" s="2"/>
      <c r="L10" s="2"/>
      <c r="M10" s="2"/>
      <c r="N10" s="20"/>
      <c r="O10" s="2"/>
      <c r="P10" s="2"/>
    </row>
    <row r="11" spans="1:16" ht="14.25" customHeight="1" x14ac:dyDescent="0.35">
      <c r="A11" s="1" t="s">
        <v>6</v>
      </c>
      <c r="B11" s="109">
        <v>10</v>
      </c>
      <c r="C11" s="129" t="s">
        <v>43</v>
      </c>
      <c r="D11" s="91" t="s">
        <v>65</v>
      </c>
      <c r="E11" s="52">
        <v>50</v>
      </c>
      <c r="F11" s="52">
        <v>34</v>
      </c>
      <c r="G11" s="52">
        <v>42</v>
      </c>
      <c r="H11" s="52">
        <v>44</v>
      </c>
      <c r="I11" s="2">
        <f t="shared" si="0"/>
        <v>42.5</v>
      </c>
      <c r="J11" s="2">
        <f>I11*2*10000</f>
        <v>850000</v>
      </c>
      <c r="K11" s="2">
        <v>3000000</v>
      </c>
      <c r="L11" s="2">
        <f>J11*5</f>
        <v>4250000</v>
      </c>
      <c r="M11" s="3">
        <f>I11/(I11+I12)*100</f>
        <v>98.265895953757223</v>
      </c>
      <c r="N11" s="22">
        <f>I13/I11*100</f>
        <v>0</v>
      </c>
      <c r="O11" s="4">
        <f>3.32*(LOG(L11)-LOG(K11))</f>
        <v>0.5022086820977546</v>
      </c>
      <c r="P11" s="4">
        <f>P8+O11</f>
        <v>4.1944882982441749</v>
      </c>
    </row>
    <row r="12" spans="1:16" ht="14.25" customHeight="1" x14ac:dyDescent="0.35">
      <c r="A12" s="2"/>
      <c r="B12" s="109"/>
      <c r="C12" s="129"/>
      <c r="D12" s="92" t="s">
        <v>66</v>
      </c>
      <c r="E12" s="52">
        <v>1</v>
      </c>
      <c r="F12" s="52">
        <v>1</v>
      </c>
      <c r="G12" s="52">
        <v>0</v>
      </c>
      <c r="H12" s="52">
        <v>1</v>
      </c>
      <c r="I12" s="2">
        <f t="shared" si="0"/>
        <v>0.75</v>
      </c>
      <c r="J12" s="2"/>
      <c r="K12" s="2"/>
      <c r="L12" s="2"/>
      <c r="M12" s="2"/>
      <c r="N12" s="20"/>
      <c r="O12" s="2"/>
      <c r="P12" s="2"/>
    </row>
    <row r="13" spans="1:16" ht="14.25" customHeight="1" x14ac:dyDescent="0.35">
      <c r="A13" s="2"/>
      <c r="B13" s="109"/>
      <c r="C13" s="129"/>
      <c r="D13" s="92" t="s">
        <v>67</v>
      </c>
      <c r="E13" s="52">
        <v>0</v>
      </c>
      <c r="F13" s="52">
        <v>0</v>
      </c>
      <c r="G13" s="52">
        <v>0</v>
      </c>
      <c r="H13" s="52">
        <v>0</v>
      </c>
      <c r="I13" s="2">
        <f t="shared" si="0"/>
        <v>0</v>
      </c>
      <c r="J13" s="2"/>
      <c r="K13" s="2"/>
      <c r="L13" s="2"/>
      <c r="M13" s="2"/>
      <c r="N13" s="20"/>
      <c r="O13" s="2"/>
      <c r="P13" s="2"/>
    </row>
    <row r="14" spans="1:16" ht="14.25" customHeight="1" x14ac:dyDescent="0.35">
      <c r="A14" s="1" t="s">
        <v>7</v>
      </c>
      <c r="B14" s="109">
        <v>14</v>
      </c>
      <c r="C14" s="129" t="s">
        <v>43</v>
      </c>
      <c r="D14" s="91" t="s">
        <v>65</v>
      </c>
      <c r="E14" s="52">
        <v>32</v>
      </c>
      <c r="F14" s="52">
        <v>31</v>
      </c>
      <c r="G14" s="52">
        <v>47</v>
      </c>
      <c r="H14" s="52">
        <v>39</v>
      </c>
      <c r="I14" s="2">
        <f t="shared" si="0"/>
        <v>37.25</v>
      </c>
      <c r="J14" s="2">
        <f>I14*2*10000</f>
        <v>745000</v>
      </c>
      <c r="K14" s="2">
        <v>3000000</v>
      </c>
      <c r="L14" s="2">
        <f>J14*5</f>
        <v>3725000</v>
      </c>
      <c r="M14" s="3">
        <f>I14/(I14+I15)*100</f>
        <v>100</v>
      </c>
      <c r="N14" s="22">
        <f>I16/I14*100</f>
        <v>0</v>
      </c>
      <c r="O14" s="4">
        <f>3.32*(LOG(L14)-LOG(K14))</f>
        <v>0.31209667425063436</v>
      </c>
      <c r="P14" s="4">
        <f>P11+O14</f>
        <v>4.5065849724948093</v>
      </c>
    </row>
    <row r="15" spans="1:16" ht="14.25" customHeight="1" x14ac:dyDescent="0.35">
      <c r="A15" s="2"/>
      <c r="B15" s="109"/>
      <c r="C15" s="129"/>
      <c r="D15" s="92" t="s">
        <v>66</v>
      </c>
      <c r="E15" s="52">
        <v>0</v>
      </c>
      <c r="F15" s="52">
        <v>0</v>
      </c>
      <c r="G15" s="52">
        <v>0</v>
      </c>
      <c r="H15" s="52">
        <v>0</v>
      </c>
      <c r="I15" s="2">
        <f t="shared" si="0"/>
        <v>0</v>
      </c>
      <c r="J15" s="2"/>
      <c r="K15" s="2"/>
      <c r="L15" s="2"/>
      <c r="M15" s="2"/>
      <c r="N15" s="20"/>
      <c r="O15" s="2"/>
      <c r="P15" s="2"/>
    </row>
    <row r="16" spans="1:16" ht="14.25" customHeight="1" x14ac:dyDescent="0.35">
      <c r="A16" s="2"/>
      <c r="B16" s="109"/>
      <c r="C16" s="129"/>
      <c r="D16" s="92" t="s">
        <v>67</v>
      </c>
      <c r="E16" s="52">
        <v>0</v>
      </c>
      <c r="F16" s="52">
        <v>0</v>
      </c>
      <c r="G16" s="52">
        <v>0</v>
      </c>
      <c r="H16" s="52">
        <v>0</v>
      </c>
      <c r="I16" s="2">
        <f t="shared" si="0"/>
        <v>0</v>
      </c>
      <c r="J16" s="2"/>
      <c r="K16" s="2"/>
      <c r="L16" s="2"/>
      <c r="M16" s="2"/>
      <c r="N16" s="20"/>
      <c r="O16" s="2"/>
      <c r="P16" s="2"/>
    </row>
    <row r="17" spans="1:16" ht="14.25" customHeight="1" x14ac:dyDescent="0.35">
      <c r="A17" s="1" t="s">
        <v>8</v>
      </c>
      <c r="B17" s="109">
        <v>21</v>
      </c>
      <c r="C17" s="129" t="s">
        <v>43</v>
      </c>
      <c r="D17" s="91" t="s">
        <v>65</v>
      </c>
      <c r="E17" s="52">
        <v>64</v>
      </c>
      <c r="F17" s="52">
        <v>54</v>
      </c>
      <c r="G17" s="52">
        <v>76</v>
      </c>
      <c r="H17" s="52">
        <v>52</v>
      </c>
      <c r="I17" s="2">
        <f t="shared" si="0"/>
        <v>61.5</v>
      </c>
      <c r="J17" s="2">
        <f>I17*2*10000</f>
        <v>1230000</v>
      </c>
      <c r="K17" s="2">
        <v>3000000</v>
      </c>
      <c r="L17" s="2">
        <f>J17*5</f>
        <v>6150000</v>
      </c>
      <c r="M17" s="3">
        <f>I17/(I17+I18)*100</f>
        <v>95.348837209302332</v>
      </c>
      <c r="N17" s="22">
        <f>I19/I17*100</f>
        <v>0</v>
      </c>
      <c r="O17" s="4">
        <f>3.32*(LOG(L17)-LOG(K17))</f>
        <v>1.0350228187051038</v>
      </c>
      <c r="P17" s="4">
        <f>P14+O17</f>
        <v>5.5416077911999135</v>
      </c>
    </row>
    <row r="18" spans="1:16" ht="14.25" customHeight="1" x14ac:dyDescent="0.35">
      <c r="A18" s="2"/>
      <c r="B18" s="109"/>
      <c r="C18" s="129"/>
      <c r="D18" s="92" t="s">
        <v>66</v>
      </c>
      <c r="E18" s="52">
        <v>3</v>
      </c>
      <c r="F18" s="52">
        <v>3</v>
      </c>
      <c r="G18" s="52">
        <v>3</v>
      </c>
      <c r="H18" s="52">
        <v>3</v>
      </c>
      <c r="I18" s="2">
        <f t="shared" si="0"/>
        <v>3</v>
      </c>
      <c r="J18" s="2"/>
      <c r="K18" s="2"/>
      <c r="L18" s="2"/>
      <c r="M18" s="2"/>
      <c r="N18" s="20"/>
      <c r="O18" s="2"/>
      <c r="P18" s="2"/>
    </row>
    <row r="19" spans="1:16" ht="14.25" customHeight="1" x14ac:dyDescent="0.35">
      <c r="A19" s="2"/>
      <c r="B19" s="109"/>
      <c r="C19" s="129"/>
      <c r="D19" s="92" t="s">
        <v>67</v>
      </c>
      <c r="E19" s="52">
        <v>0</v>
      </c>
      <c r="F19" s="52">
        <v>0</v>
      </c>
      <c r="G19" s="52">
        <v>0</v>
      </c>
      <c r="H19" s="52">
        <v>0</v>
      </c>
      <c r="I19" s="2">
        <f t="shared" si="0"/>
        <v>0</v>
      </c>
      <c r="J19" s="2"/>
      <c r="K19" s="2"/>
      <c r="L19" s="2"/>
      <c r="M19" s="2"/>
      <c r="N19" s="20"/>
      <c r="O19" s="2"/>
      <c r="P19" s="2"/>
    </row>
    <row r="20" spans="1:16" ht="14.25" customHeight="1" x14ac:dyDescent="0.35">
      <c r="A20" s="1" t="s">
        <v>9</v>
      </c>
      <c r="B20" s="109">
        <v>28</v>
      </c>
      <c r="C20" s="129" t="s">
        <v>43</v>
      </c>
      <c r="D20" s="91" t="s">
        <v>65</v>
      </c>
      <c r="E20" s="52">
        <v>65</v>
      </c>
      <c r="F20" s="52">
        <v>57</v>
      </c>
      <c r="G20" s="52">
        <v>76</v>
      </c>
      <c r="H20" s="52">
        <v>66</v>
      </c>
      <c r="I20" s="2">
        <f t="shared" si="0"/>
        <v>66</v>
      </c>
      <c r="J20" s="2">
        <f>I20*2*10000</f>
        <v>1320000</v>
      </c>
      <c r="K20" s="2">
        <v>3000000</v>
      </c>
      <c r="L20" s="2">
        <f>J20*5</f>
        <v>6600000</v>
      </c>
      <c r="M20" s="3">
        <f>I20/(I20+I21)*100</f>
        <v>96.350364963503651</v>
      </c>
      <c r="N20" s="22">
        <f>I22/I20*100</f>
        <v>1.5151515151515151</v>
      </c>
      <c r="O20" s="4">
        <f>3.32*(LOG(L20)-LOG(K20))</f>
        <v>1.1368433003297229</v>
      </c>
      <c r="P20" s="4">
        <f>P17+O20</f>
        <v>6.6784510915296362</v>
      </c>
    </row>
    <row r="21" spans="1:16" ht="14.25" customHeight="1" x14ac:dyDescent="0.35">
      <c r="A21" s="2"/>
      <c r="B21" s="109"/>
      <c r="C21" s="129"/>
      <c r="D21" s="92" t="s">
        <v>66</v>
      </c>
      <c r="E21" s="52">
        <v>2</v>
      </c>
      <c r="F21" s="52">
        <v>3</v>
      </c>
      <c r="G21" s="52">
        <v>2</v>
      </c>
      <c r="H21" s="52">
        <v>3</v>
      </c>
      <c r="I21" s="2">
        <f t="shared" si="0"/>
        <v>2.5</v>
      </c>
      <c r="J21" s="2"/>
      <c r="K21" s="2"/>
      <c r="L21" s="2"/>
      <c r="M21" s="2"/>
      <c r="N21" s="20"/>
      <c r="O21" s="2"/>
      <c r="P21" s="2"/>
    </row>
    <row r="22" spans="1:16" ht="14.25" customHeight="1" x14ac:dyDescent="0.35">
      <c r="A22" s="2"/>
      <c r="B22" s="109"/>
      <c r="C22" s="129"/>
      <c r="D22" s="92" t="s">
        <v>67</v>
      </c>
      <c r="E22" s="52">
        <v>2</v>
      </c>
      <c r="F22" s="52">
        <v>0</v>
      </c>
      <c r="G22" s="52">
        <v>1</v>
      </c>
      <c r="H22" s="52">
        <v>1</v>
      </c>
      <c r="I22" s="2">
        <f t="shared" si="0"/>
        <v>1</v>
      </c>
      <c r="J22" s="2"/>
      <c r="K22" s="2"/>
      <c r="L22" s="2"/>
      <c r="M22" s="2"/>
      <c r="N22" s="20"/>
      <c r="O22" s="2"/>
      <c r="P22" s="2"/>
    </row>
    <row r="23" spans="1:16" ht="14.25" customHeight="1" x14ac:dyDescent="0.35">
      <c r="A23" s="1" t="s">
        <v>10</v>
      </c>
      <c r="B23" s="109">
        <v>35</v>
      </c>
      <c r="C23" s="129" t="s">
        <v>43</v>
      </c>
      <c r="D23" s="91" t="s">
        <v>65</v>
      </c>
      <c r="E23" s="52">
        <v>46</v>
      </c>
      <c r="F23" s="52">
        <v>38</v>
      </c>
      <c r="G23" s="52">
        <v>52</v>
      </c>
      <c r="H23" s="52">
        <v>49</v>
      </c>
      <c r="I23" s="2">
        <f t="shared" si="0"/>
        <v>46.25</v>
      </c>
      <c r="J23" s="2">
        <f>I23*2*10000</f>
        <v>925000</v>
      </c>
      <c r="K23" s="2">
        <v>3000000</v>
      </c>
      <c r="L23" s="2">
        <f>J23*5</f>
        <v>4625000</v>
      </c>
      <c r="M23" s="3">
        <f>I23/(I23+I24)*100</f>
        <v>96.354166666666657</v>
      </c>
      <c r="N23" s="22">
        <f>I25/I23*100</f>
        <v>3.2432432432432434</v>
      </c>
      <c r="O23" s="4">
        <f>3.32*(LOG(L23)-LOG(K23))</f>
        <v>0.62412840141989023</v>
      </c>
      <c r="P23" s="4">
        <f>P20+O23</f>
        <v>7.3025794929495262</v>
      </c>
    </row>
    <row r="24" spans="1:16" ht="14.25" customHeight="1" x14ac:dyDescent="0.35">
      <c r="A24" s="2"/>
      <c r="B24" s="109"/>
      <c r="C24" s="129"/>
      <c r="D24" s="92" t="s">
        <v>66</v>
      </c>
      <c r="E24" s="52">
        <v>1</v>
      </c>
      <c r="F24" s="52">
        <v>2</v>
      </c>
      <c r="G24" s="52">
        <v>2</v>
      </c>
      <c r="H24" s="52">
        <v>2</v>
      </c>
      <c r="I24" s="2">
        <f t="shared" si="0"/>
        <v>1.75</v>
      </c>
      <c r="J24" s="2"/>
      <c r="K24" s="2"/>
      <c r="L24" s="2"/>
      <c r="M24" s="2"/>
      <c r="N24" s="20"/>
      <c r="O24" s="2"/>
      <c r="P24" s="2"/>
    </row>
    <row r="25" spans="1:16" ht="14.25" customHeight="1" x14ac:dyDescent="0.35">
      <c r="A25" s="2"/>
      <c r="B25" s="109"/>
      <c r="C25" s="129"/>
      <c r="D25" s="92" t="s">
        <v>67</v>
      </c>
      <c r="E25" s="52">
        <v>1</v>
      </c>
      <c r="F25" s="52">
        <v>2</v>
      </c>
      <c r="G25" s="52">
        <v>3</v>
      </c>
      <c r="H25" s="52">
        <v>0</v>
      </c>
      <c r="I25" s="2">
        <f t="shared" si="0"/>
        <v>1.5</v>
      </c>
      <c r="J25" s="2"/>
      <c r="K25" s="2"/>
      <c r="L25" s="2"/>
      <c r="M25" s="2"/>
      <c r="N25" s="20"/>
      <c r="O25" s="2"/>
      <c r="P25" s="2"/>
    </row>
    <row r="26" spans="1:16" ht="14.25" customHeight="1" x14ac:dyDescent="0.35">
      <c r="A26" s="1" t="s">
        <v>11</v>
      </c>
      <c r="B26" s="109">
        <v>42</v>
      </c>
      <c r="C26" s="129" t="s">
        <v>43</v>
      </c>
      <c r="D26" s="91" t="s">
        <v>65</v>
      </c>
      <c r="E26" s="52">
        <v>51</v>
      </c>
      <c r="F26" s="52">
        <v>38</v>
      </c>
      <c r="G26" s="52">
        <v>52</v>
      </c>
      <c r="H26" s="52">
        <v>45</v>
      </c>
      <c r="I26" s="2">
        <f t="shared" si="0"/>
        <v>46.5</v>
      </c>
      <c r="J26" s="2">
        <f>I26*2*10000</f>
        <v>930000</v>
      </c>
      <c r="K26" s="2">
        <v>3000000</v>
      </c>
      <c r="L26" s="2">
        <f>J26*5</f>
        <v>4650000</v>
      </c>
      <c r="M26" s="3">
        <f>I26/(I26+I27)*100</f>
        <v>93.939393939393938</v>
      </c>
      <c r="N26" s="22">
        <f>I28/I26*100</f>
        <v>3.763440860215054</v>
      </c>
      <c r="O26" s="4">
        <f>3.32*(LOG(L26)-LOG(K26))</f>
        <v>0.6319012379253659</v>
      </c>
      <c r="P26" s="4">
        <f>P23+O26</f>
        <v>7.9344807308748919</v>
      </c>
    </row>
    <row r="27" spans="1:16" ht="14.25" customHeight="1" x14ac:dyDescent="0.35">
      <c r="A27" s="2"/>
      <c r="B27" s="109"/>
      <c r="C27" s="129"/>
      <c r="D27" s="92" t="s">
        <v>66</v>
      </c>
      <c r="E27" s="52">
        <v>3</v>
      </c>
      <c r="F27" s="52">
        <v>2</v>
      </c>
      <c r="G27" s="52">
        <v>3</v>
      </c>
      <c r="H27" s="52">
        <v>4</v>
      </c>
      <c r="I27" s="2">
        <f t="shared" si="0"/>
        <v>3</v>
      </c>
      <c r="J27" s="2"/>
      <c r="K27" s="2"/>
      <c r="L27" s="2"/>
      <c r="M27" s="2"/>
      <c r="N27" s="20"/>
      <c r="O27" s="2"/>
      <c r="P27" s="2"/>
    </row>
    <row r="28" spans="1:16" ht="14.25" customHeight="1" x14ac:dyDescent="0.35">
      <c r="A28" s="2"/>
      <c r="B28" s="109"/>
      <c r="C28" s="129"/>
      <c r="D28" s="92" t="s">
        <v>67</v>
      </c>
      <c r="E28" s="52">
        <v>4</v>
      </c>
      <c r="F28" s="52">
        <v>0</v>
      </c>
      <c r="G28" s="52">
        <v>2</v>
      </c>
      <c r="H28" s="52">
        <v>1</v>
      </c>
      <c r="I28" s="2">
        <f t="shared" si="0"/>
        <v>1.75</v>
      </c>
      <c r="J28" s="2"/>
      <c r="K28" s="2"/>
      <c r="L28" s="2"/>
      <c r="M28" s="2"/>
      <c r="N28" s="20"/>
      <c r="O28" s="2"/>
      <c r="P28" s="2"/>
    </row>
    <row r="29" spans="1:16" ht="14.25" customHeight="1" x14ac:dyDescent="0.35">
      <c r="A29" s="1" t="s">
        <v>12</v>
      </c>
      <c r="B29" s="109">
        <v>49</v>
      </c>
      <c r="C29" s="129" t="s">
        <v>43</v>
      </c>
      <c r="D29" s="91" t="s">
        <v>65</v>
      </c>
      <c r="E29" s="52">
        <v>58</v>
      </c>
      <c r="F29" s="52">
        <v>40</v>
      </c>
      <c r="G29" s="52">
        <v>44</v>
      </c>
      <c r="H29" s="52">
        <v>52</v>
      </c>
      <c r="I29" s="2">
        <f t="shared" si="0"/>
        <v>48.5</v>
      </c>
      <c r="J29" s="2">
        <f>I29*2*10000</f>
        <v>970000</v>
      </c>
      <c r="K29" s="2">
        <v>3000000</v>
      </c>
      <c r="L29" s="2">
        <f>J29*5</f>
        <v>4850000</v>
      </c>
      <c r="M29" s="3">
        <f>I29/(I29+I30)*100</f>
        <v>97</v>
      </c>
      <c r="N29" s="22">
        <f>I31/I29*100</f>
        <v>6.1855670103092786</v>
      </c>
      <c r="O29" s="4">
        <f>3.32*(LOG(L29)-LOG(K29))</f>
        <v>0.69262000649023647</v>
      </c>
      <c r="P29" s="4">
        <f>P26+O29</f>
        <v>8.6271007373651276</v>
      </c>
    </row>
    <row r="30" spans="1:16" ht="14.25" customHeight="1" x14ac:dyDescent="0.35">
      <c r="A30" s="2"/>
      <c r="B30" s="109"/>
      <c r="C30" s="129"/>
      <c r="D30" s="92" t="s">
        <v>66</v>
      </c>
      <c r="E30" s="52">
        <v>1</v>
      </c>
      <c r="F30" s="52">
        <v>2</v>
      </c>
      <c r="G30" s="52">
        <v>1</v>
      </c>
      <c r="H30" s="52">
        <v>2</v>
      </c>
      <c r="I30" s="2">
        <f t="shared" si="0"/>
        <v>1.5</v>
      </c>
      <c r="J30" s="2"/>
      <c r="K30" s="2"/>
      <c r="L30" s="2"/>
      <c r="M30" s="2"/>
      <c r="N30" s="20"/>
      <c r="O30" s="2"/>
      <c r="P30" s="2"/>
    </row>
    <row r="31" spans="1:16" ht="14.25" customHeight="1" x14ac:dyDescent="0.35">
      <c r="A31" s="2"/>
      <c r="B31" s="109"/>
      <c r="C31" s="129"/>
      <c r="D31" s="92" t="s">
        <v>67</v>
      </c>
      <c r="E31" s="52">
        <v>4</v>
      </c>
      <c r="F31" s="52">
        <v>3</v>
      </c>
      <c r="G31" s="52">
        <v>2</v>
      </c>
      <c r="H31" s="52">
        <v>3</v>
      </c>
      <c r="I31" s="2">
        <f t="shared" si="0"/>
        <v>3</v>
      </c>
      <c r="J31" s="2"/>
      <c r="K31" s="2"/>
      <c r="L31" s="2"/>
      <c r="M31" s="2"/>
      <c r="N31" s="20"/>
      <c r="O31" s="2"/>
      <c r="P31" s="2"/>
    </row>
    <row r="32" spans="1:16" ht="14.25" customHeight="1" x14ac:dyDescent="0.35">
      <c r="A32" s="1" t="s">
        <v>13</v>
      </c>
      <c r="B32" s="109">
        <v>56</v>
      </c>
      <c r="C32" s="129" t="s">
        <v>43</v>
      </c>
      <c r="D32" s="91" t="s">
        <v>65</v>
      </c>
      <c r="E32" s="52">
        <v>38</v>
      </c>
      <c r="F32" s="52">
        <v>24</v>
      </c>
      <c r="G32" s="52">
        <v>40</v>
      </c>
      <c r="H32" s="52">
        <v>51</v>
      </c>
      <c r="I32" s="2">
        <f t="shared" si="0"/>
        <v>38.25</v>
      </c>
      <c r="J32" s="2">
        <f>I32*2*10000</f>
        <v>765000</v>
      </c>
      <c r="K32" s="2">
        <v>3000000</v>
      </c>
      <c r="L32" s="2">
        <f>J32*5</f>
        <v>3825000</v>
      </c>
      <c r="M32" s="3">
        <f>I32/(I32+I33)*100</f>
        <v>93.865030674846622</v>
      </c>
      <c r="N32" s="22">
        <f>I34/I32*100</f>
        <v>5.8823529411764701</v>
      </c>
      <c r="O32" s="4">
        <f>3.32*(LOG(L32)-LOG(K32))</f>
        <v>0.35029381343631433</v>
      </c>
      <c r="P32" s="4">
        <f>P29+O32</f>
        <v>8.9773945508014421</v>
      </c>
    </row>
    <row r="33" spans="1:16" ht="14.25" customHeight="1" x14ac:dyDescent="0.35">
      <c r="A33" s="2"/>
      <c r="B33" s="109"/>
      <c r="C33" s="129"/>
      <c r="D33" s="92" t="s">
        <v>66</v>
      </c>
      <c r="E33" s="52">
        <v>2</v>
      </c>
      <c r="F33" s="52">
        <v>3</v>
      </c>
      <c r="G33" s="52">
        <v>1</v>
      </c>
      <c r="H33" s="52">
        <v>4</v>
      </c>
      <c r="I33" s="2">
        <f t="shared" si="0"/>
        <v>2.5</v>
      </c>
      <c r="J33" s="2"/>
      <c r="K33" s="2"/>
      <c r="L33" s="2"/>
      <c r="M33" s="2"/>
      <c r="N33" s="20"/>
      <c r="O33" s="2"/>
      <c r="P33" s="2"/>
    </row>
    <row r="34" spans="1:16" ht="14.25" customHeight="1" x14ac:dyDescent="0.35">
      <c r="A34" s="2"/>
      <c r="B34" s="109"/>
      <c r="C34" s="129"/>
      <c r="D34" s="92" t="s">
        <v>67</v>
      </c>
      <c r="E34" s="52">
        <v>0</v>
      </c>
      <c r="F34" s="52">
        <v>1</v>
      </c>
      <c r="G34" s="52">
        <v>3</v>
      </c>
      <c r="H34" s="52">
        <v>5</v>
      </c>
      <c r="I34" s="2">
        <f t="shared" si="0"/>
        <v>2.25</v>
      </c>
      <c r="J34" s="2"/>
      <c r="K34" s="2"/>
      <c r="L34" s="2"/>
      <c r="M34" s="2"/>
      <c r="N34" s="20"/>
      <c r="O34" s="2"/>
      <c r="P34" s="2"/>
    </row>
    <row r="35" spans="1:16" ht="14.25" customHeight="1" x14ac:dyDescent="0.35">
      <c r="A35" s="1" t="s">
        <v>14</v>
      </c>
      <c r="B35" s="109">
        <v>63</v>
      </c>
      <c r="C35" s="129" t="s">
        <v>43</v>
      </c>
      <c r="D35" s="91" t="s">
        <v>65</v>
      </c>
      <c r="E35" s="52">
        <v>43</v>
      </c>
      <c r="F35" s="52">
        <v>54</v>
      </c>
      <c r="G35" s="52">
        <v>51</v>
      </c>
      <c r="H35" s="52">
        <v>45</v>
      </c>
      <c r="I35" s="2">
        <f t="shared" si="0"/>
        <v>48.25</v>
      </c>
      <c r="J35" s="2">
        <f>I35*2*10000</f>
        <v>965000</v>
      </c>
      <c r="K35" s="2">
        <v>3000000</v>
      </c>
      <c r="L35" s="2">
        <f>J35*5</f>
        <v>4825000</v>
      </c>
      <c r="M35" s="3">
        <f>I35/(I35+I36)*100</f>
        <v>93.236714975845416</v>
      </c>
      <c r="N35" s="22">
        <f>I37/I35*100</f>
        <v>10.362694300518134</v>
      </c>
      <c r="O35" s="4">
        <f>3.32*(LOG(L35)-LOG(K35))</f>
        <v>0.68516852902769387</v>
      </c>
      <c r="P35" s="4">
        <f>P32+O35</f>
        <v>9.6625630798291358</v>
      </c>
    </row>
    <row r="36" spans="1:16" ht="14.25" customHeight="1" x14ac:dyDescent="0.35">
      <c r="A36" s="2"/>
      <c r="B36" s="109"/>
      <c r="C36" s="129"/>
      <c r="D36" s="92" t="s">
        <v>66</v>
      </c>
      <c r="E36" s="52">
        <v>3</v>
      </c>
      <c r="F36" s="52">
        <v>4</v>
      </c>
      <c r="G36" s="52">
        <v>5</v>
      </c>
      <c r="H36" s="52">
        <v>2</v>
      </c>
      <c r="I36" s="2">
        <f t="shared" si="0"/>
        <v>3.5</v>
      </c>
      <c r="J36" s="2"/>
      <c r="K36" s="2"/>
      <c r="L36" s="2"/>
      <c r="M36" s="2"/>
      <c r="N36" s="20"/>
      <c r="O36" s="2"/>
      <c r="P36" s="2"/>
    </row>
    <row r="37" spans="1:16" ht="14.25" customHeight="1" x14ac:dyDescent="0.35">
      <c r="A37" s="2"/>
      <c r="B37" s="109"/>
      <c r="C37" s="129"/>
      <c r="D37" s="92" t="s">
        <v>67</v>
      </c>
      <c r="E37" s="52">
        <v>5</v>
      </c>
      <c r="F37" s="52">
        <v>3</v>
      </c>
      <c r="G37" s="52">
        <v>6</v>
      </c>
      <c r="H37" s="52">
        <v>6</v>
      </c>
      <c r="I37" s="2">
        <f t="shared" si="0"/>
        <v>5</v>
      </c>
      <c r="J37" s="2"/>
      <c r="K37" s="2"/>
      <c r="L37" s="2"/>
      <c r="M37" s="2"/>
      <c r="N37" s="20"/>
      <c r="O37" s="2"/>
      <c r="P37" s="2"/>
    </row>
    <row r="38" spans="1:16" ht="14.25" customHeight="1" x14ac:dyDescent="0.35">
      <c r="A38" s="1" t="s">
        <v>15</v>
      </c>
      <c r="B38" s="109">
        <v>70</v>
      </c>
      <c r="C38" s="129" t="s">
        <v>43</v>
      </c>
      <c r="D38" s="91" t="s">
        <v>65</v>
      </c>
      <c r="E38" s="52">
        <v>41</v>
      </c>
      <c r="F38" s="52">
        <v>40</v>
      </c>
      <c r="G38" s="52">
        <v>42</v>
      </c>
      <c r="H38" s="52">
        <v>51</v>
      </c>
      <c r="I38" s="2">
        <f t="shared" si="0"/>
        <v>43.5</v>
      </c>
      <c r="J38" s="2">
        <f>I38*2*10000</f>
        <v>870000</v>
      </c>
      <c r="K38" s="2">
        <v>3000000</v>
      </c>
      <c r="L38" s="2">
        <f>J38*5</f>
        <v>4350000</v>
      </c>
      <c r="M38" s="3">
        <f>I38/(I38+I39)*100</f>
        <v>96.666666666666671</v>
      </c>
      <c r="N38" s="22">
        <f>I40/I38*100</f>
        <v>14.367816091954023</v>
      </c>
      <c r="O38" s="4">
        <f>3.32*(LOG(L38)-LOG(K38))</f>
        <v>0.53574176742011492</v>
      </c>
      <c r="P38" s="4">
        <f>P35+O38</f>
        <v>10.198304847249251</v>
      </c>
    </row>
    <row r="39" spans="1:16" ht="14.25" customHeight="1" x14ac:dyDescent="0.35">
      <c r="A39" s="2"/>
      <c r="B39" s="109"/>
      <c r="C39" s="129"/>
      <c r="D39" s="92" t="s">
        <v>66</v>
      </c>
      <c r="E39" s="52">
        <v>1</v>
      </c>
      <c r="F39" s="52">
        <v>1</v>
      </c>
      <c r="G39" s="52">
        <v>2</v>
      </c>
      <c r="H39" s="52">
        <v>2</v>
      </c>
      <c r="I39" s="2">
        <f t="shared" si="0"/>
        <v>1.5</v>
      </c>
      <c r="J39" s="2"/>
      <c r="K39" s="2"/>
      <c r="L39" s="2"/>
      <c r="M39" s="2"/>
      <c r="N39" s="20"/>
      <c r="O39" s="2"/>
      <c r="P39" s="2"/>
    </row>
    <row r="40" spans="1:16" ht="14.25" customHeight="1" x14ac:dyDescent="0.35">
      <c r="A40" s="2"/>
      <c r="B40" s="109"/>
      <c r="C40" s="129"/>
      <c r="D40" s="92" t="s">
        <v>67</v>
      </c>
      <c r="E40" s="52">
        <v>6</v>
      </c>
      <c r="F40" s="52">
        <v>6</v>
      </c>
      <c r="G40" s="52">
        <v>9</v>
      </c>
      <c r="H40" s="52">
        <v>4</v>
      </c>
      <c r="I40" s="2">
        <f t="shared" si="0"/>
        <v>6.25</v>
      </c>
      <c r="J40" s="2"/>
      <c r="K40" s="2"/>
      <c r="L40" s="2"/>
      <c r="M40" s="2"/>
      <c r="N40" s="20"/>
      <c r="O40" s="2"/>
      <c r="P40" s="2"/>
    </row>
    <row r="41" spans="1:16" ht="14.25" customHeight="1" x14ac:dyDescent="0.35">
      <c r="A41" s="1" t="s">
        <v>16</v>
      </c>
      <c r="B41" s="109">
        <v>77</v>
      </c>
      <c r="C41" s="129" t="s">
        <v>43</v>
      </c>
      <c r="D41" s="91" t="s">
        <v>65</v>
      </c>
      <c r="E41" s="52">
        <v>49</v>
      </c>
      <c r="F41" s="52">
        <v>42</v>
      </c>
      <c r="G41" s="52">
        <v>39</v>
      </c>
      <c r="H41" s="52">
        <v>58</v>
      </c>
      <c r="I41" s="2">
        <f t="shared" si="0"/>
        <v>47</v>
      </c>
      <c r="J41" s="2">
        <f>I41*2*10000</f>
        <v>940000</v>
      </c>
      <c r="K41" s="2">
        <v>3000000</v>
      </c>
      <c r="L41" s="2">
        <f>J41*5</f>
        <v>4700000</v>
      </c>
      <c r="M41" s="3">
        <f>I41/(I41+I42)*100</f>
        <v>97.409326424870471</v>
      </c>
      <c r="N41" s="22">
        <f>I43/I41*100</f>
        <v>18.617021276595743</v>
      </c>
      <c r="O41" s="4">
        <f>3.32*(LOG(L41)-LOG(K41))</f>
        <v>0.64732232267730083</v>
      </c>
      <c r="P41" s="4">
        <f>P38+O41</f>
        <v>10.845627169926551</v>
      </c>
    </row>
    <row r="42" spans="1:16" ht="14.25" customHeight="1" x14ac:dyDescent="0.35">
      <c r="A42" s="2"/>
      <c r="B42" s="109"/>
      <c r="C42" s="129"/>
      <c r="D42" s="92" t="s">
        <v>66</v>
      </c>
      <c r="E42" s="52">
        <v>3</v>
      </c>
      <c r="F42" s="52">
        <v>1</v>
      </c>
      <c r="G42" s="52">
        <v>0</v>
      </c>
      <c r="H42" s="52">
        <v>1</v>
      </c>
      <c r="I42" s="2">
        <f t="shared" si="0"/>
        <v>1.25</v>
      </c>
      <c r="J42" s="2"/>
      <c r="K42" s="2"/>
      <c r="L42" s="2"/>
      <c r="M42" s="2"/>
      <c r="N42" s="20"/>
      <c r="O42" s="2"/>
      <c r="P42" s="2"/>
    </row>
    <row r="43" spans="1:16" ht="14.25" customHeight="1" x14ac:dyDescent="0.35">
      <c r="A43" s="2"/>
      <c r="B43" s="109"/>
      <c r="C43" s="129"/>
      <c r="D43" s="92" t="s">
        <v>67</v>
      </c>
      <c r="E43" s="52">
        <v>10</v>
      </c>
      <c r="F43" s="52">
        <v>8</v>
      </c>
      <c r="G43" s="52">
        <v>4</v>
      </c>
      <c r="H43" s="52">
        <v>13</v>
      </c>
      <c r="I43" s="2">
        <f t="shared" si="0"/>
        <v>8.75</v>
      </c>
      <c r="J43" s="2"/>
      <c r="K43" s="2"/>
      <c r="L43" s="2"/>
      <c r="M43" s="2"/>
      <c r="N43" s="20"/>
      <c r="O43" s="2"/>
      <c r="P43" s="2"/>
    </row>
    <row r="44" spans="1:16" ht="14.25" customHeight="1" x14ac:dyDescent="0.35">
      <c r="A44" s="1" t="s">
        <v>17</v>
      </c>
      <c r="B44" s="109">
        <v>86</v>
      </c>
      <c r="C44" s="129" t="s">
        <v>43</v>
      </c>
      <c r="D44" s="91" t="s">
        <v>65</v>
      </c>
      <c r="E44" s="52">
        <v>212</v>
      </c>
      <c r="F44" s="52">
        <v>204</v>
      </c>
      <c r="G44" s="52">
        <v>204</v>
      </c>
      <c r="H44" s="52">
        <v>220</v>
      </c>
      <c r="I44" s="2">
        <f t="shared" si="0"/>
        <v>210</v>
      </c>
      <c r="J44" s="2">
        <f>I44*2*10000</f>
        <v>4200000</v>
      </c>
      <c r="K44" s="2">
        <v>3000000</v>
      </c>
      <c r="L44" s="2">
        <f>J44*5</f>
        <v>21000000</v>
      </c>
      <c r="M44" s="3">
        <f>I44/(I44+I45)*100</f>
        <v>98.591549295774655</v>
      </c>
      <c r="N44" s="22">
        <f>I46/I44*100</f>
        <v>2.6190476190476191</v>
      </c>
      <c r="O44" s="4">
        <f>3.32*(LOG(L44)-LOG(K44))</f>
        <v>2.805725492847333</v>
      </c>
      <c r="P44" s="4">
        <f>P41+O44</f>
        <v>13.651352662773885</v>
      </c>
    </row>
    <row r="45" spans="1:16" ht="14.25" customHeight="1" x14ac:dyDescent="0.35">
      <c r="A45" s="2"/>
      <c r="B45" s="109"/>
      <c r="C45" s="129"/>
      <c r="D45" s="92" t="s">
        <v>66</v>
      </c>
      <c r="E45" s="52">
        <v>3</v>
      </c>
      <c r="F45" s="52">
        <v>2</v>
      </c>
      <c r="G45" s="52">
        <v>4</v>
      </c>
      <c r="H45" s="52">
        <v>3</v>
      </c>
      <c r="I45" s="2">
        <f t="shared" si="0"/>
        <v>3</v>
      </c>
      <c r="J45" s="2"/>
      <c r="K45" s="2"/>
      <c r="L45" s="2"/>
      <c r="M45" s="2"/>
      <c r="N45" s="20"/>
      <c r="O45" s="2"/>
      <c r="P45" s="2"/>
    </row>
    <row r="46" spans="1:16" ht="14.25" customHeight="1" x14ac:dyDescent="0.35">
      <c r="A46" s="2"/>
      <c r="B46" s="109"/>
      <c r="C46" s="129"/>
      <c r="D46" s="92" t="s">
        <v>67</v>
      </c>
      <c r="E46" s="52">
        <v>6</v>
      </c>
      <c r="F46" s="52">
        <v>4</v>
      </c>
      <c r="G46" s="52">
        <v>5</v>
      </c>
      <c r="H46" s="52">
        <v>7</v>
      </c>
      <c r="I46" s="2">
        <f t="shared" si="0"/>
        <v>5.5</v>
      </c>
      <c r="J46" s="2"/>
      <c r="K46" s="2"/>
      <c r="L46" s="2"/>
      <c r="M46" s="2"/>
      <c r="N46" s="20"/>
      <c r="O46" s="2"/>
      <c r="P46" s="2"/>
    </row>
    <row r="47" spans="1:16" ht="14.25" customHeight="1" x14ac:dyDescent="0.35">
      <c r="A47" s="1" t="s">
        <v>18</v>
      </c>
      <c r="B47" s="109">
        <v>98</v>
      </c>
      <c r="C47" s="129" t="s">
        <v>43</v>
      </c>
      <c r="D47" s="91" t="s">
        <v>65</v>
      </c>
      <c r="E47" s="52">
        <v>46</v>
      </c>
      <c r="F47" s="52">
        <v>39</v>
      </c>
      <c r="G47" s="52">
        <v>44</v>
      </c>
      <c r="H47" s="52">
        <v>46</v>
      </c>
      <c r="I47" s="2">
        <f t="shared" si="0"/>
        <v>43.75</v>
      </c>
      <c r="J47" s="2">
        <f>I47*2*10000</f>
        <v>875000</v>
      </c>
      <c r="K47" s="2">
        <v>3000000</v>
      </c>
      <c r="L47" s="2">
        <f>J47*5</f>
        <v>4375000</v>
      </c>
      <c r="M47" s="3">
        <f>I47/(I47+I48)*100</f>
        <v>94.594594594594597</v>
      </c>
      <c r="N47" s="22">
        <f>I49/I47*100</f>
        <v>9.7142857142857135</v>
      </c>
      <c r="O47" s="4">
        <f>3.32*(LOG(L47)-LOG(K47))</f>
        <v>0.54400458476038205</v>
      </c>
      <c r="P47" s="4">
        <f>P44+O47</f>
        <v>14.195357247534266</v>
      </c>
    </row>
    <row r="48" spans="1:16" ht="14.25" customHeight="1" x14ac:dyDescent="0.35">
      <c r="A48" s="2"/>
      <c r="B48" s="109"/>
      <c r="C48" s="129"/>
      <c r="D48" s="92" t="s">
        <v>66</v>
      </c>
      <c r="E48" s="52">
        <v>1</v>
      </c>
      <c r="F48" s="52">
        <v>3</v>
      </c>
      <c r="G48" s="52">
        <v>3</v>
      </c>
      <c r="H48" s="52">
        <v>3</v>
      </c>
      <c r="I48" s="2">
        <f t="shared" si="0"/>
        <v>2.5</v>
      </c>
      <c r="J48" s="2"/>
      <c r="K48" s="2"/>
      <c r="L48" s="2"/>
      <c r="M48" s="2"/>
      <c r="N48" s="20"/>
      <c r="O48" s="2"/>
      <c r="P48" s="2"/>
    </row>
    <row r="49" spans="1:17" ht="14.25" customHeight="1" x14ac:dyDescent="0.35">
      <c r="A49" s="2"/>
      <c r="B49" s="109"/>
      <c r="C49" s="129"/>
      <c r="D49" s="92" t="s">
        <v>67</v>
      </c>
      <c r="E49" s="52">
        <v>2</v>
      </c>
      <c r="F49" s="52">
        <v>7</v>
      </c>
      <c r="G49" s="52">
        <v>4</v>
      </c>
      <c r="H49" s="52">
        <v>4</v>
      </c>
      <c r="I49" s="2">
        <f t="shared" si="0"/>
        <v>4.25</v>
      </c>
      <c r="J49" s="2"/>
      <c r="K49" s="2"/>
      <c r="L49" s="2"/>
      <c r="M49" s="2"/>
      <c r="N49" s="20"/>
      <c r="O49" s="2"/>
      <c r="P49" s="2"/>
    </row>
    <row r="50" spans="1:17" ht="14.25" customHeight="1" x14ac:dyDescent="0.35">
      <c r="A50" s="1" t="s">
        <v>19</v>
      </c>
      <c r="B50" s="109">
        <v>105</v>
      </c>
      <c r="C50" s="129" t="s">
        <v>43</v>
      </c>
      <c r="D50" s="91" t="s">
        <v>65</v>
      </c>
      <c r="E50" s="52">
        <v>45</v>
      </c>
      <c r="F50" s="52">
        <v>43</v>
      </c>
      <c r="G50" s="52">
        <v>45</v>
      </c>
      <c r="H50" s="52">
        <v>42</v>
      </c>
      <c r="I50" s="2">
        <f t="shared" si="0"/>
        <v>43.75</v>
      </c>
      <c r="J50" s="2">
        <f>I50*2*10000</f>
        <v>875000</v>
      </c>
      <c r="K50" s="2">
        <v>3000000</v>
      </c>
      <c r="L50" s="2">
        <f>J50*5</f>
        <v>4375000</v>
      </c>
      <c r="M50" s="3">
        <f>I50/(I50+I51)*100</f>
        <v>93.582887700534755</v>
      </c>
      <c r="N50" s="22">
        <f>I52/I50*100</f>
        <v>1.1428571428571428</v>
      </c>
      <c r="O50" s="4">
        <f>3.32*(LOG(L50)-LOG(K50))</f>
        <v>0.54400458476038205</v>
      </c>
      <c r="P50" s="4">
        <f>P47+O50</f>
        <v>14.739361832294648</v>
      </c>
    </row>
    <row r="51" spans="1:17" ht="14.25" customHeight="1" x14ac:dyDescent="0.35">
      <c r="A51" s="2"/>
      <c r="B51" s="109"/>
      <c r="C51" s="129"/>
      <c r="D51" s="92" t="s">
        <v>66</v>
      </c>
      <c r="E51" s="52">
        <v>3</v>
      </c>
      <c r="F51" s="52">
        <v>2</v>
      </c>
      <c r="G51" s="52">
        <v>3</v>
      </c>
      <c r="H51" s="52">
        <v>4</v>
      </c>
      <c r="I51" s="2">
        <f t="shared" si="0"/>
        <v>3</v>
      </c>
      <c r="J51" s="2"/>
      <c r="K51" s="2"/>
      <c r="L51" s="2"/>
      <c r="M51" s="2"/>
      <c r="N51" s="20"/>
      <c r="O51" s="2"/>
      <c r="P51" s="2"/>
    </row>
    <row r="52" spans="1:17" ht="14.25" customHeight="1" x14ac:dyDescent="0.35">
      <c r="A52" s="2"/>
      <c r="B52" s="109"/>
      <c r="C52" s="129"/>
      <c r="D52" s="92" t="s">
        <v>67</v>
      </c>
      <c r="E52" s="52">
        <v>0</v>
      </c>
      <c r="F52" s="52">
        <v>1</v>
      </c>
      <c r="G52" s="52">
        <v>1</v>
      </c>
      <c r="H52" s="52">
        <v>0</v>
      </c>
      <c r="I52" s="2">
        <f t="shared" si="0"/>
        <v>0.5</v>
      </c>
      <c r="J52" s="2"/>
      <c r="K52" s="2"/>
      <c r="L52" s="2"/>
      <c r="M52" s="2"/>
      <c r="N52" s="20"/>
      <c r="O52" s="2"/>
      <c r="P52" s="2"/>
    </row>
    <row r="53" spans="1:17" ht="14.25" customHeight="1" x14ac:dyDescent="0.35">
      <c r="A53" s="1" t="s">
        <v>20</v>
      </c>
      <c r="B53" s="109">
        <v>112</v>
      </c>
      <c r="C53" s="129" t="s">
        <v>43</v>
      </c>
      <c r="D53" s="91" t="s">
        <v>65</v>
      </c>
      <c r="E53" s="52">
        <v>73</v>
      </c>
      <c r="F53" s="52">
        <v>70</v>
      </c>
      <c r="G53" s="52">
        <v>65</v>
      </c>
      <c r="H53" s="52">
        <v>77</v>
      </c>
      <c r="I53" s="2">
        <f t="shared" si="0"/>
        <v>71.25</v>
      </c>
      <c r="J53" s="2">
        <f>I53*2*10000</f>
        <v>1425000</v>
      </c>
      <c r="K53" s="2">
        <v>3000000</v>
      </c>
      <c r="L53" s="2">
        <f>J53*5</f>
        <v>7125000</v>
      </c>
      <c r="M53" s="3">
        <f>I53/(I53+I54)*100</f>
        <v>98.958333333333343</v>
      </c>
      <c r="N53" s="22">
        <f>I55/I53*100</f>
        <v>3.5087719298245612</v>
      </c>
      <c r="O53" s="4">
        <f>3.32*(LOG(L53)-LOG(K53))</f>
        <v>1.2472031983501384</v>
      </c>
      <c r="P53" s="4">
        <f>P50+O53</f>
        <v>15.986565030644787</v>
      </c>
      <c r="Q53" s="2" t="s">
        <v>49</v>
      </c>
    </row>
    <row r="54" spans="1:17" ht="14.25" customHeight="1" x14ac:dyDescent="0.35">
      <c r="A54" s="2"/>
      <c r="B54" s="109"/>
      <c r="C54" s="129"/>
      <c r="D54" s="92" t="s">
        <v>66</v>
      </c>
      <c r="E54" s="52">
        <v>1</v>
      </c>
      <c r="F54" s="52">
        <v>1</v>
      </c>
      <c r="G54" s="52">
        <v>1</v>
      </c>
      <c r="H54" s="52">
        <v>0</v>
      </c>
      <c r="I54" s="2">
        <f t="shared" si="0"/>
        <v>0.75</v>
      </c>
      <c r="J54" s="2"/>
      <c r="K54" s="2"/>
      <c r="L54" s="2"/>
      <c r="M54" s="2"/>
      <c r="N54" s="20"/>
      <c r="O54" s="2"/>
      <c r="P54" s="2"/>
    </row>
    <row r="55" spans="1:17" ht="14.25" customHeight="1" x14ac:dyDescent="0.35">
      <c r="A55" s="2"/>
      <c r="B55" s="109"/>
      <c r="C55" s="129"/>
      <c r="D55" s="92" t="s">
        <v>67</v>
      </c>
      <c r="E55" s="52">
        <v>1</v>
      </c>
      <c r="F55" s="52">
        <v>4</v>
      </c>
      <c r="G55" s="52">
        <v>3</v>
      </c>
      <c r="H55" s="52">
        <v>2</v>
      </c>
      <c r="I55" s="2">
        <f t="shared" si="0"/>
        <v>2.5</v>
      </c>
      <c r="J55" s="2"/>
      <c r="K55" s="2"/>
      <c r="L55" s="2"/>
      <c r="M55" s="2"/>
      <c r="N55" s="20"/>
      <c r="O55" s="2"/>
      <c r="P55" s="2"/>
    </row>
    <row r="56" spans="1:17" ht="14.25" customHeight="1" x14ac:dyDescent="0.35">
      <c r="A56" s="1" t="s">
        <v>21</v>
      </c>
      <c r="B56" s="109">
        <v>119</v>
      </c>
      <c r="C56" s="129" t="s">
        <v>43</v>
      </c>
      <c r="D56" s="91" t="s">
        <v>65</v>
      </c>
      <c r="E56" s="52">
        <v>56</v>
      </c>
      <c r="F56" s="52">
        <v>54</v>
      </c>
      <c r="G56" s="52">
        <v>38</v>
      </c>
      <c r="H56" s="52">
        <v>70</v>
      </c>
      <c r="I56" s="2">
        <f t="shared" si="0"/>
        <v>54.5</v>
      </c>
      <c r="J56" s="2">
        <f>I56*2*10000</f>
        <v>1090000</v>
      </c>
      <c r="K56" s="2">
        <v>6000000</v>
      </c>
      <c r="L56" s="2">
        <f>J56*10</f>
        <v>10900000</v>
      </c>
      <c r="M56" s="3">
        <f>I56/(I56+I57)*100</f>
        <v>100</v>
      </c>
      <c r="N56" s="22">
        <f>I58/I56*100</f>
        <v>1.834862385321101</v>
      </c>
      <c r="O56" s="4">
        <f>3.32*(LOG(L56)-LOG(K56))</f>
        <v>0.86079382188917342</v>
      </c>
      <c r="P56" s="4">
        <f>P53+O56</f>
        <v>16.847358852533961</v>
      </c>
      <c r="Q56" s="2" t="s">
        <v>49</v>
      </c>
    </row>
    <row r="57" spans="1:17" ht="14.25" customHeight="1" x14ac:dyDescent="0.35">
      <c r="A57" s="2"/>
      <c r="B57" s="109"/>
      <c r="C57" s="129"/>
      <c r="D57" s="92" t="s">
        <v>66</v>
      </c>
      <c r="E57" s="52">
        <v>0</v>
      </c>
      <c r="F57" s="52">
        <v>0</v>
      </c>
      <c r="G57" s="52">
        <v>0</v>
      </c>
      <c r="H57" s="52">
        <v>0</v>
      </c>
      <c r="I57" s="2">
        <f t="shared" si="0"/>
        <v>0</v>
      </c>
      <c r="J57" s="2"/>
      <c r="K57" s="2"/>
      <c r="L57" s="2"/>
      <c r="M57" s="2"/>
      <c r="N57" s="20"/>
      <c r="O57" s="2"/>
      <c r="P57" s="2"/>
    </row>
    <row r="58" spans="1:17" ht="14.25" customHeight="1" x14ac:dyDescent="0.35">
      <c r="A58" s="2"/>
      <c r="B58" s="109"/>
      <c r="C58" s="129"/>
      <c r="D58" s="92" t="s">
        <v>67</v>
      </c>
      <c r="E58" s="52">
        <v>1</v>
      </c>
      <c r="F58" s="52">
        <v>0</v>
      </c>
      <c r="G58" s="52">
        <v>3</v>
      </c>
      <c r="H58" s="52">
        <v>0</v>
      </c>
      <c r="I58" s="2">
        <f t="shared" si="0"/>
        <v>1</v>
      </c>
      <c r="J58" s="2"/>
      <c r="K58" s="2"/>
      <c r="L58" s="2"/>
      <c r="M58" s="2"/>
      <c r="N58" s="20"/>
      <c r="O58" s="2"/>
      <c r="P58" s="2"/>
    </row>
    <row r="59" spans="1:17" ht="14.25" customHeight="1" x14ac:dyDescent="0.35">
      <c r="A59" s="1" t="s">
        <v>22</v>
      </c>
      <c r="B59" s="109">
        <v>126</v>
      </c>
      <c r="C59" s="129" t="s">
        <v>43</v>
      </c>
      <c r="D59" s="91" t="s">
        <v>65</v>
      </c>
      <c r="E59" s="52">
        <v>57</v>
      </c>
      <c r="F59" s="52">
        <v>44</v>
      </c>
      <c r="G59" s="52">
        <v>61</v>
      </c>
      <c r="H59" s="52">
        <v>62</v>
      </c>
      <c r="I59" s="2">
        <f t="shared" si="0"/>
        <v>56</v>
      </c>
      <c r="J59" s="2">
        <f>I59*2*10000</f>
        <v>1120000</v>
      </c>
      <c r="K59" s="2">
        <v>6000000</v>
      </c>
      <c r="L59" s="2">
        <f>J59*10</f>
        <v>11200000</v>
      </c>
      <c r="M59" s="3">
        <f>I59/(I59+I60)*100</f>
        <v>98.678414096916299</v>
      </c>
      <c r="N59" s="22">
        <f>I61/I59*100</f>
        <v>0</v>
      </c>
      <c r="O59" s="4">
        <f>3.32*(LOG(L59)-LOG(K59))</f>
        <v>0.89994168399130636</v>
      </c>
      <c r="P59" s="4">
        <f>P56+O59</f>
        <v>17.747300536525266</v>
      </c>
      <c r="Q59" s="2" t="s">
        <v>49</v>
      </c>
    </row>
    <row r="60" spans="1:17" ht="14.25" customHeight="1" x14ac:dyDescent="0.35">
      <c r="A60" s="2"/>
      <c r="B60" s="109"/>
      <c r="C60" s="129"/>
      <c r="D60" s="92" t="s">
        <v>66</v>
      </c>
      <c r="E60" s="52">
        <v>1</v>
      </c>
      <c r="F60" s="52">
        <v>1</v>
      </c>
      <c r="G60" s="52">
        <v>1</v>
      </c>
      <c r="H60" s="52">
        <v>0</v>
      </c>
      <c r="I60" s="2">
        <f t="shared" si="0"/>
        <v>0.75</v>
      </c>
      <c r="J60" s="2"/>
      <c r="K60" s="2"/>
      <c r="L60" s="2"/>
      <c r="M60" s="2"/>
      <c r="N60" s="20"/>
      <c r="O60" s="2"/>
      <c r="P60" s="2"/>
    </row>
    <row r="61" spans="1:17" ht="14.25" customHeight="1" x14ac:dyDescent="0.35">
      <c r="A61" s="2"/>
      <c r="B61" s="109"/>
      <c r="C61" s="129"/>
      <c r="D61" s="92" t="s">
        <v>67</v>
      </c>
      <c r="E61" s="52">
        <v>0</v>
      </c>
      <c r="F61" s="52">
        <v>0</v>
      </c>
      <c r="G61" s="52">
        <v>0</v>
      </c>
      <c r="H61" s="52">
        <v>0</v>
      </c>
      <c r="I61" s="2">
        <f t="shared" si="0"/>
        <v>0</v>
      </c>
      <c r="J61" s="2"/>
      <c r="K61" s="2"/>
      <c r="L61" s="2"/>
      <c r="M61" s="2"/>
      <c r="N61" s="20"/>
      <c r="O61" s="2"/>
      <c r="P61" s="2"/>
    </row>
    <row r="62" spans="1:17" ht="14.25" customHeight="1" x14ac:dyDescent="0.35">
      <c r="A62" s="1" t="s">
        <v>23</v>
      </c>
      <c r="B62" s="109">
        <v>133</v>
      </c>
      <c r="C62" s="129" t="s">
        <v>43</v>
      </c>
      <c r="D62" s="91" t="s">
        <v>65</v>
      </c>
      <c r="E62" s="52">
        <v>36</v>
      </c>
      <c r="F62" s="52">
        <v>40</v>
      </c>
      <c r="G62" s="52">
        <v>47</v>
      </c>
      <c r="H62" s="52">
        <v>43</v>
      </c>
      <c r="I62" s="2">
        <f t="shared" si="0"/>
        <v>41.5</v>
      </c>
      <c r="J62" s="2">
        <f>I62*2*10000</f>
        <v>830000</v>
      </c>
      <c r="K62" s="2">
        <v>6000000</v>
      </c>
      <c r="L62" s="2">
        <f>J62*10</f>
        <v>8300000</v>
      </c>
      <c r="M62" s="3">
        <f>I62/(I62+I63)*100</f>
        <v>96.511627906976756</v>
      </c>
      <c r="N62" s="22">
        <f>I64/I62*100</f>
        <v>0.60240963855421692</v>
      </c>
      <c r="O62" s="4">
        <f>3.32*(LOG(L62)-LOG(K62))</f>
        <v>0.46787711541486721</v>
      </c>
      <c r="P62" s="4">
        <f>P59+O62</f>
        <v>18.215177651940134</v>
      </c>
      <c r="Q62" s="2" t="s">
        <v>49</v>
      </c>
    </row>
    <row r="63" spans="1:17" ht="14.25" customHeight="1" x14ac:dyDescent="0.35">
      <c r="A63" s="2"/>
      <c r="B63" s="109"/>
      <c r="C63" s="129"/>
      <c r="D63" s="92" t="s">
        <v>66</v>
      </c>
      <c r="E63" s="52">
        <v>1</v>
      </c>
      <c r="F63" s="52">
        <v>3</v>
      </c>
      <c r="G63" s="52">
        <v>1</v>
      </c>
      <c r="H63" s="52">
        <v>1</v>
      </c>
      <c r="I63" s="2">
        <f t="shared" si="0"/>
        <v>1.5</v>
      </c>
      <c r="J63" s="2"/>
      <c r="K63" s="2"/>
      <c r="L63" s="2"/>
      <c r="M63" s="2"/>
      <c r="N63" s="20"/>
      <c r="O63" s="2"/>
      <c r="P63" s="2"/>
    </row>
    <row r="64" spans="1:17" ht="14.25" customHeight="1" x14ac:dyDescent="0.35">
      <c r="A64" s="2"/>
      <c r="B64" s="109"/>
      <c r="C64" s="129"/>
      <c r="D64" s="92" t="s">
        <v>67</v>
      </c>
      <c r="E64" s="52">
        <v>0</v>
      </c>
      <c r="F64" s="52">
        <v>1</v>
      </c>
      <c r="G64" s="52">
        <v>0</v>
      </c>
      <c r="H64" s="52">
        <v>0</v>
      </c>
      <c r="I64" s="2">
        <f t="shared" si="0"/>
        <v>0.25</v>
      </c>
      <c r="J64" s="2"/>
      <c r="K64" s="2"/>
      <c r="L64" s="2"/>
      <c r="M64" s="2"/>
      <c r="N64" s="20"/>
      <c r="O64" s="2"/>
      <c r="P64" s="2"/>
    </row>
    <row r="65" spans="1:17" ht="14.25" customHeight="1" x14ac:dyDescent="0.35">
      <c r="A65" s="1" t="s">
        <v>24</v>
      </c>
      <c r="B65" s="109">
        <v>140</v>
      </c>
      <c r="C65" s="129" t="s">
        <v>43</v>
      </c>
      <c r="D65" s="91" t="s">
        <v>65</v>
      </c>
      <c r="E65" s="52">
        <v>41</v>
      </c>
      <c r="F65" s="52">
        <v>41</v>
      </c>
      <c r="G65" s="52">
        <v>54</v>
      </c>
      <c r="H65" s="52">
        <v>50</v>
      </c>
      <c r="I65" s="2">
        <f t="shared" si="0"/>
        <v>46.5</v>
      </c>
      <c r="J65" s="2">
        <f>I65*2*10000</f>
        <v>930000</v>
      </c>
      <c r="K65" s="2">
        <v>6000000</v>
      </c>
      <c r="L65" s="2">
        <f>J65*10</f>
        <v>9300000</v>
      </c>
      <c r="M65" s="3">
        <f>I65/(I65+I66)*100</f>
        <v>98.936170212765958</v>
      </c>
      <c r="N65" s="22">
        <f>I67/I65*100</f>
        <v>0.53763440860215062</v>
      </c>
      <c r="O65" s="4">
        <f>3.32*(LOG(L65)-LOG(K65))</f>
        <v>0.6319012379253659</v>
      </c>
      <c r="P65" s="4">
        <f>P62+O65</f>
        <v>18.8470788898655</v>
      </c>
      <c r="Q65" s="2" t="s">
        <v>49</v>
      </c>
    </row>
    <row r="66" spans="1:17" ht="14.25" customHeight="1" x14ac:dyDescent="0.35">
      <c r="A66" s="2"/>
      <c r="B66" s="109"/>
      <c r="C66" s="129"/>
      <c r="D66" s="92" t="s">
        <v>66</v>
      </c>
      <c r="E66" s="52">
        <v>1</v>
      </c>
      <c r="F66" s="52">
        <v>0</v>
      </c>
      <c r="G66" s="52">
        <v>0</v>
      </c>
      <c r="H66" s="52">
        <v>1</v>
      </c>
      <c r="I66" s="2">
        <f t="shared" si="0"/>
        <v>0.5</v>
      </c>
      <c r="J66" s="2"/>
      <c r="K66" s="2"/>
      <c r="L66" s="2"/>
      <c r="M66" s="2"/>
      <c r="N66" s="20"/>
      <c r="O66" s="2"/>
      <c r="P66" s="2"/>
    </row>
    <row r="67" spans="1:17" ht="14.25" customHeight="1" x14ac:dyDescent="0.35">
      <c r="A67" s="2"/>
      <c r="B67" s="109"/>
      <c r="C67" s="129"/>
      <c r="D67" s="92" t="s">
        <v>67</v>
      </c>
      <c r="E67" s="52">
        <v>1</v>
      </c>
      <c r="F67" s="52">
        <v>0</v>
      </c>
      <c r="G67" s="52">
        <v>0</v>
      </c>
      <c r="H67" s="52">
        <v>0</v>
      </c>
      <c r="I67" s="2">
        <f t="shared" si="0"/>
        <v>0.25</v>
      </c>
      <c r="J67" s="2"/>
      <c r="K67" s="2"/>
      <c r="L67" s="2"/>
      <c r="M67" s="2"/>
      <c r="N67" s="20"/>
      <c r="O67" s="2"/>
      <c r="P67" s="2"/>
    </row>
    <row r="68" spans="1:17" ht="14.25" customHeight="1" x14ac:dyDescent="0.35">
      <c r="A68" s="1" t="s">
        <v>25</v>
      </c>
      <c r="B68" s="109">
        <v>147</v>
      </c>
      <c r="C68" s="129" t="s">
        <v>43</v>
      </c>
      <c r="D68" s="91" t="s">
        <v>65</v>
      </c>
      <c r="E68" s="52">
        <v>33</v>
      </c>
      <c r="F68" s="52">
        <v>36</v>
      </c>
      <c r="G68" s="52">
        <v>41</v>
      </c>
      <c r="H68" s="52">
        <v>31</v>
      </c>
      <c r="I68" s="2">
        <f t="shared" si="0"/>
        <v>35.25</v>
      </c>
      <c r="J68" s="2">
        <f>I68*2*10000</f>
        <v>705000</v>
      </c>
      <c r="K68" s="2">
        <v>6000000</v>
      </c>
      <c r="L68" s="2">
        <f>J68*10</f>
        <v>7050000</v>
      </c>
      <c r="M68" s="3">
        <f>I68/(I68+I69)*100</f>
        <v>97.241379310344826</v>
      </c>
      <c r="N68" s="22">
        <f>I70/I68*100</f>
        <v>0.70921985815602839</v>
      </c>
      <c r="O68" s="4">
        <f>3.32*(LOG(L68)-LOG(K68))</f>
        <v>0.23252571713774517</v>
      </c>
      <c r="P68" s="4">
        <f>P65+O68</f>
        <v>19.079604607003244</v>
      </c>
      <c r="Q68" s="2" t="s">
        <v>49</v>
      </c>
    </row>
    <row r="69" spans="1:17" ht="14.25" customHeight="1" x14ac:dyDescent="0.35">
      <c r="A69" s="2"/>
      <c r="B69" s="109"/>
      <c r="C69" s="129"/>
      <c r="D69" s="92" t="s">
        <v>66</v>
      </c>
      <c r="E69" s="52">
        <v>2</v>
      </c>
      <c r="F69" s="52">
        <v>1</v>
      </c>
      <c r="G69" s="52">
        <v>0</v>
      </c>
      <c r="H69" s="52">
        <v>1</v>
      </c>
      <c r="I69" s="2">
        <f t="shared" si="0"/>
        <v>1</v>
      </c>
      <c r="J69" s="2"/>
      <c r="K69" s="2"/>
      <c r="L69" s="2"/>
      <c r="M69" s="2"/>
      <c r="N69" s="20"/>
      <c r="O69" s="2"/>
      <c r="P69" s="2"/>
    </row>
    <row r="70" spans="1:17" ht="14.25" customHeight="1" x14ac:dyDescent="0.35">
      <c r="A70" s="2"/>
      <c r="B70" s="109"/>
      <c r="C70" s="129"/>
      <c r="D70" s="92" t="s">
        <v>67</v>
      </c>
      <c r="E70" s="52">
        <v>0</v>
      </c>
      <c r="F70" s="52">
        <v>0</v>
      </c>
      <c r="G70" s="52">
        <v>1</v>
      </c>
      <c r="H70" s="52">
        <v>0</v>
      </c>
      <c r="I70" s="2">
        <f t="shared" si="0"/>
        <v>0.25</v>
      </c>
      <c r="J70" s="2"/>
      <c r="K70" s="2"/>
      <c r="L70" s="2"/>
      <c r="M70" s="2"/>
      <c r="N70" s="20"/>
      <c r="O70" s="2"/>
      <c r="P70" s="2"/>
    </row>
    <row r="71" spans="1:17" ht="14.25" customHeight="1" x14ac:dyDescent="0.35">
      <c r="A71" s="1" t="s">
        <v>26</v>
      </c>
      <c r="B71" s="109">
        <v>154</v>
      </c>
      <c r="C71" s="129" t="s">
        <v>43</v>
      </c>
      <c r="D71" s="91" t="s">
        <v>65</v>
      </c>
      <c r="E71" s="52">
        <v>84</v>
      </c>
      <c r="F71" s="52">
        <v>86</v>
      </c>
      <c r="G71" s="52">
        <v>90</v>
      </c>
      <c r="H71" s="52">
        <v>78</v>
      </c>
      <c r="I71" s="2">
        <f t="shared" si="0"/>
        <v>84.5</v>
      </c>
      <c r="J71" s="2">
        <f>I71*2*10000</f>
        <v>1690000</v>
      </c>
      <c r="K71" s="2">
        <v>6000000</v>
      </c>
      <c r="L71" s="2">
        <f>J71*10</f>
        <v>16900000</v>
      </c>
      <c r="M71" s="3">
        <f>I71/(I71+I72)*100</f>
        <v>98.830409356725141</v>
      </c>
      <c r="N71" s="22">
        <f>I73/I71*100</f>
        <v>1.1834319526627219</v>
      </c>
      <c r="O71" s="4">
        <f>3.32*(LOG(L71)-LOG(K71))</f>
        <v>1.4931217080436996</v>
      </c>
      <c r="P71" s="4">
        <f>P68+O71</f>
        <v>20.572726315046943</v>
      </c>
      <c r="Q71" s="2" t="s">
        <v>49</v>
      </c>
    </row>
    <row r="72" spans="1:17" ht="14.25" customHeight="1" x14ac:dyDescent="0.35">
      <c r="A72" s="2"/>
      <c r="B72" s="109"/>
      <c r="C72" s="129"/>
      <c r="D72" s="92" t="s">
        <v>66</v>
      </c>
      <c r="E72" s="52">
        <v>1</v>
      </c>
      <c r="F72" s="52">
        <v>2</v>
      </c>
      <c r="G72" s="52">
        <v>0</v>
      </c>
      <c r="H72" s="52">
        <v>1</v>
      </c>
      <c r="I72" s="2">
        <f t="shared" si="0"/>
        <v>1</v>
      </c>
      <c r="J72" s="2"/>
      <c r="K72" s="2"/>
      <c r="L72" s="2"/>
      <c r="M72" s="2"/>
      <c r="N72" s="20"/>
      <c r="O72" s="2"/>
      <c r="P72" s="2"/>
    </row>
    <row r="73" spans="1:17" ht="14.25" customHeight="1" x14ac:dyDescent="0.35">
      <c r="A73" s="2"/>
      <c r="B73" s="109"/>
      <c r="C73" s="129"/>
      <c r="D73" s="92" t="s">
        <v>67</v>
      </c>
      <c r="E73" s="52">
        <v>2</v>
      </c>
      <c r="F73" s="52">
        <v>1</v>
      </c>
      <c r="G73" s="52">
        <v>0</v>
      </c>
      <c r="H73" s="52">
        <v>1</v>
      </c>
      <c r="I73" s="2">
        <f t="shared" si="0"/>
        <v>1</v>
      </c>
      <c r="J73" s="2"/>
      <c r="K73" s="2"/>
      <c r="L73" s="2"/>
      <c r="M73" s="2"/>
      <c r="N73" s="20"/>
      <c r="O73" s="2"/>
      <c r="P73" s="2"/>
    </row>
    <row r="74" spans="1:17" ht="14.25" customHeight="1" x14ac:dyDescent="0.35">
      <c r="A74" s="1" t="s">
        <v>27</v>
      </c>
      <c r="B74" s="109">
        <v>161</v>
      </c>
      <c r="C74" s="129" t="s">
        <v>43</v>
      </c>
      <c r="D74" s="91" t="s">
        <v>65</v>
      </c>
      <c r="E74" s="52">
        <v>89</v>
      </c>
      <c r="F74" s="52">
        <v>89</v>
      </c>
      <c r="G74" s="52">
        <v>102</v>
      </c>
      <c r="H74" s="52">
        <v>102</v>
      </c>
      <c r="I74" s="2">
        <f t="shared" si="0"/>
        <v>95.5</v>
      </c>
      <c r="J74" s="2">
        <f>I74*2*10000</f>
        <v>1910000</v>
      </c>
      <c r="K74" s="2">
        <v>6000000</v>
      </c>
      <c r="L74" s="2">
        <f>J74*10</f>
        <v>19100000</v>
      </c>
      <c r="M74" s="3">
        <f>I74/(I74+I75)*100</f>
        <v>98.963730569948183</v>
      </c>
      <c r="N74" s="22">
        <f>I76/I74*100</f>
        <v>1.5706806282722512</v>
      </c>
      <c r="O74" s="4">
        <f>3.32*(LOG(L74)-LOG(K74))</f>
        <v>1.6695686279887567</v>
      </c>
      <c r="P74" s="4">
        <f>P71+O74</f>
        <v>22.242294943035699</v>
      </c>
      <c r="Q74" s="2"/>
    </row>
    <row r="75" spans="1:17" ht="14.25" customHeight="1" x14ac:dyDescent="0.35">
      <c r="A75" s="2"/>
      <c r="B75" s="109"/>
      <c r="C75" s="129"/>
      <c r="D75" s="92" t="s">
        <v>66</v>
      </c>
      <c r="E75" s="52">
        <v>0</v>
      </c>
      <c r="F75" s="52">
        <v>1</v>
      </c>
      <c r="G75" s="52">
        <v>1</v>
      </c>
      <c r="H75" s="52">
        <v>2</v>
      </c>
      <c r="I75" s="2">
        <f t="shared" si="0"/>
        <v>1</v>
      </c>
      <c r="J75" s="2"/>
      <c r="K75" s="2"/>
      <c r="L75" s="2"/>
      <c r="M75" s="2"/>
      <c r="N75" s="20"/>
      <c r="O75" s="2"/>
      <c r="P75" s="2"/>
    </row>
    <row r="76" spans="1:17" ht="14.25" customHeight="1" x14ac:dyDescent="0.35">
      <c r="A76" s="2"/>
      <c r="B76" s="109"/>
      <c r="C76" s="129"/>
      <c r="D76" s="92" t="s">
        <v>67</v>
      </c>
      <c r="E76" s="52">
        <v>0</v>
      </c>
      <c r="F76" s="52">
        <v>1</v>
      </c>
      <c r="G76" s="52">
        <v>1</v>
      </c>
      <c r="H76" s="52">
        <v>4</v>
      </c>
      <c r="I76" s="2">
        <f t="shared" si="0"/>
        <v>1.5</v>
      </c>
      <c r="J76" s="2"/>
      <c r="K76" s="2"/>
      <c r="L76" s="2"/>
      <c r="M76" s="2"/>
      <c r="N76" s="20"/>
      <c r="O76" s="2"/>
      <c r="P76" s="2"/>
    </row>
    <row r="77" spans="1:17" ht="14.25" customHeight="1" x14ac:dyDescent="0.35">
      <c r="A77" s="1" t="s">
        <v>28</v>
      </c>
      <c r="B77" s="109">
        <v>169</v>
      </c>
      <c r="C77" s="129" t="s">
        <v>43</v>
      </c>
      <c r="D77" s="91" t="s">
        <v>65</v>
      </c>
      <c r="E77" s="52">
        <v>51</v>
      </c>
      <c r="F77" s="52">
        <v>65</v>
      </c>
      <c r="G77" s="52">
        <v>74</v>
      </c>
      <c r="H77" s="52">
        <v>62</v>
      </c>
      <c r="I77" s="2">
        <f t="shared" si="0"/>
        <v>63</v>
      </c>
      <c r="J77" s="2">
        <f>I77*2*10000</f>
        <v>1260000</v>
      </c>
      <c r="K77" s="2">
        <v>3000000</v>
      </c>
      <c r="L77" s="2">
        <f>J77*5</f>
        <v>6300000</v>
      </c>
      <c r="M77" s="3">
        <f>I77/(I77+I78)*100</f>
        <v>98.82352941176471</v>
      </c>
      <c r="N77" s="22">
        <f>I79/I77*100</f>
        <v>0.79365079365079361</v>
      </c>
      <c r="O77" s="4">
        <f>3.32*(LOG(L77)-LOG(K77))</f>
        <v>1.0697680585166127</v>
      </c>
      <c r="P77" s="4">
        <f>P74+O77</f>
        <v>23.31206300155231</v>
      </c>
    </row>
    <row r="78" spans="1:17" ht="14.25" customHeight="1" x14ac:dyDescent="0.35">
      <c r="A78" s="2"/>
      <c r="B78" s="109"/>
      <c r="C78" s="129"/>
      <c r="D78" s="92" t="s">
        <v>66</v>
      </c>
      <c r="E78" s="52">
        <v>0</v>
      </c>
      <c r="F78" s="52">
        <v>1</v>
      </c>
      <c r="G78" s="52">
        <v>2</v>
      </c>
      <c r="H78" s="52">
        <v>0</v>
      </c>
      <c r="I78" s="2">
        <f t="shared" si="0"/>
        <v>0.75</v>
      </c>
      <c r="J78" s="2"/>
      <c r="K78" s="2"/>
      <c r="L78" s="2"/>
      <c r="M78" s="2"/>
      <c r="N78" s="20"/>
      <c r="O78" s="2"/>
      <c r="P78" s="2"/>
    </row>
    <row r="79" spans="1:17" ht="14.25" customHeight="1" x14ac:dyDescent="0.35">
      <c r="A79" s="2"/>
      <c r="B79" s="109"/>
      <c r="C79" s="129"/>
      <c r="D79" s="92" t="s">
        <v>67</v>
      </c>
      <c r="E79" s="52">
        <v>0</v>
      </c>
      <c r="F79" s="52">
        <v>0</v>
      </c>
      <c r="G79" s="52">
        <v>1</v>
      </c>
      <c r="H79" s="52">
        <v>1</v>
      </c>
      <c r="I79" s="2">
        <f t="shared" si="0"/>
        <v>0.5</v>
      </c>
      <c r="J79" s="2"/>
      <c r="K79" s="2"/>
      <c r="L79" s="2"/>
      <c r="M79" s="2"/>
      <c r="N79" s="20"/>
      <c r="O79" s="2"/>
      <c r="P79" s="2"/>
    </row>
    <row r="80" spans="1:17" ht="14.25" customHeight="1" x14ac:dyDescent="0.35">
      <c r="A80" s="1" t="s">
        <v>29</v>
      </c>
      <c r="B80" s="109">
        <v>175</v>
      </c>
      <c r="C80" s="129" t="s">
        <v>43</v>
      </c>
      <c r="D80" s="91" t="s">
        <v>65</v>
      </c>
      <c r="E80" s="52">
        <v>63</v>
      </c>
      <c r="F80" s="52">
        <v>71</v>
      </c>
      <c r="G80" s="52">
        <v>60</v>
      </c>
      <c r="H80" s="52">
        <v>68</v>
      </c>
      <c r="I80" s="2">
        <f t="shared" si="0"/>
        <v>65.5</v>
      </c>
      <c r="J80" s="2">
        <f>I80*2*10000</f>
        <v>1310000</v>
      </c>
      <c r="K80" s="2">
        <v>3000000</v>
      </c>
      <c r="L80" s="2">
        <f>J80*5</f>
        <v>6550000</v>
      </c>
      <c r="M80" s="3">
        <f>I80/(I80+I81)*100</f>
        <v>99.619771863117862</v>
      </c>
      <c r="N80" s="22">
        <f>I82/I80*100</f>
        <v>0</v>
      </c>
      <c r="O80" s="4">
        <f>3.32*(LOG(L80)-LOG(K80))</f>
        <v>1.1258785503034403</v>
      </c>
      <c r="P80" s="4">
        <f>P77+O80</f>
        <v>24.437941551855751</v>
      </c>
    </row>
    <row r="81" spans="1:16" ht="14.25" customHeight="1" x14ac:dyDescent="0.35">
      <c r="A81" s="2"/>
      <c r="B81" s="109"/>
      <c r="C81" s="129"/>
      <c r="D81" s="92" t="s">
        <v>66</v>
      </c>
      <c r="E81" s="52">
        <v>1</v>
      </c>
      <c r="F81" s="52">
        <v>0</v>
      </c>
      <c r="G81" s="52">
        <v>0</v>
      </c>
      <c r="H81" s="52">
        <v>0</v>
      </c>
      <c r="I81" s="2">
        <f t="shared" si="0"/>
        <v>0.25</v>
      </c>
      <c r="J81" s="2"/>
      <c r="K81" s="2"/>
      <c r="L81" s="2"/>
      <c r="M81" s="2"/>
      <c r="N81" s="20"/>
      <c r="O81" s="2"/>
      <c r="P81" s="2"/>
    </row>
    <row r="82" spans="1:16" ht="14.25" customHeight="1" x14ac:dyDescent="0.35">
      <c r="A82" s="2"/>
      <c r="B82" s="109"/>
      <c r="C82" s="129"/>
      <c r="D82" s="92" t="s">
        <v>67</v>
      </c>
      <c r="E82" s="52">
        <v>0</v>
      </c>
      <c r="F82" s="52">
        <v>0</v>
      </c>
      <c r="G82" s="52">
        <v>0</v>
      </c>
      <c r="H82" s="52">
        <v>0</v>
      </c>
      <c r="I82" s="2">
        <f t="shared" si="0"/>
        <v>0</v>
      </c>
      <c r="J82" s="2"/>
      <c r="K82" s="2"/>
      <c r="L82" s="2"/>
      <c r="M82" s="2"/>
      <c r="N82" s="20"/>
      <c r="O82" s="2"/>
      <c r="P82" s="2"/>
    </row>
    <row r="83" spans="1:16" ht="14.25" customHeight="1" x14ac:dyDescent="0.35">
      <c r="A83" s="1" t="s">
        <v>30</v>
      </c>
      <c r="B83" s="109">
        <v>182</v>
      </c>
      <c r="C83" s="129" t="s">
        <v>43</v>
      </c>
      <c r="D83" s="91" t="s">
        <v>65</v>
      </c>
      <c r="E83" s="52">
        <v>47</v>
      </c>
      <c r="F83" s="52">
        <v>49</v>
      </c>
      <c r="G83" s="52">
        <v>47</v>
      </c>
      <c r="H83" s="52">
        <v>47</v>
      </c>
      <c r="I83" s="2">
        <f t="shared" si="0"/>
        <v>47.5</v>
      </c>
      <c r="J83" s="2">
        <f>I83*2*10000</f>
        <v>950000</v>
      </c>
      <c r="K83" s="2">
        <v>3000000</v>
      </c>
      <c r="L83" s="2">
        <f>J83*5</f>
        <v>4750000</v>
      </c>
      <c r="M83" s="3">
        <f>I83/(I83+I84)*100</f>
        <v>98.958333333333343</v>
      </c>
      <c r="N83" s="22">
        <f>I85/I83*100</f>
        <v>1.0526315789473684</v>
      </c>
      <c r="O83" s="4">
        <f>3.32*(LOG(L83)-LOG(K83))</f>
        <v>0.66258021828527647</v>
      </c>
      <c r="P83" s="4">
        <f>P80+O83</f>
        <v>25.100521770141029</v>
      </c>
    </row>
    <row r="84" spans="1:16" ht="14.25" customHeight="1" x14ac:dyDescent="0.35">
      <c r="A84" s="2"/>
      <c r="B84" s="109"/>
      <c r="C84" s="129"/>
      <c r="D84" s="92" t="s">
        <v>66</v>
      </c>
      <c r="E84" s="52">
        <v>1</v>
      </c>
      <c r="F84" s="52">
        <v>0</v>
      </c>
      <c r="G84" s="52">
        <v>0</v>
      </c>
      <c r="H84" s="52">
        <v>1</v>
      </c>
      <c r="I84" s="2">
        <f t="shared" si="0"/>
        <v>0.5</v>
      </c>
      <c r="J84" s="2"/>
      <c r="K84" s="2"/>
      <c r="L84" s="2"/>
      <c r="M84" s="2"/>
      <c r="N84" s="20"/>
      <c r="O84" s="2"/>
      <c r="P84" s="2"/>
    </row>
    <row r="85" spans="1:16" ht="14.25" customHeight="1" x14ac:dyDescent="0.35">
      <c r="A85" s="2"/>
      <c r="B85" s="109"/>
      <c r="C85" s="129"/>
      <c r="D85" s="92" t="s">
        <v>67</v>
      </c>
      <c r="E85" s="52">
        <v>0</v>
      </c>
      <c r="F85" s="52">
        <v>0</v>
      </c>
      <c r="G85" s="52">
        <v>2</v>
      </c>
      <c r="H85" s="52">
        <v>0</v>
      </c>
      <c r="I85" s="2">
        <f t="shared" si="0"/>
        <v>0.5</v>
      </c>
      <c r="J85" s="2"/>
      <c r="K85" s="2"/>
      <c r="L85" s="2"/>
      <c r="M85" s="2"/>
      <c r="N85" s="20"/>
      <c r="O85" s="2"/>
      <c r="P85" s="2"/>
    </row>
    <row r="86" spans="1:16" ht="14.25" customHeight="1" x14ac:dyDescent="0.35">
      <c r="A86" s="1" t="s">
        <v>31</v>
      </c>
      <c r="B86" s="109">
        <v>189</v>
      </c>
      <c r="C86" s="129" t="s">
        <v>43</v>
      </c>
      <c r="D86" s="91" t="s">
        <v>65</v>
      </c>
      <c r="E86" s="52">
        <v>53</v>
      </c>
      <c r="F86" s="52">
        <v>74</v>
      </c>
      <c r="G86" s="52">
        <v>65</v>
      </c>
      <c r="H86" s="52">
        <v>73</v>
      </c>
      <c r="I86" s="2">
        <f t="shared" si="0"/>
        <v>66.25</v>
      </c>
      <c r="J86" s="2">
        <f>I86*2*10000</f>
        <v>1325000</v>
      </c>
      <c r="K86" s="2">
        <v>3000000</v>
      </c>
      <c r="L86" s="2">
        <f>J86*5</f>
        <v>6625000</v>
      </c>
      <c r="M86" s="3">
        <f>I86/(I86+I87)*100</f>
        <v>98.513011152416354</v>
      </c>
      <c r="N86" s="22">
        <f>I88/I86*100</f>
        <v>1.1320754716981132</v>
      </c>
      <c r="O86" s="4">
        <f>3.32*(LOG(L86)-LOG(K86))</f>
        <v>1.1422945645920868</v>
      </c>
      <c r="P86" s="4">
        <f>P83+O86</f>
        <v>26.242816334733117</v>
      </c>
    </row>
    <row r="87" spans="1:16" ht="14.25" customHeight="1" x14ac:dyDescent="0.35">
      <c r="A87" s="2"/>
      <c r="B87" s="109"/>
      <c r="C87" s="129"/>
      <c r="D87" s="92" t="s">
        <v>66</v>
      </c>
      <c r="E87" s="52">
        <v>1</v>
      </c>
      <c r="F87" s="52">
        <v>2</v>
      </c>
      <c r="G87" s="52">
        <v>1</v>
      </c>
      <c r="H87" s="52">
        <v>0</v>
      </c>
      <c r="I87" s="2">
        <f t="shared" si="0"/>
        <v>1</v>
      </c>
      <c r="J87" s="2"/>
      <c r="K87" s="2"/>
      <c r="L87" s="2"/>
      <c r="M87" s="2"/>
      <c r="N87" s="20"/>
      <c r="O87" s="2"/>
      <c r="P87" s="2"/>
    </row>
    <row r="88" spans="1:16" ht="14.25" customHeight="1" x14ac:dyDescent="0.35">
      <c r="A88" s="2"/>
      <c r="B88" s="109"/>
      <c r="C88" s="129"/>
      <c r="D88" s="92" t="s">
        <v>67</v>
      </c>
      <c r="E88" s="52">
        <v>0</v>
      </c>
      <c r="F88" s="52">
        <v>1</v>
      </c>
      <c r="G88" s="52">
        <v>1</v>
      </c>
      <c r="H88" s="52">
        <v>1</v>
      </c>
      <c r="I88" s="2">
        <f t="shared" si="0"/>
        <v>0.75</v>
      </c>
      <c r="J88" s="2"/>
      <c r="K88" s="2"/>
      <c r="L88" s="2"/>
      <c r="M88" s="2"/>
      <c r="N88" s="20"/>
      <c r="O88" s="2"/>
      <c r="P88" s="2"/>
    </row>
    <row r="89" spans="1:16" ht="14.25" customHeight="1" x14ac:dyDescent="0.35">
      <c r="A89" s="1" t="s">
        <v>32</v>
      </c>
      <c r="B89" s="109">
        <v>196</v>
      </c>
      <c r="C89" s="129" t="s">
        <v>43</v>
      </c>
      <c r="D89" s="91" t="s">
        <v>65</v>
      </c>
      <c r="E89" s="52">
        <v>94</v>
      </c>
      <c r="F89" s="52">
        <v>72</v>
      </c>
      <c r="G89" s="52">
        <v>63</v>
      </c>
      <c r="H89" s="52">
        <v>84</v>
      </c>
      <c r="I89" s="2">
        <f t="shared" si="0"/>
        <v>78.25</v>
      </c>
      <c r="J89" s="2">
        <f>I89*2*10000</f>
        <v>1565000</v>
      </c>
      <c r="K89" s="2">
        <v>3000000</v>
      </c>
      <c r="L89" s="2">
        <f>J89*5</f>
        <v>7825000</v>
      </c>
      <c r="M89" s="3">
        <f>I89/(I89+I90)*100</f>
        <v>99.050632911392398</v>
      </c>
      <c r="N89" s="22">
        <f>I91/I89*100</f>
        <v>0.95846645367412142</v>
      </c>
      <c r="O89" s="4">
        <f>3.32*(LOG(L89)-LOG(K89))</f>
        <v>1.3823254637760931</v>
      </c>
      <c r="P89" s="4">
        <f>P86+O89</f>
        <v>27.625141798509212</v>
      </c>
    </row>
    <row r="90" spans="1:16" ht="14.25" customHeight="1" x14ac:dyDescent="0.35">
      <c r="A90" s="2"/>
      <c r="B90" s="109"/>
      <c r="C90" s="129"/>
      <c r="D90" s="92" t="s">
        <v>66</v>
      </c>
      <c r="E90" s="52">
        <v>1</v>
      </c>
      <c r="F90" s="52">
        <v>2</v>
      </c>
      <c r="G90" s="52">
        <v>0</v>
      </c>
      <c r="H90" s="52">
        <v>0</v>
      </c>
      <c r="I90" s="2">
        <f t="shared" si="0"/>
        <v>0.75</v>
      </c>
      <c r="J90" s="2"/>
      <c r="K90" s="2"/>
      <c r="L90" s="2"/>
      <c r="M90" s="2"/>
      <c r="N90" s="20"/>
      <c r="O90" s="2"/>
      <c r="P90" s="2"/>
    </row>
    <row r="91" spans="1:16" ht="14.25" customHeight="1" x14ac:dyDescent="0.35">
      <c r="A91" s="2"/>
      <c r="B91" s="109"/>
      <c r="C91" s="129"/>
      <c r="D91" s="92" t="s">
        <v>67</v>
      </c>
      <c r="E91" s="52">
        <v>0</v>
      </c>
      <c r="F91" s="52">
        <v>1</v>
      </c>
      <c r="G91" s="52">
        <v>2</v>
      </c>
      <c r="H91" s="52">
        <v>0</v>
      </c>
      <c r="I91" s="2">
        <f t="shared" si="0"/>
        <v>0.75</v>
      </c>
      <c r="J91" s="2"/>
      <c r="K91" s="2"/>
      <c r="L91" s="2"/>
      <c r="M91" s="2"/>
      <c r="N91" s="20"/>
      <c r="O91" s="2"/>
      <c r="P91" s="2"/>
    </row>
    <row r="92" spans="1:16" ht="14.25" customHeight="1" x14ac:dyDescent="0.35">
      <c r="A92" s="1" t="s">
        <v>33</v>
      </c>
      <c r="B92" s="109">
        <v>203</v>
      </c>
      <c r="C92" s="129" t="s">
        <v>43</v>
      </c>
      <c r="D92" s="91" t="s">
        <v>65</v>
      </c>
      <c r="E92" s="52">
        <v>95</v>
      </c>
      <c r="F92" s="52">
        <v>112</v>
      </c>
      <c r="G92" s="52">
        <v>85</v>
      </c>
      <c r="H92" s="52">
        <v>104</v>
      </c>
      <c r="I92" s="2">
        <f t="shared" si="0"/>
        <v>99</v>
      </c>
      <c r="J92" s="2">
        <f>I92*2*10000</f>
        <v>1980000</v>
      </c>
      <c r="K92" s="2">
        <v>3000000</v>
      </c>
      <c r="L92" s="2">
        <f>J92*5</f>
        <v>9900000</v>
      </c>
      <c r="M92" s="3">
        <f>I92/(I92+I93)*100</f>
        <v>98.507462686567166</v>
      </c>
      <c r="N92" s="22">
        <f>I94/I92*100</f>
        <v>0.50505050505050508</v>
      </c>
      <c r="O92" s="4">
        <f>3.32*(LOG(L92)-LOG(K92))</f>
        <v>1.721466280394585</v>
      </c>
      <c r="P92" s="4">
        <f>P89+O92</f>
        <v>29.346608078903795</v>
      </c>
    </row>
    <row r="93" spans="1:16" ht="14.25" customHeight="1" x14ac:dyDescent="0.35">
      <c r="A93" s="2"/>
      <c r="B93" s="109"/>
      <c r="C93" s="129"/>
      <c r="D93" s="92" t="s">
        <v>66</v>
      </c>
      <c r="E93" s="52">
        <v>3</v>
      </c>
      <c r="F93" s="52">
        <v>0</v>
      </c>
      <c r="G93" s="52">
        <v>1</v>
      </c>
      <c r="H93" s="52">
        <v>2</v>
      </c>
      <c r="I93" s="2">
        <f t="shared" si="0"/>
        <v>1.5</v>
      </c>
      <c r="J93" s="2"/>
      <c r="K93" s="2"/>
      <c r="L93" s="2"/>
      <c r="M93" s="2"/>
      <c r="N93" s="20"/>
      <c r="O93" s="2"/>
      <c r="P93" s="2"/>
    </row>
    <row r="94" spans="1:16" ht="14.25" customHeight="1" x14ac:dyDescent="0.35">
      <c r="A94" s="2"/>
      <c r="B94" s="109"/>
      <c r="C94" s="129"/>
      <c r="D94" s="92" t="s">
        <v>67</v>
      </c>
      <c r="E94" s="52">
        <v>1</v>
      </c>
      <c r="F94" s="52">
        <v>1</v>
      </c>
      <c r="G94" s="52">
        <v>0</v>
      </c>
      <c r="H94" s="52">
        <v>0</v>
      </c>
      <c r="I94" s="2">
        <f t="shared" si="0"/>
        <v>0.5</v>
      </c>
      <c r="J94" s="2"/>
      <c r="K94" s="2"/>
      <c r="L94" s="2"/>
      <c r="M94" s="2"/>
      <c r="N94" s="20"/>
      <c r="O94" s="2"/>
      <c r="P94" s="2"/>
    </row>
    <row r="95" spans="1:16" ht="14.25" customHeight="1" x14ac:dyDescent="0.35">
      <c r="A95" s="1" t="s">
        <v>34</v>
      </c>
      <c r="B95" s="109">
        <v>210</v>
      </c>
      <c r="C95" s="129" t="s">
        <v>43</v>
      </c>
      <c r="D95" s="91" t="s">
        <v>65</v>
      </c>
      <c r="E95" s="52">
        <v>88</v>
      </c>
      <c r="F95" s="52">
        <v>99</v>
      </c>
      <c r="G95" s="52">
        <v>94</v>
      </c>
      <c r="H95" s="52">
        <v>89</v>
      </c>
      <c r="I95" s="2">
        <f t="shared" si="0"/>
        <v>92.5</v>
      </c>
      <c r="J95" s="2">
        <f>I95*2*10000</f>
        <v>1850000</v>
      </c>
      <c r="K95" s="2">
        <v>3000000</v>
      </c>
      <c r="L95" s="2">
        <f>J95*5</f>
        <v>9250000</v>
      </c>
      <c r="M95" s="3">
        <f>I95/(I95+I96)*100</f>
        <v>98.40425531914893</v>
      </c>
      <c r="N95" s="22">
        <f>I97/I95*100</f>
        <v>0.27027027027027029</v>
      </c>
      <c r="O95" s="4">
        <f>3.32*(LOG(L95)-LOG(K95))</f>
        <v>1.6235479870243079</v>
      </c>
      <c r="P95" s="4">
        <f>P92+O95</f>
        <v>30.970156065928101</v>
      </c>
    </row>
    <row r="96" spans="1:16" ht="14.25" customHeight="1" x14ac:dyDescent="0.35">
      <c r="A96" s="2"/>
      <c r="B96" s="109"/>
      <c r="C96" s="129"/>
      <c r="D96" s="92" t="s">
        <v>66</v>
      </c>
      <c r="E96" s="52">
        <v>1</v>
      </c>
      <c r="F96" s="52">
        <v>3</v>
      </c>
      <c r="G96" s="52">
        <v>1</v>
      </c>
      <c r="H96" s="52">
        <v>1</v>
      </c>
      <c r="I96" s="2">
        <f t="shared" si="0"/>
        <v>1.5</v>
      </c>
      <c r="J96" s="2"/>
      <c r="K96" s="2"/>
      <c r="L96" s="2"/>
      <c r="M96" s="2"/>
      <c r="N96" s="20"/>
      <c r="O96" s="2"/>
      <c r="P96" s="2"/>
    </row>
    <row r="97" spans="1:16" ht="14.25" customHeight="1" x14ac:dyDescent="0.35">
      <c r="A97" s="2"/>
      <c r="B97" s="109"/>
      <c r="C97" s="129"/>
      <c r="D97" s="92" t="s">
        <v>67</v>
      </c>
      <c r="E97" s="52">
        <v>0</v>
      </c>
      <c r="F97" s="52">
        <v>1</v>
      </c>
      <c r="G97" s="52">
        <v>0</v>
      </c>
      <c r="H97" s="52">
        <v>0</v>
      </c>
      <c r="I97" s="2">
        <f t="shared" si="0"/>
        <v>0.25</v>
      </c>
      <c r="J97" s="2"/>
      <c r="K97" s="2"/>
      <c r="L97" s="2"/>
      <c r="M97" s="2"/>
      <c r="N97" s="20"/>
      <c r="O97" s="2"/>
      <c r="P97" s="2"/>
    </row>
    <row r="98" spans="1:16" ht="14.25" customHeight="1" x14ac:dyDescent="0.35">
      <c r="A98" s="13" t="s">
        <v>35</v>
      </c>
      <c r="B98" s="109">
        <v>216</v>
      </c>
      <c r="C98" s="129" t="s">
        <v>43</v>
      </c>
      <c r="D98" s="91" t="s">
        <v>65</v>
      </c>
      <c r="E98" s="5">
        <v>38</v>
      </c>
      <c r="F98" s="5">
        <v>51</v>
      </c>
      <c r="G98" s="5">
        <v>43</v>
      </c>
      <c r="H98" s="5">
        <v>44</v>
      </c>
      <c r="I98" s="2">
        <f t="shared" si="0"/>
        <v>44</v>
      </c>
      <c r="J98" s="2">
        <f>I98*2*10000</f>
        <v>880000</v>
      </c>
      <c r="K98" s="2">
        <v>3000000</v>
      </c>
      <c r="L98" s="2">
        <f>J98*5</f>
        <v>4400000</v>
      </c>
      <c r="M98" s="3">
        <f>I98/(I98+I99)*100</f>
        <v>100</v>
      </c>
      <c r="N98" s="22">
        <f>I100/I98*100</f>
        <v>2.2727272727272729</v>
      </c>
      <c r="O98" s="4">
        <f>3.32*(LOG(L98)-LOG(K98))</f>
        <v>0.5522203202648639</v>
      </c>
      <c r="P98" s="4">
        <f>P95+O98</f>
        <v>31.522376386192967</v>
      </c>
    </row>
    <row r="99" spans="1:16" ht="14.25" customHeight="1" x14ac:dyDescent="0.35">
      <c r="A99" s="2"/>
      <c r="B99" s="109"/>
      <c r="C99" s="129"/>
      <c r="D99" s="92" t="s">
        <v>66</v>
      </c>
      <c r="E99" s="5">
        <v>0</v>
      </c>
      <c r="F99" s="5">
        <v>0</v>
      </c>
      <c r="G99" s="5">
        <v>0</v>
      </c>
      <c r="H99" s="5">
        <v>0</v>
      </c>
      <c r="I99" s="2">
        <f t="shared" si="0"/>
        <v>0</v>
      </c>
      <c r="J99" s="2"/>
      <c r="K99" s="2"/>
      <c r="L99" s="2"/>
      <c r="M99" s="2"/>
      <c r="N99" s="20"/>
      <c r="O99" s="2"/>
      <c r="P99" s="2"/>
    </row>
    <row r="100" spans="1:16" ht="14.25" customHeight="1" x14ac:dyDescent="0.35">
      <c r="A100" s="2"/>
      <c r="B100" s="109"/>
      <c r="C100" s="129"/>
      <c r="D100" s="92" t="s">
        <v>67</v>
      </c>
      <c r="E100" s="5">
        <v>0</v>
      </c>
      <c r="F100" s="5">
        <v>2</v>
      </c>
      <c r="G100" s="5">
        <v>1</v>
      </c>
      <c r="H100" s="5">
        <v>1</v>
      </c>
      <c r="I100" s="2">
        <f t="shared" si="0"/>
        <v>1</v>
      </c>
      <c r="J100" s="2"/>
      <c r="K100" s="2"/>
      <c r="L100" s="2"/>
      <c r="M100" s="2"/>
      <c r="N100" s="20"/>
      <c r="O100" s="2"/>
      <c r="P100" s="2"/>
    </row>
    <row r="101" spans="1:16" ht="14.25" customHeight="1" x14ac:dyDescent="0.35">
      <c r="A101" s="13" t="s">
        <v>36</v>
      </c>
      <c r="B101" s="109">
        <v>223</v>
      </c>
      <c r="C101" s="129" t="s">
        <v>43</v>
      </c>
      <c r="D101" s="91" t="s">
        <v>65</v>
      </c>
      <c r="E101" s="7">
        <v>99</v>
      </c>
      <c r="F101" s="7">
        <v>125</v>
      </c>
      <c r="G101" s="7">
        <v>142</v>
      </c>
      <c r="H101" s="7">
        <v>132</v>
      </c>
      <c r="I101" s="2">
        <f t="shared" si="0"/>
        <v>124.5</v>
      </c>
      <c r="J101" s="2">
        <f>I101*2*10000</f>
        <v>2490000</v>
      </c>
      <c r="K101" s="2">
        <v>3000000</v>
      </c>
      <c r="L101" s="2">
        <f>J101*5</f>
        <v>12450000</v>
      </c>
      <c r="M101" s="3">
        <f>I101/(I101+I102)*100</f>
        <v>99.799599198396791</v>
      </c>
      <c r="N101" s="22">
        <f>I103/I101*100</f>
        <v>1.0040160642570282</v>
      </c>
      <c r="O101" s="4">
        <f>3.32*(LOG(L101)-LOG(K101))</f>
        <v>2.0519196810841471</v>
      </c>
      <c r="P101" s="4">
        <f>P98+O101</f>
        <v>33.574296067277118</v>
      </c>
    </row>
    <row r="102" spans="1:16" ht="14.25" customHeight="1" x14ac:dyDescent="0.35">
      <c r="A102" s="2"/>
      <c r="B102" s="109"/>
      <c r="C102" s="129"/>
      <c r="D102" s="92" t="s">
        <v>66</v>
      </c>
      <c r="E102" s="7">
        <v>0</v>
      </c>
      <c r="F102" s="7">
        <v>0</v>
      </c>
      <c r="G102" s="7">
        <v>0</v>
      </c>
      <c r="H102" s="7">
        <v>1</v>
      </c>
      <c r="I102" s="2">
        <f t="shared" si="0"/>
        <v>0.25</v>
      </c>
      <c r="J102" s="2"/>
      <c r="K102" s="2"/>
      <c r="L102" s="2"/>
      <c r="M102" s="2"/>
      <c r="N102" s="20"/>
      <c r="O102" s="2"/>
      <c r="P102" s="2"/>
    </row>
    <row r="103" spans="1:16" ht="14.25" customHeight="1" x14ac:dyDescent="0.35">
      <c r="A103" s="2"/>
      <c r="B103" s="109"/>
      <c r="C103" s="129"/>
      <c r="D103" s="92" t="s">
        <v>67</v>
      </c>
      <c r="E103" s="7">
        <v>0</v>
      </c>
      <c r="F103" s="7">
        <v>2</v>
      </c>
      <c r="G103" s="7">
        <v>2</v>
      </c>
      <c r="H103" s="7">
        <v>1</v>
      </c>
      <c r="I103" s="2">
        <f t="shared" si="0"/>
        <v>1.25</v>
      </c>
      <c r="J103" s="2"/>
      <c r="K103" s="2"/>
      <c r="L103" s="2"/>
      <c r="M103" s="2"/>
      <c r="N103" s="20"/>
      <c r="O103" s="2"/>
      <c r="P103" s="2"/>
    </row>
    <row r="104" spans="1:16" ht="14.25" customHeight="1" x14ac:dyDescent="0.35">
      <c r="A104" s="13" t="s">
        <v>37</v>
      </c>
      <c r="B104" s="109">
        <v>230</v>
      </c>
      <c r="C104" s="129" t="s">
        <v>43</v>
      </c>
      <c r="D104" s="91" t="s">
        <v>65</v>
      </c>
      <c r="E104" s="7">
        <v>116</v>
      </c>
      <c r="F104" s="7">
        <v>115</v>
      </c>
      <c r="G104" s="7">
        <v>134</v>
      </c>
      <c r="H104" s="7">
        <v>119</v>
      </c>
      <c r="I104" s="2">
        <f t="shared" si="0"/>
        <v>121</v>
      </c>
      <c r="J104" s="2">
        <f>I104*2*10000</f>
        <v>2420000</v>
      </c>
      <c r="K104" s="2">
        <v>3000000</v>
      </c>
      <c r="L104" s="2">
        <f>J104*5</f>
        <v>12100000</v>
      </c>
      <c r="M104" s="3">
        <f>I104/(I104+I105)*100</f>
        <v>99.793814432989691</v>
      </c>
      <c r="N104" s="22">
        <f>I106/I104*100</f>
        <v>0.82644628099173556</v>
      </c>
      <c r="O104" s="4">
        <f>3.32*(LOG(L104)-LOG(K104))</f>
        <v>2.0108048637813334</v>
      </c>
      <c r="P104" s="4">
        <f>P101+O104</f>
        <v>35.585100931058449</v>
      </c>
    </row>
    <row r="105" spans="1:16" ht="14.25" customHeight="1" x14ac:dyDescent="0.35">
      <c r="A105" s="2"/>
      <c r="B105" s="109"/>
      <c r="C105" s="129"/>
      <c r="D105" s="92" t="s">
        <v>66</v>
      </c>
      <c r="E105" s="7">
        <v>1</v>
      </c>
      <c r="F105" s="7">
        <v>0</v>
      </c>
      <c r="G105" s="7">
        <v>0</v>
      </c>
      <c r="H105" s="7">
        <v>0</v>
      </c>
      <c r="I105" s="2">
        <f t="shared" si="0"/>
        <v>0.25</v>
      </c>
      <c r="J105" s="2"/>
      <c r="K105" s="2"/>
      <c r="L105" s="2"/>
      <c r="M105" s="2"/>
      <c r="N105" s="20"/>
      <c r="O105" s="2"/>
      <c r="P105" s="2"/>
    </row>
    <row r="106" spans="1:16" ht="14.25" customHeight="1" x14ac:dyDescent="0.35">
      <c r="A106" s="2"/>
      <c r="B106" s="109"/>
      <c r="C106" s="129"/>
      <c r="D106" s="92" t="s">
        <v>67</v>
      </c>
      <c r="E106" s="7">
        <v>0</v>
      </c>
      <c r="F106" s="7">
        <v>0</v>
      </c>
      <c r="G106" s="7">
        <v>3</v>
      </c>
      <c r="H106" s="7">
        <v>1</v>
      </c>
      <c r="I106" s="2">
        <f t="shared" si="0"/>
        <v>1</v>
      </c>
      <c r="J106" s="2"/>
      <c r="K106" s="2"/>
      <c r="L106" s="2"/>
      <c r="M106" s="2"/>
      <c r="N106" s="20"/>
      <c r="O106" s="2"/>
      <c r="P106" s="2"/>
    </row>
    <row r="107" spans="1:16" ht="14.25" customHeight="1" x14ac:dyDescent="0.35">
      <c r="A107" s="13" t="s">
        <v>38</v>
      </c>
      <c r="B107" s="109">
        <v>236</v>
      </c>
      <c r="C107" s="129" t="s">
        <v>43</v>
      </c>
      <c r="D107" s="91" t="s">
        <v>65</v>
      </c>
      <c r="E107" s="53">
        <v>51</v>
      </c>
      <c r="F107" s="53">
        <v>80</v>
      </c>
      <c r="G107" s="53">
        <v>73</v>
      </c>
      <c r="H107" s="53">
        <v>72</v>
      </c>
      <c r="I107" s="2">
        <f t="shared" si="0"/>
        <v>69</v>
      </c>
      <c r="J107" s="2">
        <f>I107*2*10000</f>
        <v>1380000</v>
      </c>
      <c r="K107" s="2">
        <v>3000000</v>
      </c>
      <c r="L107" s="2">
        <f>J107*5</f>
        <v>6900000</v>
      </c>
      <c r="M107" s="3">
        <f>I107/(I107+I108)*100</f>
        <v>99.638989169675085</v>
      </c>
      <c r="N107" s="22">
        <f>I109/I107*100</f>
        <v>2.1739130434782608</v>
      </c>
      <c r="O107" s="4">
        <f>3.32*(LOG(L107)-LOG(K107))</f>
        <v>1.2009364155784088</v>
      </c>
      <c r="P107" s="4">
        <f>IF(O107&lt;0,P104,P104+O107)</f>
        <v>36.78603734663686</v>
      </c>
    </row>
    <row r="108" spans="1:16" ht="14.25" customHeight="1" x14ac:dyDescent="0.35">
      <c r="A108" s="2"/>
      <c r="B108" s="109"/>
      <c r="C108" s="129"/>
      <c r="D108" s="92" t="s">
        <v>66</v>
      </c>
      <c r="E108" s="53">
        <v>0</v>
      </c>
      <c r="F108" s="53">
        <v>1</v>
      </c>
      <c r="G108" s="53">
        <v>0</v>
      </c>
      <c r="H108" s="53">
        <v>0</v>
      </c>
      <c r="I108" s="2">
        <f t="shared" si="0"/>
        <v>0.25</v>
      </c>
      <c r="J108" s="2"/>
      <c r="K108" s="2"/>
      <c r="L108" s="2"/>
      <c r="M108" s="2"/>
      <c r="N108" s="20"/>
      <c r="O108" s="2"/>
      <c r="P108" s="2"/>
    </row>
    <row r="109" spans="1:16" ht="14.25" customHeight="1" x14ac:dyDescent="0.35">
      <c r="A109" s="2"/>
      <c r="B109" s="109"/>
      <c r="C109" s="129"/>
      <c r="D109" s="92" t="s">
        <v>67</v>
      </c>
      <c r="E109" s="53">
        <v>3</v>
      </c>
      <c r="F109" s="53">
        <v>1</v>
      </c>
      <c r="G109" s="53">
        <v>0</v>
      </c>
      <c r="H109" s="53">
        <v>2</v>
      </c>
      <c r="I109" s="2">
        <f t="shared" si="0"/>
        <v>1.5</v>
      </c>
      <c r="J109" s="2"/>
      <c r="K109" s="2"/>
      <c r="L109" s="2"/>
      <c r="M109" s="2"/>
      <c r="N109" s="20"/>
      <c r="O109" s="2"/>
      <c r="P109" s="2"/>
    </row>
    <row r="110" spans="1:16" ht="14.25" customHeight="1" x14ac:dyDescent="0.35">
      <c r="A110" s="13" t="s">
        <v>39</v>
      </c>
      <c r="B110" s="109">
        <v>243</v>
      </c>
      <c r="C110" s="129" t="s">
        <v>43</v>
      </c>
      <c r="D110" s="91" t="s">
        <v>65</v>
      </c>
      <c r="E110" s="53">
        <v>108</v>
      </c>
      <c r="F110" s="53">
        <v>93</v>
      </c>
      <c r="G110" s="53">
        <v>109</v>
      </c>
      <c r="H110" s="53">
        <v>100</v>
      </c>
      <c r="I110" s="2">
        <f t="shared" si="0"/>
        <v>102.5</v>
      </c>
      <c r="J110" s="2">
        <f>I110*2*10000</f>
        <v>2050000</v>
      </c>
      <c r="K110" s="2">
        <v>3000000</v>
      </c>
      <c r="L110" s="2">
        <f>J110*5</f>
        <v>10250000</v>
      </c>
      <c r="M110" s="3">
        <f>I110/(I110+I111)*100</f>
        <v>100</v>
      </c>
      <c r="N110" s="22">
        <f>I112/I110*100</f>
        <v>1.4634146341463417</v>
      </c>
      <c r="O110" s="4">
        <f>3.32*(LOG(L110)-LOG(K110))</f>
        <v>1.7715606674314062</v>
      </c>
      <c r="P110" s="4">
        <f>IF(O110&lt;0,P107,P107+O110)</f>
        <v>38.557598014068269</v>
      </c>
    </row>
    <row r="111" spans="1:16" ht="14.25" customHeight="1" x14ac:dyDescent="0.35">
      <c r="A111" s="2"/>
      <c r="B111" s="109"/>
      <c r="C111" s="129"/>
      <c r="D111" s="92" t="s">
        <v>66</v>
      </c>
      <c r="E111" s="53">
        <v>0</v>
      </c>
      <c r="F111" s="53">
        <v>0</v>
      </c>
      <c r="G111" s="53">
        <v>0</v>
      </c>
      <c r="H111" s="53">
        <v>0</v>
      </c>
      <c r="I111" s="2">
        <f t="shared" si="0"/>
        <v>0</v>
      </c>
      <c r="J111" s="2"/>
      <c r="K111" s="2"/>
      <c r="L111" s="2"/>
      <c r="M111" s="2"/>
      <c r="N111" s="20"/>
      <c r="O111" s="2"/>
      <c r="P111" s="2"/>
    </row>
    <row r="112" spans="1:16" ht="14.25" customHeight="1" x14ac:dyDescent="0.35">
      <c r="A112" s="2"/>
      <c r="B112" s="109"/>
      <c r="C112" s="129"/>
      <c r="D112" s="92" t="s">
        <v>67</v>
      </c>
      <c r="E112" s="53">
        <v>1</v>
      </c>
      <c r="F112" s="53">
        <v>0</v>
      </c>
      <c r="G112" s="53">
        <v>3</v>
      </c>
      <c r="H112" s="53">
        <v>2</v>
      </c>
      <c r="I112" s="2">
        <f t="shared" si="0"/>
        <v>1.5</v>
      </c>
      <c r="J112" s="2"/>
      <c r="K112" s="2"/>
      <c r="L112" s="2"/>
      <c r="M112" s="2"/>
      <c r="N112" s="20"/>
      <c r="O112" s="2"/>
      <c r="P112" s="2"/>
    </row>
    <row r="113" spans="1:16" ht="14.25" customHeight="1" x14ac:dyDescent="0.35">
      <c r="A113" s="13">
        <v>44599</v>
      </c>
      <c r="B113" s="109">
        <f>B110+7</f>
        <v>250</v>
      </c>
      <c r="C113" s="129" t="s">
        <v>43</v>
      </c>
      <c r="D113" s="91" t="s">
        <v>65</v>
      </c>
      <c r="E113" s="5">
        <v>130</v>
      </c>
      <c r="F113" s="5">
        <v>126</v>
      </c>
      <c r="G113" s="5">
        <v>114</v>
      </c>
      <c r="H113" s="5">
        <v>120</v>
      </c>
      <c r="I113" s="2">
        <f t="shared" si="0"/>
        <v>122.5</v>
      </c>
      <c r="J113" s="2">
        <f>I113*2*10000</f>
        <v>2450000</v>
      </c>
      <c r="K113" s="2">
        <v>3000000</v>
      </c>
      <c r="L113" s="2">
        <f>J113*5</f>
        <v>12250000</v>
      </c>
      <c r="M113" s="3">
        <f>I113/(I113+I114)*100</f>
        <v>99.796334012219958</v>
      </c>
      <c r="N113" s="22">
        <f>I115/I113*100</f>
        <v>2.2448979591836733</v>
      </c>
      <c r="O113" s="4">
        <f>3.32*(LOG(L113)-LOG(K113))</f>
        <v>2.0285692488165505</v>
      </c>
      <c r="P113" s="4">
        <f>IF(O113&lt;0,P110,P110+O113)</f>
        <v>40.586167262884821</v>
      </c>
    </row>
    <row r="114" spans="1:16" ht="14.25" customHeight="1" x14ac:dyDescent="0.35">
      <c r="A114" s="2"/>
      <c r="B114" s="109"/>
      <c r="C114" s="129"/>
      <c r="D114" s="92" t="s">
        <v>66</v>
      </c>
      <c r="E114" s="5">
        <v>0</v>
      </c>
      <c r="F114" s="5">
        <v>0</v>
      </c>
      <c r="G114" s="5">
        <v>0</v>
      </c>
      <c r="H114" s="5">
        <v>1</v>
      </c>
      <c r="I114" s="2">
        <f t="shared" si="0"/>
        <v>0.25</v>
      </c>
      <c r="J114" s="2"/>
      <c r="K114" s="2"/>
      <c r="L114" s="2"/>
      <c r="M114" s="2"/>
      <c r="N114" s="20"/>
      <c r="O114" s="2"/>
      <c r="P114" s="2"/>
    </row>
    <row r="115" spans="1:16" ht="14.25" customHeight="1" x14ac:dyDescent="0.35">
      <c r="A115" s="2"/>
      <c r="B115" s="109"/>
      <c r="C115" s="129"/>
      <c r="D115" s="92" t="s">
        <v>67</v>
      </c>
      <c r="E115" s="5">
        <v>2</v>
      </c>
      <c r="F115" s="5">
        <v>4</v>
      </c>
      <c r="G115" s="5">
        <v>3</v>
      </c>
      <c r="H115" s="5">
        <v>2</v>
      </c>
      <c r="I115" s="2">
        <f t="shared" si="0"/>
        <v>2.75</v>
      </c>
      <c r="J115" s="2"/>
      <c r="K115" s="2"/>
      <c r="L115" s="2"/>
      <c r="M115" s="2"/>
      <c r="N115" s="20"/>
      <c r="O115" s="2"/>
      <c r="P115" s="2"/>
    </row>
    <row r="116" spans="1:16" ht="14.25" customHeight="1" x14ac:dyDescent="0.35">
      <c r="A116" s="13">
        <v>44606</v>
      </c>
      <c r="B116" s="109">
        <f>B113+7</f>
        <v>257</v>
      </c>
      <c r="C116" s="129" t="s">
        <v>43</v>
      </c>
      <c r="D116" s="91" t="s">
        <v>65</v>
      </c>
      <c r="E116" s="5">
        <v>131</v>
      </c>
      <c r="F116" s="5">
        <v>114</v>
      </c>
      <c r="G116" s="5">
        <v>130</v>
      </c>
      <c r="H116" s="5">
        <v>104</v>
      </c>
      <c r="I116" s="2">
        <f t="shared" si="0"/>
        <v>119.75</v>
      </c>
      <c r="J116" s="2">
        <f>I116*2*10000</f>
        <v>2395000</v>
      </c>
      <c r="K116" s="2">
        <v>3000000</v>
      </c>
      <c r="L116" s="2">
        <f>J116*5</f>
        <v>11975000</v>
      </c>
      <c r="M116" s="3">
        <f>I116/(I116+I117)*100</f>
        <v>98.762886597938149</v>
      </c>
      <c r="N116" s="22">
        <f>I118/I116*100</f>
        <v>2.7139874739039667</v>
      </c>
      <c r="O116" s="4">
        <f>3.32*(LOG(L116)-LOG(K116))</f>
        <v>1.995832167658236</v>
      </c>
      <c r="P116" s="4">
        <f>IF(O116&lt;0,P113,P113+O116)</f>
        <v>42.581999430543057</v>
      </c>
    </row>
    <row r="117" spans="1:16" ht="14.25" customHeight="1" x14ac:dyDescent="0.35">
      <c r="A117" s="2"/>
      <c r="B117" s="109"/>
      <c r="C117" s="129"/>
      <c r="D117" s="92" t="s">
        <v>66</v>
      </c>
      <c r="E117" s="5">
        <v>3</v>
      </c>
      <c r="F117" s="5">
        <v>2</v>
      </c>
      <c r="G117" s="5">
        <v>0</v>
      </c>
      <c r="H117" s="5">
        <v>1</v>
      </c>
      <c r="I117" s="2">
        <f t="shared" si="0"/>
        <v>1.5</v>
      </c>
      <c r="J117" s="2"/>
      <c r="K117" s="2"/>
      <c r="L117" s="2"/>
      <c r="M117" s="2"/>
      <c r="N117" s="20"/>
      <c r="O117" s="2"/>
      <c r="P117" s="2"/>
    </row>
    <row r="118" spans="1:16" ht="14.25" customHeight="1" x14ac:dyDescent="0.35">
      <c r="A118" s="2"/>
      <c r="B118" s="109"/>
      <c r="C118" s="129"/>
      <c r="D118" s="92" t="s">
        <v>67</v>
      </c>
      <c r="E118" s="5">
        <v>4</v>
      </c>
      <c r="F118" s="5">
        <v>4</v>
      </c>
      <c r="G118" s="5">
        <v>3</v>
      </c>
      <c r="H118" s="5">
        <v>2</v>
      </c>
      <c r="I118" s="2">
        <f t="shared" si="0"/>
        <v>3.25</v>
      </c>
      <c r="J118" s="2"/>
      <c r="K118" s="2"/>
      <c r="L118" s="2"/>
      <c r="M118" s="2"/>
      <c r="N118" s="20"/>
      <c r="O118" s="2"/>
      <c r="P118" s="2"/>
    </row>
    <row r="119" spans="1:16" ht="14.25" customHeight="1" x14ac:dyDescent="0.35">
      <c r="A119" s="13">
        <v>44614</v>
      </c>
      <c r="B119" s="109">
        <f>B116+7</f>
        <v>264</v>
      </c>
      <c r="C119" s="129" t="s">
        <v>43</v>
      </c>
      <c r="D119" s="91" t="s">
        <v>65</v>
      </c>
      <c r="E119" s="5">
        <v>131</v>
      </c>
      <c r="F119" s="5">
        <v>123</v>
      </c>
      <c r="G119" s="5">
        <v>117</v>
      </c>
      <c r="H119" s="5">
        <v>115</v>
      </c>
      <c r="I119" s="2">
        <f t="shared" si="0"/>
        <v>121.5</v>
      </c>
      <c r="J119" s="2">
        <f>I119*2*10000</f>
        <v>2430000</v>
      </c>
      <c r="K119" s="2">
        <v>3000000</v>
      </c>
      <c r="L119" s="2">
        <f>J119*5</f>
        <v>12150000</v>
      </c>
      <c r="M119" s="3">
        <f>I119/(I119+I120)*100</f>
        <v>97.005988023952099</v>
      </c>
      <c r="N119" s="22">
        <f>I121/I119*100</f>
        <v>0.41152263374485598</v>
      </c>
      <c r="O119" s="4">
        <f>3.32*(LOG(L119)-LOG(K119))</f>
        <v>2.0167506770726984</v>
      </c>
      <c r="P119" s="4">
        <f>IF(O119&lt;0,P116,P116+O119)</f>
        <v>44.598750107615757</v>
      </c>
    </row>
    <row r="120" spans="1:16" ht="14.25" customHeight="1" x14ac:dyDescent="0.35">
      <c r="A120" s="2"/>
      <c r="B120" s="109"/>
      <c r="C120" s="129"/>
      <c r="D120" s="92" t="s">
        <v>66</v>
      </c>
      <c r="E120" s="5">
        <v>3</v>
      </c>
      <c r="F120" s="5">
        <v>6</v>
      </c>
      <c r="G120" s="5">
        <v>4</v>
      </c>
      <c r="H120" s="5">
        <v>2</v>
      </c>
      <c r="I120" s="2">
        <f t="shared" si="0"/>
        <v>3.75</v>
      </c>
      <c r="J120" s="2"/>
      <c r="K120" s="2"/>
      <c r="L120" s="2"/>
      <c r="M120" s="2"/>
      <c r="N120" s="20"/>
      <c r="O120" s="2"/>
      <c r="P120" s="2"/>
    </row>
    <row r="121" spans="1:16" ht="14.25" customHeight="1" x14ac:dyDescent="0.35">
      <c r="A121" s="2"/>
      <c r="B121" s="109"/>
      <c r="C121" s="129"/>
      <c r="D121" s="92" t="s">
        <v>67</v>
      </c>
      <c r="E121" s="5">
        <v>0</v>
      </c>
      <c r="F121" s="5">
        <v>0</v>
      </c>
      <c r="G121" s="5">
        <v>2</v>
      </c>
      <c r="H121" s="5">
        <v>0</v>
      </c>
      <c r="I121" s="2">
        <f t="shared" si="0"/>
        <v>0.5</v>
      </c>
      <c r="J121" s="2"/>
      <c r="K121" s="2"/>
      <c r="L121" s="2"/>
      <c r="M121" s="2"/>
      <c r="N121" s="20"/>
      <c r="O121" s="2"/>
      <c r="P121" s="2"/>
    </row>
    <row r="122" spans="1:16" ht="14.25" customHeight="1" x14ac:dyDescent="0.35">
      <c r="A122" s="13">
        <v>44620</v>
      </c>
      <c r="B122" s="109">
        <f>B119+6</f>
        <v>270</v>
      </c>
      <c r="C122" s="129" t="s">
        <v>43</v>
      </c>
      <c r="D122" s="91" t="s">
        <v>65</v>
      </c>
      <c r="E122" s="5">
        <v>113</v>
      </c>
      <c r="F122" s="5">
        <v>105</v>
      </c>
      <c r="G122" s="5">
        <v>114</v>
      </c>
      <c r="H122" s="5">
        <v>126</v>
      </c>
      <c r="I122" s="2">
        <f t="shared" si="0"/>
        <v>114.5</v>
      </c>
      <c r="J122" s="2">
        <f>I122*2*10000</f>
        <v>2290000</v>
      </c>
      <c r="K122" s="2">
        <v>3000000</v>
      </c>
      <c r="L122" s="2">
        <f>J122*5</f>
        <v>11450000</v>
      </c>
      <c r="M122" s="3">
        <f>I122/(I122+I123)*100</f>
        <v>99.134199134199136</v>
      </c>
      <c r="N122" s="22">
        <f>I124/I122*100</f>
        <v>0.65502183406113534</v>
      </c>
      <c r="O122" s="4">
        <f>3.32*(LOG(L122)-LOG(K122))</f>
        <v>1.9311916500947317</v>
      </c>
      <c r="P122" s="4">
        <f>IF(O122&lt;0,P119,P119+O122)</f>
        <v>46.529941757710489</v>
      </c>
    </row>
    <row r="123" spans="1:16" ht="14.25" customHeight="1" x14ac:dyDescent="0.35">
      <c r="A123" s="2"/>
      <c r="B123" s="109"/>
      <c r="C123" s="129"/>
      <c r="D123" s="92" t="s">
        <v>66</v>
      </c>
      <c r="E123" s="5">
        <v>0</v>
      </c>
      <c r="F123" s="5">
        <v>1</v>
      </c>
      <c r="G123" s="5">
        <v>0</v>
      </c>
      <c r="H123" s="5">
        <v>3</v>
      </c>
      <c r="I123" s="2">
        <f t="shared" si="0"/>
        <v>1</v>
      </c>
      <c r="J123" s="2"/>
      <c r="K123" s="2"/>
      <c r="L123" s="2"/>
      <c r="M123" s="2"/>
      <c r="N123" s="20"/>
      <c r="O123" s="2"/>
      <c r="P123" s="2"/>
    </row>
    <row r="124" spans="1:16" ht="14.25" customHeight="1" x14ac:dyDescent="0.35">
      <c r="A124" s="2"/>
      <c r="B124" s="109"/>
      <c r="C124" s="129"/>
      <c r="D124" s="92" t="s">
        <v>67</v>
      </c>
      <c r="E124" s="5">
        <v>1</v>
      </c>
      <c r="F124" s="5">
        <v>0</v>
      </c>
      <c r="G124" s="5">
        <v>1</v>
      </c>
      <c r="H124" s="5">
        <v>1</v>
      </c>
      <c r="I124" s="2">
        <f t="shared" si="0"/>
        <v>0.75</v>
      </c>
      <c r="J124" s="2"/>
      <c r="K124" s="2"/>
      <c r="L124" s="2"/>
      <c r="M124" s="2"/>
      <c r="N124" s="20"/>
      <c r="O124" s="2"/>
      <c r="P124" s="2"/>
    </row>
    <row r="125" spans="1:16" ht="14.25" customHeight="1" x14ac:dyDescent="0.35">
      <c r="A125" s="13">
        <v>44627</v>
      </c>
      <c r="B125" s="109">
        <f>B122+7</f>
        <v>277</v>
      </c>
      <c r="C125" s="129" t="s">
        <v>43</v>
      </c>
      <c r="D125" s="91" t="s">
        <v>65</v>
      </c>
      <c r="E125" s="5">
        <v>99</v>
      </c>
      <c r="F125" s="5">
        <v>75</v>
      </c>
      <c r="G125" s="5">
        <v>106</v>
      </c>
      <c r="H125" s="5">
        <v>94</v>
      </c>
      <c r="I125" s="2">
        <f t="shared" si="0"/>
        <v>93.5</v>
      </c>
      <c r="J125" s="2">
        <f>I125*2*10000</f>
        <v>1870000</v>
      </c>
      <c r="K125" s="2">
        <v>3000000</v>
      </c>
      <c r="L125" s="2">
        <f>J125*5</f>
        <v>9350000</v>
      </c>
      <c r="M125" s="3">
        <f>I125/(I125+I126)*100</f>
        <v>99.468085106382972</v>
      </c>
      <c r="N125" s="22">
        <f>I127/I125*100</f>
        <v>0.53475935828876997</v>
      </c>
      <c r="O125" s="4">
        <f>3.32*(LOG(L125)-LOG(K125))</f>
        <v>1.6390519824274805</v>
      </c>
      <c r="P125" s="4">
        <f>IF(O125&lt;0,P122,P122+O125)</f>
        <v>48.168993740137971</v>
      </c>
    </row>
    <row r="126" spans="1:16" ht="14.25" customHeight="1" x14ac:dyDescent="0.35">
      <c r="A126" s="2"/>
      <c r="B126" s="109"/>
      <c r="C126" s="129"/>
      <c r="D126" s="92" t="s">
        <v>66</v>
      </c>
      <c r="E126" s="5">
        <v>1</v>
      </c>
      <c r="F126" s="5">
        <v>0</v>
      </c>
      <c r="G126" s="5">
        <v>1</v>
      </c>
      <c r="H126" s="5">
        <v>0</v>
      </c>
      <c r="I126" s="2">
        <f t="shared" si="0"/>
        <v>0.5</v>
      </c>
      <c r="J126" s="2"/>
      <c r="K126" s="2"/>
      <c r="L126" s="2"/>
      <c r="M126" s="2"/>
      <c r="N126" s="20"/>
      <c r="O126" s="2"/>
      <c r="P126" s="2"/>
    </row>
    <row r="127" spans="1:16" ht="14.25" customHeight="1" x14ac:dyDescent="0.35">
      <c r="A127" s="2"/>
      <c r="B127" s="109"/>
      <c r="C127" s="129"/>
      <c r="D127" s="92" t="s">
        <v>67</v>
      </c>
      <c r="E127" s="5">
        <v>0</v>
      </c>
      <c r="F127" s="5">
        <v>2</v>
      </c>
      <c r="G127" s="5">
        <v>0</v>
      </c>
      <c r="H127" s="5">
        <v>0</v>
      </c>
      <c r="I127" s="2">
        <f t="shared" si="0"/>
        <v>0.5</v>
      </c>
      <c r="J127" s="2"/>
      <c r="K127" s="2"/>
      <c r="L127" s="2"/>
      <c r="M127" s="2"/>
      <c r="N127" s="20"/>
      <c r="O127" s="2"/>
      <c r="P127" s="2"/>
    </row>
    <row r="128" spans="1:16" ht="14.25" customHeight="1" x14ac:dyDescent="0.35">
      <c r="A128" s="13">
        <v>44634</v>
      </c>
      <c r="B128" s="109">
        <f>B125+7</f>
        <v>284</v>
      </c>
      <c r="C128" s="129" t="s">
        <v>43</v>
      </c>
      <c r="D128" s="91" t="s">
        <v>65</v>
      </c>
      <c r="E128" s="5">
        <v>150</v>
      </c>
      <c r="F128" s="5">
        <v>129</v>
      </c>
      <c r="G128" s="5">
        <v>130</v>
      </c>
      <c r="H128" s="5">
        <v>148</v>
      </c>
      <c r="I128" s="2">
        <f t="shared" si="0"/>
        <v>139.25</v>
      </c>
      <c r="J128" s="2">
        <f>I128*2*10000</f>
        <v>2785000</v>
      </c>
      <c r="K128" s="2">
        <f>$K$125</f>
        <v>3000000</v>
      </c>
      <c r="L128" s="2">
        <f>J128*5</f>
        <v>13925000</v>
      </c>
      <c r="M128" s="3">
        <f>I128/(I128+I129)*100</f>
        <v>98.75886524822694</v>
      </c>
      <c r="N128" s="22">
        <f>I130/I128*100</f>
        <v>0</v>
      </c>
      <c r="O128" s="4">
        <f>3.32*(LOG(L128)-LOG(K128))</f>
        <v>2.2133575110986659</v>
      </c>
      <c r="P128" s="4">
        <f>IF(O128&lt;0,P125,P125+O128)</f>
        <v>50.382351251236635</v>
      </c>
    </row>
    <row r="129" spans="1:16" ht="14.25" customHeight="1" x14ac:dyDescent="0.35">
      <c r="A129" s="2"/>
      <c r="B129" s="109"/>
      <c r="C129" s="129"/>
      <c r="D129" s="92" t="s">
        <v>66</v>
      </c>
      <c r="E129" s="5">
        <v>2</v>
      </c>
      <c r="F129" s="5">
        <v>3</v>
      </c>
      <c r="G129" s="5">
        <v>2</v>
      </c>
      <c r="H129" s="5">
        <v>0</v>
      </c>
      <c r="I129" s="2">
        <f t="shared" si="0"/>
        <v>1.75</v>
      </c>
      <c r="J129" s="2"/>
      <c r="K129" s="2"/>
      <c r="L129" s="2"/>
      <c r="M129" s="2"/>
      <c r="N129" s="20"/>
      <c r="O129" s="2"/>
      <c r="P129" s="2"/>
    </row>
    <row r="130" spans="1:16" ht="14.25" customHeight="1" x14ac:dyDescent="0.35">
      <c r="A130" s="2"/>
      <c r="B130" s="109"/>
      <c r="C130" s="129"/>
      <c r="D130" s="92" t="s">
        <v>67</v>
      </c>
      <c r="E130" s="5">
        <v>0</v>
      </c>
      <c r="F130" s="5">
        <v>0</v>
      </c>
      <c r="G130" s="5">
        <v>0</v>
      </c>
      <c r="H130" s="5">
        <v>0</v>
      </c>
      <c r="I130" s="2">
        <f t="shared" si="0"/>
        <v>0</v>
      </c>
      <c r="J130" s="2"/>
      <c r="K130" s="2"/>
      <c r="L130" s="2"/>
      <c r="M130" s="2"/>
      <c r="N130" s="20"/>
      <c r="O130" s="2"/>
      <c r="P130" s="2"/>
    </row>
    <row r="131" spans="1:16" ht="14.25" customHeight="1" x14ac:dyDescent="0.35">
      <c r="A131" s="13">
        <v>44641</v>
      </c>
      <c r="B131" s="109">
        <f>B128+7</f>
        <v>291</v>
      </c>
      <c r="C131" s="129" t="s">
        <v>43</v>
      </c>
      <c r="D131" s="91" t="s">
        <v>65</v>
      </c>
      <c r="E131" s="5">
        <v>141</v>
      </c>
      <c r="F131" s="5">
        <v>137</v>
      </c>
      <c r="G131" s="5">
        <v>175</v>
      </c>
      <c r="H131" s="5">
        <v>165</v>
      </c>
      <c r="I131" s="2">
        <f t="shared" si="0"/>
        <v>154.5</v>
      </c>
      <c r="J131" s="2">
        <f>I131*2*10000</f>
        <v>3090000</v>
      </c>
      <c r="K131" s="2">
        <f>$K$125</f>
        <v>3000000</v>
      </c>
      <c r="L131" s="2">
        <f>J131*5</f>
        <v>15450000</v>
      </c>
      <c r="M131" s="3">
        <f>I131/(I131+I132)*100</f>
        <v>98.564593301435409</v>
      </c>
      <c r="N131" s="22">
        <f>I133/I131*100</f>
        <v>0</v>
      </c>
      <c r="O131" s="4">
        <f>3.32*(LOG(L131)-LOG(K131))</f>
        <v>2.3632000004167533</v>
      </c>
      <c r="P131" s="4">
        <f>IF(O131&lt;0,P128,P128+O131)</f>
        <v>52.745551251653389</v>
      </c>
    </row>
    <row r="132" spans="1:16" ht="14.25" customHeight="1" x14ac:dyDescent="0.35">
      <c r="A132" s="2"/>
      <c r="B132" s="109"/>
      <c r="C132" s="129"/>
      <c r="D132" s="92" t="s">
        <v>66</v>
      </c>
      <c r="E132" s="5">
        <v>1</v>
      </c>
      <c r="F132" s="5">
        <v>3</v>
      </c>
      <c r="G132" s="5">
        <v>3</v>
      </c>
      <c r="H132" s="5">
        <v>2</v>
      </c>
      <c r="I132" s="2">
        <f t="shared" si="0"/>
        <v>2.25</v>
      </c>
      <c r="J132" s="2"/>
      <c r="K132" s="2"/>
      <c r="L132" s="2"/>
      <c r="M132" s="2"/>
      <c r="N132" s="20"/>
      <c r="O132" s="2"/>
      <c r="P132" s="2"/>
    </row>
    <row r="133" spans="1:16" ht="14.25" customHeight="1" x14ac:dyDescent="0.35">
      <c r="A133" s="2"/>
      <c r="B133" s="109"/>
      <c r="C133" s="129"/>
      <c r="D133" s="92" t="s">
        <v>67</v>
      </c>
      <c r="E133" s="5">
        <v>0</v>
      </c>
      <c r="F133" s="5">
        <v>0</v>
      </c>
      <c r="G133" s="5">
        <v>0</v>
      </c>
      <c r="H133" s="5">
        <v>0</v>
      </c>
      <c r="I133" s="2">
        <f t="shared" si="0"/>
        <v>0</v>
      </c>
      <c r="J133" s="2"/>
      <c r="K133" s="2"/>
      <c r="L133" s="2"/>
      <c r="M133" s="2"/>
      <c r="N133" s="20"/>
      <c r="O133" s="2"/>
      <c r="P133" s="2"/>
    </row>
    <row r="134" spans="1:16" ht="14.25" customHeight="1" x14ac:dyDescent="0.35">
      <c r="A134" s="13">
        <v>44649</v>
      </c>
      <c r="B134" s="109">
        <f>B131+8</f>
        <v>299</v>
      </c>
      <c r="C134" s="129" t="s">
        <v>43</v>
      </c>
      <c r="D134" s="91" t="s">
        <v>65</v>
      </c>
      <c r="E134" s="5">
        <v>235</v>
      </c>
      <c r="F134" s="5">
        <f>85*4</f>
        <v>340</v>
      </c>
      <c r="G134" s="5">
        <f>79*4</f>
        <v>316</v>
      </c>
      <c r="H134" s="5">
        <f>58*4</f>
        <v>232</v>
      </c>
      <c r="I134" s="2">
        <f t="shared" si="0"/>
        <v>280.75</v>
      </c>
      <c r="J134" s="2">
        <f>I134*2*10000</f>
        <v>5615000</v>
      </c>
      <c r="K134" s="2">
        <f>$K$125</f>
        <v>3000000</v>
      </c>
      <c r="L134" s="2">
        <f>J134*5</f>
        <v>28075000</v>
      </c>
      <c r="M134" s="3">
        <f>I134/(I134+I135)*100</f>
        <v>98.422436459246271</v>
      </c>
      <c r="N134" s="22">
        <f>I136/I134*100</f>
        <v>0.17809439002671415</v>
      </c>
      <c r="O134" s="4">
        <f>3.32*(LOG(L134)-LOG(K134))</f>
        <v>3.2243790539099262</v>
      </c>
      <c r="P134" s="4">
        <f>IF(O134&lt;0,P131,P131+O134)</f>
        <v>55.969930305563317</v>
      </c>
    </row>
    <row r="135" spans="1:16" ht="14.25" customHeight="1" x14ac:dyDescent="0.35">
      <c r="A135" s="2"/>
      <c r="B135" s="109"/>
      <c r="C135" s="129"/>
      <c r="D135" s="92" t="s">
        <v>66</v>
      </c>
      <c r="E135" s="5">
        <v>6</v>
      </c>
      <c r="F135" s="5">
        <v>4</v>
      </c>
      <c r="G135" s="5">
        <v>4</v>
      </c>
      <c r="H135" s="5">
        <v>4</v>
      </c>
      <c r="I135" s="2">
        <f t="shared" si="0"/>
        <v>4.5</v>
      </c>
      <c r="J135" s="2"/>
      <c r="K135" s="2"/>
      <c r="L135" s="2"/>
      <c r="M135" s="2"/>
      <c r="N135" s="20"/>
      <c r="O135" s="2"/>
      <c r="P135" s="2"/>
    </row>
    <row r="136" spans="1:16" ht="14.25" customHeight="1" x14ac:dyDescent="0.35">
      <c r="A136" s="2"/>
      <c r="B136" s="109"/>
      <c r="C136" s="129"/>
      <c r="D136" s="92" t="s">
        <v>67</v>
      </c>
      <c r="E136" s="5">
        <v>1</v>
      </c>
      <c r="F136" s="5">
        <v>1</v>
      </c>
      <c r="G136" s="5">
        <v>0</v>
      </c>
      <c r="H136" s="5">
        <v>0</v>
      </c>
      <c r="I136" s="2">
        <f t="shared" si="0"/>
        <v>0.5</v>
      </c>
      <c r="J136" s="2"/>
      <c r="K136" s="2"/>
      <c r="L136" s="2"/>
      <c r="M136" s="2"/>
      <c r="N136" s="20"/>
      <c r="O136" s="2"/>
      <c r="P136" s="2"/>
    </row>
    <row r="137" spans="1:16" ht="14.25" customHeight="1" x14ac:dyDescent="0.35">
      <c r="A137" s="13">
        <v>44653</v>
      </c>
      <c r="B137" s="109">
        <f>B134+7</f>
        <v>306</v>
      </c>
      <c r="C137" s="129" t="s">
        <v>43</v>
      </c>
      <c r="D137" s="91" t="s">
        <v>65</v>
      </c>
      <c r="E137" s="5">
        <v>99</v>
      </c>
      <c r="F137" s="5">
        <v>96</v>
      </c>
      <c r="G137" s="5">
        <v>117</v>
      </c>
      <c r="H137" s="5">
        <v>92</v>
      </c>
      <c r="I137" s="2">
        <f t="shared" si="0"/>
        <v>101</v>
      </c>
      <c r="J137" s="2">
        <f>I137*2*10000</f>
        <v>2020000</v>
      </c>
      <c r="K137" s="2">
        <f>$K$125</f>
        <v>3000000</v>
      </c>
      <c r="L137" s="2">
        <f>J137*5</f>
        <v>10100000</v>
      </c>
      <c r="M137" s="3">
        <f>I137/(I137+I138)*100</f>
        <v>97.820823244552059</v>
      </c>
      <c r="N137" s="22">
        <f>I139/I137*100</f>
        <v>0.49504950495049505</v>
      </c>
      <c r="O137" s="4">
        <f>3.32*(LOG(L137)-LOG(K137))</f>
        <v>1.7503043952890922</v>
      </c>
      <c r="P137" s="4">
        <f>IF(O137&lt;0,P134,P134+O137)</f>
        <v>57.720234700852409</v>
      </c>
    </row>
    <row r="138" spans="1:16" ht="14.25" customHeight="1" x14ac:dyDescent="0.35">
      <c r="A138" s="2"/>
      <c r="B138" s="109"/>
      <c r="C138" s="129"/>
      <c r="D138" s="92" t="s">
        <v>66</v>
      </c>
      <c r="E138" s="5">
        <v>4</v>
      </c>
      <c r="F138" s="5">
        <v>4</v>
      </c>
      <c r="G138" s="5">
        <v>0</v>
      </c>
      <c r="H138" s="5">
        <v>1</v>
      </c>
      <c r="I138" s="2">
        <f t="shared" si="0"/>
        <v>2.25</v>
      </c>
      <c r="J138" s="2"/>
      <c r="K138" s="2"/>
      <c r="L138" s="2"/>
      <c r="M138" s="2"/>
      <c r="N138" s="20"/>
      <c r="O138" s="2"/>
      <c r="P138" s="2"/>
    </row>
    <row r="139" spans="1:16" ht="14.25" customHeight="1" x14ac:dyDescent="0.35">
      <c r="A139" s="2"/>
      <c r="B139" s="109"/>
      <c r="C139" s="129"/>
      <c r="D139" s="92" t="s">
        <v>67</v>
      </c>
      <c r="E139" s="5">
        <v>0</v>
      </c>
      <c r="F139" s="5">
        <v>2</v>
      </c>
      <c r="G139" s="5">
        <v>0</v>
      </c>
      <c r="H139" s="5">
        <v>0</v>
      </c>
      <c r="I139" s="2">
        <f t="shared" si="0"/>
        <v>0.5</v>
      </c>
      <c r="J139" s="2"/>
      <c r="K139" s="2"/>
      <c r="L139" s="2"/>
      <c r="M139" s="2"/>
      <c r="N139" s="20"/>
      <c r="O139" s="2"/>
      <c r="P139" s="2"/>
    </row>
    <row r="140" spans="1:16" ht="14.25" customHeight="1" x14ac:dyDescent="0.35">
      <c r="A140" s="13">
        <v>44662</v>
      </c>
      <c r="B140" s="109">
        <f>B137+7</f>
        <v>313</v>
      </c>
      <c r="C140" s="129" t="s">
        <v>43</v>
      </c>
      <c r="D140" s="91" t="s">
        <v>65</v>
      </c>
      <c r="E140" s="5">
        <v>91</v>
      </c>
      <c r="F140" s="5">
        <v>74</v>
      </c>
      <c r="G140" s="5">
        <v>106</v>
      </c>
      <c r="H140" s="5">
        <v>84</v>
      </c>
      <c r="I140" s="2">
        <f t="shared" si="0"/>
        <v>88.75</v>
      </c>
      <c r="J140" s="2">
        <f>I140*2*10000</f>
        <v>1775000</v>
      </c>
      <c r="K140" s="2">
        <f>$K$125</f>
        <v>3000000</v>
      </c>
      <c r="L140" s="2">
        <f>J140*5</f>
        <v>8875000</v>
      </c>
      <c r="M140" s="3">
        <f>I140/(I140+I141)*100</f>
        <v>99.719101123595507</v>
      </c>
      <c r="N140" s="22">
        <f>I142/I140*100</f>
        <v>0.84507042253521114</v>
      </c>
      <c r="O140" s="4">
        <f>3.32*(LOG(L140)-LOG(K140))</f>
        <v>1.5638763952647974</v>
      </c>
      <c r="P140" s="4">
        <f>IF(O140&lt;0,P137,P137+O140)</f>
        <v>59.284111096117208</v>
      </c>
    </row>
    <row r="141" spans="1:16" ht="14.25" customHeight="1" x14ac:dyDescent="0.35">
      <c r="A141" s="2"/>
      <c r="B141" s="109"/>
      <c r="C141" s="129"/>
      <c r="D141" s="92" t="s">
        <v>66</v>
      </c>
      <c r="E141" s="5">
        <v>0</v>
      </c>
      <c r="F141" s="5">
        <v>0</v>
      </c>
      <c r="G141" s="5">
        <v>0</v>
      </c>
      <c r="H141" s="5">
        <v>1</v>
      </c>
      <c r="I141" s="2">
        <f t="shared" si="0"/>
        <v>0.25</v>
      </c>
      <c r="J141" s="2"/>
      <c r="K141" s="2"/>
      <c r="L141" s="2"/>
      <c r="M141" s="2"/>
      <c r="N141" s="20"/>
      <c r="O141" s="2"/>
      <c r="P141" s="2"/>
    </row>
    <row r="142" spans="1:16" ht="14.25" customHeight="1" x14ac:dyDescent="0.35">
      <c r="A142" s="2"/>
      <c r="B142" s="109"/>
      <c r="C142" s="129"/>
      <c r="D142" s="92" t="s">
        <v>67</v>
      </c>
      <c r="E142" s="5">
        <v>1</v>
      </c>
      <c r="F142" s="5">
        <v>0</v>
      </c>
      <c r="G142" s="5">
        <v>1</v>
      </c>
      <c r="H142" s="5">
        <v>1</v>
      </c>
      <c r="I142" s="2">
        <f t="shared" si="0"/>
        <v>0.75</v>
      </c>
      <c r="J142" s="2"/>
      <c r="K142" s="2"/>
      <c r="L142" s="2"/>
      <c r="M142" s="2"/>
      <c r="N142" s="20"/>
      <c r="O142" s="2"/>
      <c r="P142" s="2"/>
    </row>
    <row r="143" spans="1:16" ht="14.25" customHeight="1" x14ac:dyDescent="0.35">
      <c r="A143" s="13">
        <v>44669</v>
      </c>
      <c r="B143" s="109">
        <f>B140+7</f>
        <v>320</v>
      </c>
      <c r="C143" s="129" t="s">
        <v>43</v>
      </c>
      <c r="D143" s="91" t="s">
        <v>65</v>
      </c>
      <c r="E143" s="5">
        <v>155</v>
      </c>
      <c r="F143" s="5">
        <v>176</v>
      </c>
      <c r="G143" s="5">
        <v>182</v>
      </c>
      <c r="H143" s="5">
        <v>181</v>
      </c>
      <c r="I143" s="2">
        <f t="shared" si="0"/>
        <v>173.5</v>
      </c>
      <c r="J143" s="2">
        <f>I143*2*10000</f>
        <v>3470000</v>
      </c>
      <c r="K143" s="2">
        <f>$K$125</f>
        <v>3000000</v>
      </c>
      <c r="L143" s="2">
        <f>J143*5</f>
        <v>17350000</v>
      </c>
      <c r="M143" s="3">
        <f>I143/(I143+I144)*100</f>
        <v>99.142857142857139</v>
      </c>
      <c r="N143" s="22">
        <f>I145/I143*100</f>
        <v>0.28818443804034583</v>
      </c>
      <c r="O143" s="4">
        <f>3.32*(LOG(L143)-LOG(K143))</f>
        <v>2.530431705032004</v>
      </c>
      <c r="P143" s="4">
        <f>IF(O143&lt;0,P140,P140+O143)</f>
        <v>61.814542801149209</v>
      </c>
    </row>
    <row r="144" spans="1:16" ht="14.25" customHeight="1" x14ac:dyDescent="0.35">
      <c r="A144" s="2"/>
      <c r="B144" s="109"/>
      <c r="C144" s="129"/>
      <c r="D144" s="92" t="s">
        <v>66</v>
      </c>
      <c r="E144" s="5">
        <v>2</v>
      </c>
      <c r="F144" s="5">
        <v>3</v>
      </c>
      <c r="G144" s="5">
        <v>1</v>
      </c>
      <c r="H144" s="5">
        <v>0</v>
      </c>
      <c r="I144" s="2">
        <f t="shared" si="0"/>
        <v>1.5</v>
      </c>
      <c r="J144" s="2"/>
      <c r="K144" s="2"/>
      <c r="L144" s="2"/>
      <c r="M144" s="2"/>
      <c r="N144" s="20"/>
      <c r="O144" s="2"/>
      <c r="P144" s="2"/>
    </row>
    <row r="145" spans="1:16" ht="14.25" customHeight="1" x14ac:dyDescent="0.35">
      <c r="A145" s="2"/>
      <c r="B145" s="109"/>
      <c r="C145" s="129"/>
      <c r="D145" s="92" t="s">
        <v>67</v>
      </c>
      <c r="E145" s="5">
        <v>1</v>
      </c>
      <c r="F145" s="5">
        <v>0</v>
      </c>
      <c r="G145" s="5">
        <v>1</v>
      </c>
      <c r="H145" s="5">
        <v>0</v>
      </c>
      <c r="I145" s="2">
        <f t="shared" si="0"/>
        <v>0.5</v>
      </c>
      <c r="J145" s="2"/>
      <c r="K145" s="2"/>
      <c r="L145" s="2"/>
      <c r="M145" s="2"/>
      <c r="N145" s="20"/>
      <c r="O145" s="2"/>
      <c r="P145" s="2"/>
    </row>
    <row r="146" spans="1:16" ht="14.25" customHeight="1" x14ac:dyDescent="0.35">
      <c r="A146" s="13">
        <v>44676</v>
      </c>
      <c r="B146" s="109">
        <f>B143+7</f>
        <v>327</v>
      </c>
      <c r="C146" s="129" t="s">
        <v>43</v>
      </c>
      <c r="D146" s="91" t="s">
        <v>65</v>
      </c>
      <c r="E146" s="5">
        <v>119</v>
      </c>
      <c r="F146" s="5">
        <v>118</v>
      </c>
      <c r="G146" s="5">
        <v>131</v>
      </c>
      <c r="H146" s="5">
        <v>113</v>
      </c>
      <c r="I146" s="2">
        <f t="shared" si="0"/>
        <v>120.25</v>
      </c>
      <c r="J146" s="2">
        <f>I146*2*10000</f>
        <v>2405000</v>
      </c>
      <c r="K146" s="2">
        <f>$K$125</f>
        <v>3000000</v>
      </c>
      <c r="L146" s="2">
        <f>J146*5</f>
        <v>12025000</v>
      </c>
      <c r="M146" s="3">
        <f>I146/(I146+I147)*100</f>
        <v>98.3640081799591</v>
      </c>
      <c r="N146" s="22">
        <f>I148/I146*100</f>
        <v>0.20790020790020791</v>
      </c>
      <c r="O146" s="4">
        <f>3.32*(LOG(L146)-LOG(K146))</f>
        <v>2.0018399166830068</v>
      </c>
      <c r="P146" s="4">
        <f>IF(O146&lt;0,P143,P143+O146)</f>
        <v>63.816382717832212</v>
      </c>
    </row>
    <row r="147" spans="1:16" ht="14.25" customHeight="1" x14ac:dyDescent="0.35">
      <c r="A147" s="2"/>
      <c r="B147" s="109"/>
      <c r="C147" s="129"/>
      <c r="D147" s="92" t="s">
        <v>66</v>
      </c>
      <c r="E147" s="5">
        <v>3</v>
      </c>
      <c r="F147" s="5">
        <v>1</v>
      </c>
      <c r="G147" s="5">
        <v>2</v>
      </c>
      <c r="H147" s="5">
        <v>2</v>
      </c>
      <c r="I147" s="2">
        <f t="shared" si="0"/>
        <v>2</v>
      </c>
      <c r="J147" s="2"/>
      <c r="K147" s="2"/>
      <c r="L147" s="2"/>
      <c r="M147" s="2"/>
      <c r="N147" s="20"/>
      <c r="O147" s="2"/>
      <c r="P147" s="2"/>
    </row>
    <row r="148" spans="1:16" ht="14.25" customHeight="1" x14ac:dyDescent="0.35">
      <c r="A148" s="2"/>
      <c r="B148" s="109"/>
      <c r="C148" s="129"/>
      <c r="D148" s="92" t="s">
        <v>67</v>
      </c>
      <c r="E148" s="5">
        <v>1</v>
      </c>
      <c r="F148" s="5">
        <v>0</v>
      </c>
      <c r="G148" s="5">
        <v>0</v>
      </c>
      <c r="H148" s="5">
        <v>0</v>
      </c>
      <c r="I148" s="2">
        <f t="shared" si="0"/>
        <v>0.25</v>
      </c>
      <c r="J148" s="2"/>
      <c r="K148" s="2"/>
      <c r="L148" s="2"/>
      <c r="M148" s="2"/>
      <c r="N148" s="20"/>
      <c r="O148" s="2"/>
      <c r="P148" s="2"/>
    </row>
    <row r="149" spans="1:16" ht="14.25" customHeight="1" x14ac:dyDescent="0.35">
      <c r="A149" s="13">
        <v>44683</v>
      </c>
      <c r="B149" s="109">
        <f>B146+7</f>
        <v>334</v>
      </c>
      <c r="C149" s="129" t="s">
        <v>43</v>
      </c>
      <c r="D149" s="91" t="s">
        <v>65</v>
      </c>
      <c r="E149" s="5">
        <v>225</v>
      </c>
      <c r="F149" s="5">
        <v>230</v>
      </c>
      <c r="G149" s="5">
        <v>260</v>
      </c>
      <c r="H149" s="5">
        <v>243</v>
      </c>
      <c r="I149" s="2">
        <f t="shared" si="0"/>
        <v>239.5</v>
      </c>
      <c r="J149" s="2">
        <f>I149*2*10000</f>
        <v>4790000</v>
      </c>
      <c r="K149" s="2">
        <f>$K$125</f>
        <v>3000000</v>
      </c>
      <c r="L149" s="2">
        <f>J149*5</f>
        <v>23950000</v>
      </c>
      <c r="M149" s="3">
        <f>I149/(I149+I150)*100</f>
        <v>98.256410256410248</v>
      </c>
      <c r="N149" s="22">
        <f>I151/I149*100</f>
        <v>0</v>
      </c>
      <c r="O149" s="4">
        <f>3.32*(LOG(L149)-LOG(K149))</f>
        <v>2.9952517532626537</v>
      </c>
      <c r="P149" s="4">
        <f>IF(O149&lt;0,P146,P146+O149)</f>
        <v>66.811634471094862</v>
      </c>
    </row>
    <row r="150" spans="1:16" ht="14.25" customHeight="1" x14ac:dyDescent="0.35">
      <c r="A150" s="2"/>
      <c r="B150" s="109"/>
      <c r="C150" s="129"/>
      <c r="D150" s="92" t="s">
        <v>66</v>
      </c>
      <c r="E150" s="5">
        <v>4</v>
      </c>
      <c r="F150" s="5">
        <v>6</v>
      </c>
      <c r="G150" s="5">
        <v>3</v>
      </c>
      <c r="H150" s="5">
        <v>4</v>
      </c>
      <c r="I150" s="2">
        <f t="shared" si="0"/>
        <v>4.25</v>
      </c>
      <c r="J150" s="2"/>
      <c r="K150" s="2"/>
      <c r="L150" s="2"/>
      <c r="M150" s="2"/>
      <c r="N150" s="20"/>
      <c r="O150" s="2"/>
      <c r="P150" s="2"/>
    </row>
    <row r="151" spans="1:16" ht="14.25" customHeight="1" x14ac:dyDescent="0.35">
      <c r="A151" s="2"/>
      <c r="B151" s="109"/>
      <c r="C151" s="129"/>
      <c r="D151" s="92" t="s">
        <v>67</v>
      </c>
      <c r="E151" s="5">
        <v>0</v>
      </c>
      <c r="F151" s="5">
        <v>0</v>
      </c>
      <c r="G151" s="5">
        <v>0</v>
      </c>
      <c r="H151" s="5">
        <v>0</v>
      </c>
      <c r="I151" s="2">
        <f t="shared" si="0"/>
        <v>0</v>
      </c>
      <c r="J151" s="2"/>
      <c r="K151" s="2"/>
      <c r="L151" s="2"/>
      <c r="M151" s="2"/>
      <c r="N151" s="20"/>
      <c r="O151" s="2"/>
      <c r="P151" s="2"/>
    </row>
    <row r="152" spans="1:16" ht="14.25" customHeight="1" x14ac:dyDescent="0.35">
      <c r="A152" s="13">
        <v>44692</v>
      </c>
      <c r="B152" s="109">
        <f>B149+9</f>
        <v>343</v>
      </c>
      <c r="C152" s="129" t="s">
        <v>43</v>
      </c>
      <c r="D152" s="91" t="s">
        <v>65</v>
      </c>
      <c r="E152" s="5">
        <v>171</v>
      </c>
      <c r="F152" s="5">
        <v>141</v>
      </c>
      <c r="G152" s="5">
        <v>151</v>
      </c>
      <c r="H152" s="5">
        <v>155</v>
      </c>
      <c r="I152" s="2">
        <f t="shared" si="0"/>
        <v>154.5</v>
      </c>
      <c r="J152" s="2">
        <f>I152*2*10000</f>
        <v>3090000</v>
      </c>
      <c r="K152" s="2">
        <f>$K$125</f>
        <v>3000000</v>
      </c>
      <c r="L152" s="2">
        <f>J152*5</f>
        <v>15450000</v>
      </c>
      <c r="M152" s="3">
        <f>I152/(I152+I153)*100</f>
        <v>98.251192368839426</v>
      </c>
      <c r="N152" s="22">
        <f>I154/I152*100</f>
        <v>0</v>
      </c>
      <c r="O152" s="4">
        <f>3.32*(LOG(L152)-LOG(K152))</f>
        <v>2.3632000004167533</v>
      </c>
      <c r="P152" s="4">
        <f>IF(O152&lt;0,P149,P149+O152)</f>
        <v>69.174834471511616</v>
      </c>
    </row>
    <row r="153" spans="1:16" ht="14.25" customHeight="1" x14ac:dyDescent="0.35">
      <c r="A153" s="2"/>
      <c r="B153" s="109"/>
      <c r="C153" s="129"/>
      <c r="D153" s="92" t="s">
        <v>66</v>
      </c>
      <c r="E153" s="5">
        <v>2</v>
      </c>
      <c r="F153" s="5">
        <v>2</v>
      </c>
      <c r="G153" s="5">
        <v>3</v>
      </c>
      <c r="H153" s="5">
        <v>4</v>
      </c>
      <c r="I153" s="2">
        <f t="shared" si="0"/>
        <v>2.75</v>
      </c>
      <c r="J153" s="2"/>
      <c r="K153" s="2"/>
      <c r="L153" s="2"/>
      <c r="M153" s="2"/>
      <c r="N153" s="20"/>
      <c r="O153" s="2"/>
      <c r="P153" s="2"/>
    </row>
    <row r="154" spans="1:16" ht="14.25" customHeight="1" x14ac:dyDescent="0.35">
      <c r="A154" s="2"/>
      <c r="B154" s="109"/>
      <c r="C154" s="129"/>
      <c r="D154" s="92" t="s">
        <v>67</v>
      </c>
      <c r="E154" s="5">
        <v>0</v>
      </c>
      <c r="F154" s="5">
        <v>0</v>
      </c>
      <c r="G154" s="5">
        <v>0</v>
      </c>
      <c r="H154" s="5">
        <v>0</v>
      </c>
      <c r="I154" s="2">
        <f t="shared" si="0"/>
        <v>0</v>
      </c>
      <c r="J154" s="2"/>
      <c r="K154" s="2"/>
      <c r="L154" s="2"/>
      <c r="M154" s="2"/>
      <c r="N154" s="20"/>
      <c r="O154" s="2"/>
      <c r="P154" s="2"/>
    </row>
    <row r="155" spans="1:16" ht="14.25" customHeight="1" x14ac:dyDescent="0.35">
      <c r="A155" s="13">
        <v>44697</v>
      </c>
      <c r="B155" s="109">
        <f>B152+5</f>
        <v>348</v>
      </c>
      <c r="C155" s="129" t="s">
        <v>43</v>
      </c>
      <c r="D155" s="91" t="s">
        <v>65</v>
      </c>
      <c r="E155" s="5">
        <v>91</v>
      </c>
      <c r="F155" s="5">
        <v>72</v>
      </c>
      <c r="G155" s="5">
        <v>97</v>
      </c>
      <c r="H155" s="5">
        <v>80</v>
      </c>
      <c r="I155" s="2">
        <f t="shared" si="0"/>
        <v>85</v>
      </c>
      <c r="J155" s="2">
        <f>I155*2*10000</f>
        <v>1700000</v>
      </c>
      <c r="K155" s="2">
        <f>$K$125</f>
        <v>3000000</v>
      </c>
      <c r="L155" s="2">
        <f>J155*5</f>
        <v>8500000</v>
      </c>
      <c r="M155" s="3">
        <f>I155/(I155+I156)*100</f>
        <v>99.706744868035187</v>
      </c>
      <c r="N155" s="22">
        <f>I157/I155*100</f>
        <v>0</v>
      </c>
      <c r="O155" s="4">
        <f>3.32*(LOG(L155)-LOG(K155))</f>
        <v>1.5016282677021724</v>
      </c>
      <c r="P155" s="4">
        <f>IF(O155&lt;0,P152,P152+O155)</f>
        <v>70.67646273921379</v>
      </c>
    </row>
    <row r="156" spans="1:16" ht="14.25" customHeight="1" x14ac:dyDescent="0.35">
      <c r="A156" s="2"/>
      <c r="B156" s="109"/>
      <c r="C156" s="129"/>
      <c r="D156" s="92" t="s">
        <v>66</v>
      </c>
      <c r="E156" s="5">
        <v>0</v>
      </c>
      <c r="F156" s="5">
        <v>0</v>
      </c>
      <c r="G156" s="5">
        <v>0</v>
      </c>
      <c r="H156" s="5">
        <v>1</v>
      </c>
      <c r="I156" s="2">
        <f t="shared" si="0"/>
        <v>0.25</v>
      </c>
      <c r="J156" s="2"/>
      <c r="K156" s="2"/>
      <c r="L156" s="2"/>
      <c r="M156" s="2"/>
      <c r="N156" s="20"/>
      <c r="O156" s="2"/>
      <c r="P156" s="2"/>
    </row>
    <row r="157" spans="1:16" ht="14.25" customHeight="1" x14ac:dyDescent="0.35">
      <c r="A157" s="2"/>
      <c r="B157" s="109"/>
      <c r="C157" s="129"/>
      <c r="D157" s="92" t="s">
        <v>67</v>
      </c>
      <c r="E157" s="5">
        <v>0</v>
      </c>
      <c r="F157" s="5">
        <v>0</v>
      </c>
      <c r="G157" s="5">
        <v>0</v>
      </c>
      <c r="H157" s="5">
        <v>0</v>
      </c>
      <c r="I157" s="2">
        <f t="shared" si="0"/>
        <v>0</v>
      </c>
      <c r="J157" s="2"/>
      <c r="K157" s="2"/>
      <c r="L157" s="2"/>
      <c r="M157" s="2"/>
      <c r="N157" s="20"/>
      <c r="O157" s="2"/>
      <c r="P157" s="2"/>
    </row>
    <row r="158" spans="1:16" ht="14.25" customHeight="1" x14ac:dyDescent="0.35">
      <c r="A158" s="13">
        <v>44704</v>
      </c>
      <c r="B158" s="109">
        <f>B155+7</f>
        <v>355</v>
      </c>
      <c r="C158" s="129" t="s">
        <v>43</v>
      </c>
      <c r="D158" s="91" t="s">
        <v>65</v>
      </c>
      <c r="E158" s="5">
        <v>143</v>
      </c>
      <c r="F158" s="5">
        <v>110</v>
      </c>
      <c r="G158" s="5">
        <v>135</v>
      </c>
      <c r="H158" s="5">
        <v>131</v>
      </c>
      <c r="I158" s="2">
        <f t="shared" si="0"/>
        <v>129.75</v>
      </c>
      <c r="J158" s="2">
        <f>I158*2*10000</f>
        <v>2595000</v>
      </c>
      <c r="K158" s="2">
        <f>$K$125</f>
        <v>3000000</v>
      </c>
      <c r="L158" s="2">
        <f>J158*5</f>
        <v>12975000</v>
      </c>
      <c r="M158" s="3">
        <f>I158/(I158+I159)*100</f>
        <v>99.425287356321832</v>
      </c>
      <c r="N158" s="22">
        <f>I160/I158*100</f>
        <v>0.19267822736030829</v>
      </c>
      <c r="O158" s="4">
        <f>3.32*(LOG(L158)-LOG(K158))</f>
        <v>2.1114738911787638</v>
      </c>
      <c r="P158" s="4">
        <f>IF(O158&lt;0,P155,P155+O158)</f>
        <v>72.787936630392551</v>
      </c>
    </row>
    <row r="159" spans="1:16" ht="14.25" customHeight="1" x14ac:dyDescent="0.35">
      <c r="A159" s="2"/>
      <c r="B159" s="109"/>
      <c r="C159" s="129"/>
      <c r="D159" s="92" t="s">
        <v>66</v>
      </c>
      <c r="E159" s="5">
        <v>1</v>
      </c>
      <c r="F159" s="5">
        <v>1</v>
      </c>
      <c r="G159" s="5">
        <v>1</v>
      </c>
      <c r="H159" s="5">
        <v>0</v>
      </c>
      <c r="I159" s="2">
        <f t="shared" si="0"/>
        <v>0.75</v>
      </c>
      <c r="J159" s="2"/>
      <c r="K159" s="2"/>
      <c r="L159" s="2"/>
      <c r="M159" s="2"/>
      <c r="N159" s="20"/>
      <c r="O159" s="2"/>
      <c r="P159" s="2"/>
    </row>
    <row r="160" spans="1:16" ht="14.25" customHeight="1" x14ac:dyDescent="0.35">
      <c r="A160" s="2"/>
      <c r="B160" s="109"/>
      <c r="C160" s="129"/>
      <c r="D160" s="92" t="s">
        <v>67</v>
      </c>
      <c r="E160" s="5">
        <v>1</v>
      </c>
      <c r="F160" s="5">
        <v>0</v>
      </c>
      <c r="G160" s="5">
        <v>0</v>
      </c>
      <c r="H160" s="5">
        <v>0</v>
      </c>
      <c r="I160" s="2">
        <f t="shared" si="0"/>
        <v>0.25</v>
      </c>
      <c r="J160" s="2"/>
      <c r="K160" s="2"/>
      <c r="L160" s="2"/>
      <c r="M160" s="2"/>
      <c r="N160" s="20"/>
      <c r="O160" s="2"/>
      <c r="P160" s="2"/>
    </row>
    <row r="161" spans="1:16" ht="14.25" customHeight="1" x14ac:dyDescent="0.35">
      <c r="A161" s="13">
        <v>44712</v>
      </c>
      <c r="B161" s="109">
        <f>B158+8</f>
        <v>363</v>
      </c>
      <c r="C161" s="129" t="str">
        <f>$C$125</f>
        <v>15% FBS R1</v>
      </c>
      <c r="D161" s="91" t="s">
        <v>65</v>
      </c>
      <c r="E161" s="5">
        <v>93</v>
      </c>
      <c r="F161" s="5">
        <v>77</v>
      </c>
      <c r="G161" s="5">
        <v>96</v>
      </c>
      <c r="H161" s="5">
        <v>72</v>
      </c>
      <c r="I161" s="2">
        <f t="shared" si="0"/>
        <v>84.5</v>
      </c>
      <c r="J161" s="2">
        <f>I161*4*10000</f>
        <v>3380000</v>
      </c>
      <c r="K161" s="2">
        <f>$K$125</f>
        <v>3000000</v>
      </c>
      <c r="L161" s="6">
        <f>J161*5</f>
        <v>16900000</v>
      </c>
      <c r="M161" s="3">
        <f>I161/(I161+I162)*100</f>
        <v>97.406340057636882</v>
      </c>
      <c r="N161" s="22">
        <f>I163/I161*100</f>
        <v>0</v>
      </c>
      <c r="O161" s="4">
        <f>3.32*(LOG(L161)-LOG(K161))</f>
        <v>2.4925412936481175</v>
      </c>
      <c r="P161" s="4">
        <f>IF(O161&lt;0,P158,P158+O161)</f>
        <v>75.280477924040667</v>
      </c>
    </row>
    <row r="162" spans="1:16" ht="14.25" customHeight="1" x14ac:dyDescent="0.35">
      <c r="A162" s="2"/>
      <c r="B162" s="109"/>
      <c r="C162" s="129"/>
      <c r="D162" s="92" t="s">
        <v>66</v>
      </c>
      <c r="E162" s="5">
        <v>0</v>
      </c>
      <c r="F162" s="5">
        <v>2</v>
      </c>
      <c r="G162" s="5">
        <v>4</v>
      </c>
      <c r="H162" s="5">
        <v>3</v>
      </c>
      <c r="I162" s="2">
        <f t="shared" si="0"/>
        <v>2.25</v>
      </c>
      <c r="J162" s="2"/>
      <c r="K162" s="2"/>
      <c r="L162" s="2"/>
      <c r="M162" s="2"/>
      <c r="N162" s="20"/>
      <c r="O162" s="2"/>
      <c r="P162" s="2"/>
    </row>
    <row r="163" spans="1:16" ht="14.25" customHeight="1" x14ac:dyDescent="0.35">
      <c r="A163" s="2"/>
      <c r="B163" s="109"/>
      <c r="C163" s="129"/>
      <c r="D163" s="92" t="s">
        <v>67</v>
      </c>
      <c r="E163" s="5">
        <v>0</v>
      </c>
      <c r="F163" s="5">
        <v>0</v>
      </c>
      <c r="G163" s="5">
        <v>0</v>
      </c>
      <c r="H163" s="5">
        <v>0</v>
      </c>
      <c r="I163" s="2">
        <f t="shared" si="0"/>
        <v>0</v>
      </c>
      <c r="J163" s="2"/>
      <c r="K163" s="2"/>
      <c r="L163" s="2"/>
      <c r="M163" s="2"/>
      <c r="N163" s="20"/>
      <c r="O163" s="2"/>
      <c r="P163" s="2"/>
    </row>
    <row r="164" spans="1:16" ht="14.25" customHeight="1" x14ac:dyDescent="0.35">
      <c r="A164" s="13">
        <v>44718</v>
      </c>
      <c r="B164" s="109">
        <f>B161+6</f>
        <v>369</v>
      </c>
      <c r="C164" s="129" t="str">
        <f>$C$125</f>
        <v>15% FBS R1</v>
      </c>
      <c r="D164" s="91" t="s">
        <v>65</v>
      </c>
      <c r="E164" s="5">
        <v>65</v>
      </c>
      <c r="F164" s="5">
        <v>75</v>
      </c>
      <c r="G164" s="5">
        <v>63</v>
      </c>
      <c r="H164" s="5">
        <v>73</v>
      </c>
      <c r="I164" s="2">
        <f t="shared" si="0"/>
        <v>69</v>
      </c>
      <c r="J164" s="2">
        <f>I164*2*10000</f>
        <v>1380000</v>
      </c>
      <c r="K164" s="2">
        <f>$K$125</f>
        <v>3000000</v>
      </c>
      <c r="L164" s="2">
        <f>J164*5</f>
        <v>6900000</v>
      </c>
      <c r="M164" s="3">
        <f>I164/(I164+I165)*100</f>
        <v>98.571428571428584</v>
      </c>
      <c r="N164" s="22">
        <f>I166/I164*100</f>
        <v>1.4492753623188406</v>
      </c>
      <c r="O164" s="4">
        <f>3.32*(LOG(L164)-LOG(K164))</f>
        <v>1.2009364155784088</v>
      </c>
      <c r="P164" s="4">
        <f>IF(O164&lt;0,P161,P161+O164)</f>
        <v>76.481414339619079</v>
      </c>
    </row>
    <row r="165" spans="1:16" ht="14.25" customHeight="1" x14ac:dyDescent="0.35">
      <c r="A165" s="2"/>
      <c r="B165" s="109"/>
      <c r="C165" s="129"/>
      <c r="D165" s="92" t="s">
        <v>66</v>
      </c>
      <c r="E165" s="5">
        <v>0</v>
      </c>
      <c r="F165" s="5">
        <v>1</v>
      </c>
      <c r="G165" s="5">
        <v>2</v>
      </c>
      <c r="H165" s="5">
        <v>1</v>
      </c>
      <c r="I165" s="2">
        <f t="shared" si="0"/>
        <v>1</v>
      </c>
      <c r="J165" s="2"/>
      <c r="K165" s="2"/>
      <c r="L165" s="2"/>
      <c r="M165" s="2"/>
      <c r="N165" s="20"/>
      <c r="O165" s="2"/>
      <c r="P165" s="2"/>
    </row>
    <row r="166" spans="1:16" ht="14.25" customHeight="1" x14ac:dyDescent="0.35">
      <c r="A166" s="2"/>
      <c r="B166" s="109"/>
      <c r="C166" s="129"/>
      <c r="D166" s="92" t="s">
        <v>67</v>
      </c>
      <c r="E166" s="5">
        <v>0</v>
      </c>
      <c r="F166" s="5">
        <v>1</v>
      </c>
      <c r="G166" s="5">
        <v>0</v>
      </c>
      <c r="H166" s="5">
        <v>3</v>
      </c>
      <c r="I166" s="2">
        <f t="shared" si="0"/>
        <v>1</v>
      </c>
      <c r="J166" s="2"/>
      <c r="K166" s="2"/>
      <c r="L166" s="2"/>
      <c r="M166" s="2"/>
      <c r="N166" s="20"/>
      <c r="O166" s="2"/>
      <c r="P166" s="2"/>
    </row>
    <row r="167" spans="1:16" ht="14.25" customHeight="1" x14ac:dyDescent="0.35">
      <c r="A167" s="13">
        <v>44725</v>
      </c>
      <c r="B167" s="109">
        <f>B164+7</f>
        <v>376</v>
      </c>
      <c r="C167" s="129" t="str">
        <f>$C$125</f>
        <v>15% FBS R1</v>
      </c>
      <c r="D167" s="91" t="s">
        <v>65</v>
      </c>
      <c r="E167" s="5">
        <v>72</v>
      </c>
      <c r="F167" s="5">
        <v>106</v>
      </c>
      <c r="G167" s="5">
        <v>89</v>
      </c>
      <c r="H167" s="5">
        <v>100</v>
      </c>
      <c r="I167" s="2">
        <f t="shared" si="0"/>
        <v>91.75</v>
      </c>
      <c r="J167" s="2">
        <f>I167*2*10000</f>
        <v>1835000</v>
      </c>
      <c r="K167" s="2">
        <f>$K$125</f>
        <v>3000000</v>
      </c>
      <c r="L167" s="2">
        <f>J167*5</f>
        <v>9175000</v>
      </c>
      <c r="M167" s="3">
        <f>I167/(I167+I168)*100</f>
        <v>98.921832884097043</v>
      </c>
      <c r="N167" s="22">
        <f>I169/I167*100</f>
        <v>0.27247956403269752</v>
      </c>
      <c r="O167" s="4">
        <f>3.32*(LOG(L167)-LOG(K167))</f>
        <v>1.6118095964388226</v>
      </c>
      <c r="P167" s="4">
        <f>IF(O167&lt;0,P164,P164+O167)</f>
        <v>78.093223936057896</v>
      </c>
    </row>
    <row r="168" spans="1:16" ht="14.25" customHeight="1" x14ac:dyDescent="0.35">
      <c r="A168" s="2"/>
      <c r="B168" s="109"/>
      <c r="C168" s="129"/>
      <c r="D168" s="92" t="s">
        <v>66</v>
      </c>
      <c r="E168" s="5">
        <v>0</v>
      </c>
      <c r="F168" s="5">
        <v>3</v>
      </c>
      <c r="G168" s="5">
        <v>0</v>
      </c>
      <c r="H168" s="5">
        <v>1</v>
      </c>
      <c r="I168" s="2">
        <f t="shared" si="0"/>
        <v>1</v>
      </c>
      <c r="J168" s="2"/>
      <c r="K168" s="2"/>
      <c r="L168" s="2"/>
      <c r="M168" s="2"/>
      <c r="N168" s="20"/>
      <c r="O168" s="2"/>
      <c r="P168" s="2"/>
    </row>
    <row r="169" spans="1:16" ht="14.25" customHeight="1" x14ac:dyDescent="0.35">
      <c r="A169" s="2"/>
      <c r="B169" s="109"/>
      <c r="C169" s="129"/>
      <c r="D169" s="92" t="s">
        <v>67</v>
      </c>
      <c r="E169" s="5">
        <v>1</v>
      </c>
      <c r="F169" s="5">
        <v>0</v>
      </c>
      <c r="G169" s="5">
        <v>0</v>
      </c>
      <c r="H169" s="5">
        <v>0</v>
      </c>
      <c r="I169" s="2">
        <f t="shared" si="0"/>
        <v>0.25</v>
      </c>
      <c r="J169" s="2"/>
      <c r="K169" s="2"/>
      <c r="L169" s="2"/>
      <c r="M169" s="2"/>
      <c r="N169" s="20"/>
      <c r="O169" s="2"/>
      <c r="P169" s="2"/>
    </row>
    <row r="170" spans="1:16" ht="14.25" customHeight="1" x14ac:dyDescent="0.35">
      <c r="A170" s="13">
        <v>44732</v>
      </c>
      <c r="B170" s="109">
        <f>B167+7</f>
        <v>383</v>
      </c>
      <c r="C170" s="129" t="str">
        <f>$C$125</f>
        <v>15% FBS R1</v>
      </c>
      <c r="D170" s="91" t="s">
        <v>65</v>
      </c>
      <c r="E170" s="5">
        <v>69</v>
      </c>
      <c r="F170" s="5">
        <v>43</v>
      </c>
      <c r="G170" s="5">
        <v>65</v>
      </c>
      <c r="H170" s="5">
        <v>52</v>
      </c>
      <c r="I170" s="2">
        <f t="shared" si="0"/>
        <v>57.25</v>
      </c>
      <c r="J170" s="2">
        <f>I170*2*10000</f>
        <v>1145000</v>
      </c>
      <c r="K170" s="2">
        <f>$K$125</f>
        <v>3000000</v>
      </c>
      <c r="L170" s="2">
        <f>J170*5</f>
        <v>5725000</v>
      </c>
      <c r="M170" s="3">
        <f>I170/(I170+I171)*100</f>
        <v>98.283261802575112</v>
      </c>
      <c r="N170" s="22">
        <f>I172/I170*100</f>
        <v>0.43668122270742354</v>
      </c>
      <c r="O170" s="4">
        <f>3.32*(LOG(L170)-LOG(K170))</f>
        <v>0.93177206449031402</v>
      </c>
      <c r="P170" s="4">
        <f>IF(O170&lt;0,P167,P167+O170)</f>
        <v>79.024996000548214</v>
      </c>
    </row>
    <row r="171" spans="1:16" ht="14.25" customHeight="1" x14ac:dyDescent="0.35">
      <c r="A171" s="2"/>
      <c r="B171" s="109"/>
      <c r="C171" s="129"/>
      <c r="D171" s="92" t="s">
        <v>66</v>
      </c>
      <c r="E171" s="5">
        <v>2</v>
      </c>
      <c r="F171" s="5">
        <v>1</v>
      </c>
      <c r="G171" s="5">
        <v>0</v>
      </c>
      <c r="H171" s="5">
        <v>1</v>
      </c>
      <c r="I171" s="2">
        <f t="shared" si="0"/>
        <v>1</v>
      </c>
      <c r="J171" s="2"/>
      <c r="K171" s="2"/>
      <c r="L171" s="2"/>
      <c r="M171" s="2"/>
      <c r="N171" s="20"/>
      <c r="O171" s="2"/>
      <c r="P171" s="2"/>
    </row>
    <row r="172" spans="1:16" ht="14.25" customHeight="1" x14ac:dyDescent="0.35">
      <c r="A172" s="2"/>
      <c r="B172" s="109"/>
      <c r="C172" s="129"/>
      <c r="D172" s="92" t="s">
        <v>67</v>
      </c>
      <c r="E172" s="5">
        <v>0</v>
      </c>
      <c r="F172" s="5">
        <v>1</v>
      </c>
      <c r="G172" s="5">
        <v>0</v>
      </c>
      <c r="H172" s="5">
        <v>0</v>
      </c>
      <c r="I172" s="2">
        <f t="shared" si="0"/>
        <v>0.25</v>
      </c>
      <c r="J172" s="2"/>
      <c r="K172" s="2"/>
      <c r="L172" s="2"/>
      <c r="M172" s="2"/>
      <c r="N172" s="20"/>
      <c r="O172" s="2"/>
      <c r="P172" s="2"/>
    </row>
    <row r="173" spans="1:16" ht="14.25" customHeight="1" x14ac:dyDescent="0.35">
      <c r="A173" s="13">
        <v>44740</v>
      </c>
      <c r="B173" s="109">
        <f>B170+7</f>
        <v>390</v>
      </c>
      <c r="C173" s="129" t="str">
        <f>$C$125</f>
        <v>15% FBS R1</v>
      </c>
      <c r="D173" s="91" t="s">
        <v>65</v>
      </c>
      <c r="E173" s="5">
        <v>86</v>
      </c>
      <c r="F173" s="5">
        <v>96</v>
      </c>
      <c r="G173" s="5">
        <v>118</v>
      </c>
      <c r="H173" s="5">
        <v>97</v>
      </c>
      <c r="I173" s="2">
        <f t="shared" si="0"/>
        <v>99.25</v>
      </c>
      <c r="J173" s="2">
        <f>I173*2*10000</f>
        <v>1985000</v>
      </c>
      <c r="K173" s="2">
        <f>$K$125</f>
        <v>3000000</v>
      </c>
      <c r="L173" s="2">
        <f>J173*5</f>
        <v>9925000</v>
      </c>
      <c r="M173" s="3">
        <f>I173/(I173+I174)*100</f>
        <v>99.25</v>
      </c>
      <c r="N173" s="22">
        <f>I175/I173*100</f>
        <v>0</v>
      </c>
      <c r="O173" s="4">
        <f>3.32*(LOG(L173)-LOG(K173))</f>
        <v>1.7251027455754269</v>
      </c>
      <c r="P173" s="4">
        <f>IF(O173&lt;0,P170,P170+O173)</f>
        <v>80.750098746123641</v>
      </c>
    </row>
    <row r="174" spans="1:16" ht="14.25" customHeight="1" x14ac:dyDescent="0.35">
      <c r="A174" s="2"/>
      <c r="B174" s="109"/>
      <c r="C174" s="129"/>
      <c r="D174" s="92" t="s">
        <v>66</v>
      </c>
      <c r="E174" s="5">
        <v>1</v>
      </c>
      <c r="F174" s="5">
        <v>0</v>
      </c>
      <c r="G174" s="5">
        <v>0</v>
      </c>
      <c r="H174" s="5">
        <v>2</v>
      </c>
      <c r="I174" s="2">
        <f t="shared" si="0"/>
        <v>0.75</v>
      </c>
      <c r="J174" s="2"/>
      <c r="K174" s="2"/>
      <c r="L174" s="2"/>
      <c r="M174" s="2"/>
      <c r="N174" s="20"/>
      <c r="O174" s="2"/>
      <c r="P174" s="2"/>
    </row>
    <row r="175" spans="1:16" ht="14.25" customHeight="1" x14ac:dyDescent="0.35">
      <c r="A175" s="2"/>
      <c r="B175" s="109"/>
      <c r="C175" s="129"/>
      <c r="D175" s="92" t="s">
        <v>67</v>
      </c>
      <c r="E175" s="5">
        <v>0</v>
      </c>
      <c r="F175" s="5">
        <v>0</v>
      </c>
      <c r="G175" s="5">
        <v>0</v>
      </c>
      <c r="H175" s="5">
        <v>0</v>
      </c>
      <c r="I175" s="2">
        <f t="shared" si="0"/>
        <v>0</v>
      </c>
      <c r="J175" s="2"/>
      <c r="K175" s="2"/>
      <c r="L175" s="2"/>
      <c r="M175" s="2"/>
      <c r="N175" s="20"/>
      <c r="O175" s="2"/>
      <c r="P175" s="2"/>
    </row>
    <row r="176" spans="1:16" ht="14.25" customHeight="1" x14ac:dyDescent="0.35">
      <c r="A176" s="13">
        <v>44747</v>
      </c>
      <c r="B176" s="109">
        <f>B173+8</f>
        <v>398</v>
      </c>
      <c r="C176" s="129" t="str">
        <f>$C$125</f>
        <v>15% FBS R1</v>
      </c>
      <c r="D176" s="91" t="s">
        <v>65</v>
      </c>
      <c r="E176" s="5">
        <f>96*4</f>
        <v>384</v>
      </c>
      <c r="F176" s="5">
        <f>90*4</f>
        <v>360</v>
      </c>
      <c r="G176" s="5">
        <f>95*4</f>
        <v>380</v>
      </c>
      <c r="H176" s="5">
        <f>97*4</f>
        <v>388</v>
      </c>
      <c r="I176" s="2">
        <f t="shared" si="0"/>
        <v>378</v>
      </c>
      <c r="J176" s="2">
        <f>I176*2*10000</f>
        <v>7560000</v>
      </c>
      <c r="K176" s="2">
        <f>$K$125</f>
        <v>3000000</v>
      </c>
      <c r="L176" s="2">
        <f>J176*5</f>
        <v>37800000</v>
      </c>
      <c r="M176" s="3">
        <f>I176/(I176+I177)*100</f>
        <v>96.92307692307692</v>
      </c>
      <c r="N176" s="22">
        <f>I178/I176*100</f>
        <v>0.13227513227513227</v>
      </c>
      <c r="O176" s="4">
        <f>3.32*(LOG(L176)-LOG(K176))</f>
        <v>3.6532302097903071</v>
      </c>
      <c r="P176" s="4">
        <f>IF(O176&lt;0,P173,P173+O176)</f>
        <v>84.403328955913949</v>
      </c>
    </row>
    <row r="177" spans="1:16" ht="14.25" customHeight="1" x14ac:dyDescent="0.35">
      <c r="A177" s="2"/>
      <c r="B177" s="109"/>
      <c r="C177" s="129"/>
      <c r="D177" s="92" t="s">
        <v>66</v>
      </c>
      <c r="E177" s="5">
        <f>2*4</f>
        <v>8</v>
      </c>
      <c r="F177" s="5">
        <f>1*4</f>
        <v>4</v>
      </c>
      <c r="G177" s="5">
        <f>5*4</f>
        <v>20</v>
      </c>
      <c r="H177" s="5">
        <f>4*4</f>
        <v>16</v>
      </c>
      <c r="I177" s="2">
        <f t="shared" si="0"/>
        <v>12</v>
      </c>
      <c r="J177" s="2"/>
      <c r="K177" s="2"/>
      <c r="L177" s="2"/>
      <c r="M177" s="2"/>
      <c r="N177" s="20"/>
      <c r="O177" s="2"/>
      <c r="P177" s="2"/>
    </row>
    <row r="178" spans="1:16" ht="14.25" customHeight="1" x14ac:dyDescent="0.35">
      <c r="A178" s="2"/>
      <c r="B178" s="109"/>
      <c r="C178" s="129"/>
      <c r="D178" s="92" t="s">
        <v>67</v>
      </c>
      <c r="E178" s="5">
        <v>0</v>
      </c>
      <c r="F178" s="5">
        <v>1</v>
      </c>
      <c r="G178" s="5">
        <v>1</v>
      </c>
      <c r="H178" s="5">
        <v>0</v>
      </c>
      <c r="I178" s="2">
        <f t="shared" si="0"/>
        <v>0.5</v>
      </c>
      <c r="J178" s="2"/>
      <c r="K178" s="2"/>
      <c r="L178" s="2"/>
      <c r="M178" s="2"/>
      <c r="N178" s="20"/>
      <c r="O178" s="2"/>
      <c r="P178" s="2"/>
    </row>
    <row r="179" spans="1:16" ht="14.25" customHeight="1" x14ac:dyDescent="0.35">
      <c r="A179" s="13">
        <v>44753</v>
      </c>
      <c r="B179" s="109">
        <f>B176+6</f>
        <v>404</v>
      </c>
      <c r="C179" s="129" t="str">
        <f>$C$125</f>
        <v>15% FBS R1</v>
      </c>
      <c r="D179" s="91" t="s">
        <v>65</v>
      </c>
      <c r="E179" s="5">
        <v>123</v>
      </c>
      <c r="F179" s="5">
        <v>101</v>
      </c>
      <c r="G179" s="5">
        <v>125</v>
      </c>
      <c r="H179" s="5">
        <v>140</v>
      </c>
      <c r="I179" s="2">
        <f t="shared" si="0"/>
        <v>122.25</v>
      </c>
      <c r="J179" s="2">
        <f>I179*2*10000</f>
        <v>2445000</v>
      </c>
      <c r="K179" s="2">
        <f>$K$125</f>
        <v>3000000</v>
      </c>
      <c r="L179" s="2">
        <f>J179*5</f>
        <v>12225000</v>
      </c>
      <c r="M179" s="3">
        <f>I179/(I179+I180)*100</f>
        <v>94.767441860465112</v>
      </c>
      <c r="N179" s="22">
        <f>I181/I179*100</f>
        <v>0.20449897750511251</v>
      </c>
      <c r="O179" s="4">
        <f>3.32*(LOG(L179)-LOG(K179))</f>
        <v>2.0256236754123051</v>
      </c>
      <c r="P179" s="4">
        <f>IF(O179&lt;0,P176,P176+O179)</f>
        <v>86.428952631326254</v>
      </c>
    </row>
    <row r="180" spans="1:16" ht="14.25" customHeight="1" x14ac:dyDescent="0.35">
      <c r="A180" s="2"/>
      <c r="B180" s="109"/>
      <c r="C180" s="129"/>
      <c r="D180" s="92" t="s">
        <v>66</v>
      </c>
      <c r="E180" s="5">
        <v>8</v>
      </c>
      <c r="F180" s="5">
        <v>8</v>
      </c>
      <c r="G180" s="5">
        <v>6</v>
      </c>
      <c r="H180" s="5">
        <v>5</v>
      </c>
      <c r="I180" s="2">
        <f t="shared" si="0"/>
        <v>6.75</v>
      </c>
      <c r="J180" s="2"/>
      <c r="K180" s="2"/>
      <c r="L180" s="2"/>
      <c r="M180" s="2"/>
      <c r="N180" s="20"/>
      <c r="O180" s="2"/>
      <c r="P180" s="2"/>
    </row>
    <row r="181" spans="1:16" ht="14.25" customHeight="1" x14ac:dyDescent="0.35">
      <c r="A181" s="2"/>
      <c r="B181" s="109"/>
      <c r="C181" s="129"/>
      <c r="D181" s="92" t="s">
        <v>67</v>
      </c>
      <c r="E181" s="5">
        <v>1</v>
      </c>
      <c r="F181" s="5">
        <v>0</v>
      </c>
      <c r="G181" s="5">
        <v>0</v>
      </c>
      <c r="H181" s="5">
        <v>0</v>
      </c>
      <c r="I181" s="2">
        <f t="shared" si="0"/>
        <v>0.25</v>
      </c>
      <c r="J181" s="2"/>
      <c r="K181" s="2"/>
      <c r="L181" s="2"/>
      <c r="M181" s="2"/>
      <c r="N181" s="20"/>
      <c r="O181" s="2"/>
      <c r="P181" s="2"/>
    </row>
    <row r="182" spans="1:16" ht="14.25" customHeight="1" x14ac:dyDescent="0.35">
      <c r="A182" s="13">
        <v>44760</v>
      </c>
      <c r="B182" s="109">
        <f>B179+7</f>
        <v>411</v>
      </c>
      <c r="C182" s="129" t="str">
        <f>$C$125</f>
        <v>15% FBS R1</v>
      </c>
      <c r="D182" s="91" t="s">
        <v>65</v>
      </c>
      <c r="E182" s="5">
        <v>87</v>
      </c>
      <c r="F182" s="5">
        <v>94</v>
      </c>
      <c r="G182" s="5">
        <v>112</v>
      </c>
      <c r="H182" s="5">
        <v>82</v>
      </c>
      <c r="I182" s="2">
        <f t="shared" si="0"/>
        <v>93.75</v>
      </c>
      <c r="J182" s="2">
        <f>I182*2*10000</f>
        <v>1875000</v>
      </c>
      <c r="K182" s="2">
        <f>$K$125</f>
        <v>3000000</v>
      </c>
      <c r="L182" s="2">
        <f>J182*5</f>
        <v>9375000</v>
      </c>
      <c r="M182" s="3">
        <f>I182/(I182+I183)*100</f>
        <v>98.425196850393704</v>
      </c>
      <c r="N182" s="22">
        <f>I184/I182*100</f>
        <v>0</v>
      </c>
      <c r="O182" s="4">
        <f>3.32*(LOG(L182)-LOG(K182))</f>
        <v>1.642902071977911</v>
      </c>
      <c r="P182" s="4">
        <f>IF(O182&lt;0,P179,P179+O182)</f>
        <v>88.071854703304169</v>
      </c>
    </row>
    <row r="183" spans="1:16" ht="14.25" customHeight="1" x14ac:dyDescent="0.35">
      <c r="A183" s="2"/>
      <c r="B183" s="109"/>
      <c r="C183" s="129"/>
      <c r="D183" s="92" t="s">
        <v>66</v>
      </c>
      <c r="E183" s="5">
        <v>1</v>
      </c>
      <c r="F183" s="5">
        <v>1</v>
      </c>
      <c r="G183" s="5">
        <v>1</v>
      </c>
      <c r="H183" s="5">
        <v>3</v>
      </c>
      <c r="I183" s="2">
        <f t="shared" si="0"/>
        <v>1.5</v>
      </c>
      <c r="J183" s="2"/>
      <c r="K183" s="2"/>
      <c r="L183" s="2"/>
      <c r="M183" s="2"/>
      <c r="N183" s="20"/>
      <c r="O183" s="2"/>
      <c r="P183" s="2"/>
    </row>
    <row r="184" spans="1:16" ht="14.25" customHeight="1" x14ac:dyDescent="0.35">
      <c r="A184" s="2"/>
      <c r="B184" s="109"/>
      <c r="C184" s="129"/>
      <c r="D184" s="92" t="s">
        <v>67</v>
      </c>
      <c r="E184" s="5">
        <v>0</v>
      </c>
      <c r="F184" s="5">
        <v>0</v>
      </c>
      <c r="G184" s="5">
        <v>0</v>
      </c>
      <c r="H184" s="5">
        <v>0</v>
      </c>
      <c r="I184" s="2">
        <f t="shared" si="0"/>
        <v>0</v>
      </c>
      <c r="J184" s="2"/>
      <c r="K184" s="2"/>
      <c r="L184" s="2"/>
      <c r="M184" s="2"/>
      <c r="N184" s="20"/>
      <c r="O184" s="2"/>
      <c r="P184" s="2"/>
    </row>
    <row r="185" spans="1:16" ht="14.25" customHeight="1" x14ac:dyDescent="0.35">
      <c r="A185" s="13">
        <v>44768</v>
      </c>
      <c r="B185" s="109">
        <f>B182+7</f>
        <v>418</v>
      </c>
      <c r="C185" s="129" t="str">
        <f>$C$125</f>
        <v>15% FBS R1</v>
      </c>
      <c r="D185" s="91" t="s">
        <v>65</v>
      </c>
      <c r="E185" s="5">
        <v>41</v>
      </c>
      <c r="F185" s="5">
        <v>49</v>
      </c>
      <c r="G185" s="5">
        <v>50</v>
      </c>
      <c r="H185" s="5">
        <v>61</v>
      </c>
      <c r="I185" s="2">
        <f t="shared" si="0"/>
        <v>50.25</v>
      </c>
      <c r="J185" s="2">
        <f>I185*2*10000</f>
        <v>1005000</v>
      </c>
      <c r="K185" s="2">
        <f>$K$125</f>
        <v>3000000</v>
      </c>
      <c r="L185" s="2">
        <f>J185*5</f>
        <v>5025000</v>
      </c>
      <c r="M185" s="3">
        <f>I185/(I185+I186)*100</f>
        <v>99.504950495049499</v>
      </c>
      <c r="N185" s="22">
        <f>I187/I185*100</f>
        <v>0.99502487562189057</v>
      </c>
      <c r="O185" s="4">
        <f>3.32*(LOG(L185)-LOG(K185))</f>
        <v>0.74372917375790681</v>
      </c>
      <c r="P185" s="4">
        <f>IF(O185&lt;0,P182,P182+O185)</f>
        <v>88.815583877062082</v>
      </c>
    </row>
    <row r="186" spans="1:16" ht="14.25" customHeight="1" x14ac:dyDescent="0.35">
      <c r="A186" s="2"/>
      <c r="B186" s="109"/>
      <c r="C186" s="129"/>
      <c r="D186" s="92" t="s">
        <v>66</v>
      </c>
      <c r="E186" s="5">
        <v>1</v>
      </c>
      <c r="F186" s="5">
        <v>0</v>
      </c>
      <c r="G186" s="5">
        <v>0</v>
      </c>
      <c r="H186" s="5">
        <v>0</v>
      </c>
      <c r="I186" s="2">
        <f t="shared" si="0"/>
        <v>0.25</v>
      </c>
      <c r="J186" s="2"/>
      <c r="K186" s="2"/>
      <c r="L186" s="2"/>
      <c r="M186" s="2"/>
      <c r="N186" s="20"/>
      <c r="O186" s="2"/>
      <c r="P186" s="2"/>
    </row>
    <row r="187" spans="1:16" ht="14.25" customHeight="1" x14ac:dyDescent="0.35">
      <c r="A187" s="2"/>
      <c r="B187" s="109"/>
      <c r="C187" s="129"/>
      <c r="D187" s="92" t="s">
        <v>67</v>
      </c>
      <c r="E187" s="5">
        <v>0</v>
      </c>
      <c r="F187" s="5">
        <v>1</v>
      </c>
      <c r="G187" s="5">
        <v>0</v>
      </c>
      <c r="H187" s="5">
        <v>1</v>
      </c>
      <c r="I187" s="2">
        <f t="shared" si="0"/>
        <v>0.5</v>
      </c>
      <c r="J187" s="2"/>
      <c r="K187" s="2"/>
      <c r="L187" s="2"/>
      <c r="M187" s="2"/>
      <c r="N187" s="20"/>
      <c r="O187" s="2"/>
      <c r="P187" s="2"/>
    </row>
    <row r="188" spans="1:16" ht="14.25" customHeight="1" x14ac:dyDescent="0.35">
      <c r="A188" s="13">
        <v>44775</v>
      </c>
      <c r="B188" s="109">
        <f>B185+7</f>
        <v>425</v>
      </c>
      <c r="C188" s="129" t="str">
        <f>$C$125</f>
        <v>15% FBS R1</v>
      </c>
      <c r="D188" s="91" t="s">
        <v>65</v>
      </c>
      <c r="E188" s="5">
        <v>60</v>
      </c>
      <c r="F188" s="5">
        <v>57</v>
      </c>
      <c r="G188" s="5">
        <v>49</v>
      </c>
      <c r="H188" s="5">
        <v>62</v>
      </c>
      <c r="I188" s="2">
        <f t="shared" si="0"/>
        <v>57</v>
      </c>
      <c r="J188" s="2">
        <f>I188*2*10000</f>
        <v>1140000</v>
      </c>
      <c r="K188" s="2">
        <f>$K$125</f>
        <v>3000000</v>
      </c>
      <c r="L188" s="2">
        <f>J188*5</f>
        <v>5700000</v>
      </c>
      <c r="M188" s="3">
        <f>I188/(I188+I189)*100</f>
        <v>94.605809128630696</v>
      </c>
      <c r="N188" s="22">
        <f>I190/I188*100</f>
        <v>0</v>
      </c>
      <c r="O188" s="4">
        <f>3.32*(LOG(L188)-LOG(K188))</f>
        <v>0.9254619551633918</v>
      </c>
      <c r="P188" s="4">
        <f>IF(O188&lt;0,P185,P185+O188)</f>
        <v>89.741045832225467</v>
      </c>
    </row>
    <row r="189" spans="1:16" ht="14.25" customHeight="1" x14ac:dyDescent="0.35">
      <c r="A189" s="2"/>
      <c r="B189" s="109"/>
      <c r="C189" s="129"/>
      <c r="D189" s="92" t="s">
        <v>66</v>
      </c>
      <c r="E189" s="5">
        <v>3</v>
      </c>
      <c r="F189" s="5">
        <v>4</v>
      </c>
      <c r="G189" s="5">
        <v>2</v>
      </c>
      <c r="H189" s="5">
        <v>4</v>
      </c>
      <c r="I189" s="2">
        <f t="shared" si="0"/>
        <v>3.25</v>
      </c>
      <c r="J189" s="2"/>
      <c r="K189" s="2"/>
      <c r="L189" s="2"/>
      <c r="M189" s="2"/>
      <c r="N189" s="20"/>
      <c r="O189" s="2"/>
      <c r="P189" s="2"/>
    </row>
    <row r="190" spans="1:16" ht="14.25" customHeight="1" x14ac:dyDescent="0.35">
      <c r="A190" s="2"/>
      <c r="B190" s="109"/>
      <c r="C190" s="129"/>
      <c r="D190" s="92" t="s">
        <v>67</v>
      </c>
      <c r="E190" s="5">
        <v>0</v>
      </c>
      <c r="F190" s="5">
        <v>0</v>
      </c>
      <c r="G190" s="5">
        <v>0</v>
      </c>
      <c r="H190" s="5">
        <v>0</v>
      </c>
      <c r="I190" s="2">
        <f t="shared" si="0"/>
        <v>0</v>
      </c>
      <c r="J190" s="2"/>
      <c r="K190" s="2"/>
      <c r="L190" s="2"/>
      <c r="M190" s="2"/>
      <c r="N190" s="20"/>
      <c r="O190" s="2"/>
      <c r="P190" s="2"/>
    </row>
    <row r="191" spans="1:16" ht="14.25" customHeight="1" x14ac:dyDescent="0.35">
      <c r="A191" s="13">
        <v>44782</v>
      </c>
      <c r="B191" s="109">
        <f>B188+7</f>
        <v>432</v>
      </c>
      <c r="C191" s="129" t="str">
        <f>$C$125</f>
        <v>15% FBS R1</v>
      </c>
      <c r="D191" s="91" t="s">
        <v>65</v>
      </c>
      <c r="E191" s="5">
        <v>141</v>
      </c>
      <c r="F191" s="5">
        <v>130</v>
      </c>
      <c r="G191" s="5">
        <v>157</v>
      </c>
      <c r="H191" s="5">
        <v>169</v>
      </c>
      <c r="I191" s="2">
        <f t="shared" si="0"/>
        <v>149.25</v>
      </c>
      <c r="J191" s="2">
        <f>I191*2*10000</f>
        <v>2985000</v>
      </c>
      <c r="K191" s="2">
        <f>$K$125</f>
        <v>3000000</v>
      </c>
      <c r="L191" s="2">
        <f>J191*5</f>
        <v>14925000</v>
      </c>
      <c r="M191" s="3">
        <f>I191/(I191+I192)*100</f>
        <v>99.334442595673877</v>
      </c>
      <c r="N191" s="22">
        <f>I193/I191*100</f>
        <v>0</v>
      </c>
      <c r="O191" s="4">
        <f>3.32*(LOG(L191)-LOG(K191))</f>
        <v>2.3133530424713897</v>
      </c>
      <c r="P191" s="4">
        <f>IF(O191&lt;0,P188,P188+O191)</f>
        <v>92.054398874696858</v>
      </c>
    </row>
    <row r="192" spans="1:16" ht="14.25" customHeight="1" x14ac:dyDescent="0.35">
      <c r="A192" s="2"/>
      <c r="B192" s="109"/>
      <c r="C192" s="129"/>
      <c r="D192" s="92" t="s">
        <v>66</v>
      </c>
      <c r="E192" s="5">
        <v>0</v>
      </c>
      <c r="F192" s="5">
        <v>2</v>
      </c>
      <c r="G192" s="5">
        <v>1</v>
      </c>
      <c r="H192" s="5">
        <v>1</v>
      </c>
      <c r="I192" s="2">
        <f t="shared" si="0"/>
        <v>1</v>
      </c>
      <c r="J192" s="2"/>
      <c r="K192" s="2"/>
      <c r="L192" s="2"/>
      <c r="M192" s="2"/>
      <c r="N192" s="20"/>
      <c r="O192" s="2"/>
      <c r="P192" s="2"/>
    </row>
    <row r="193" spans="1:16" ht="14.25" customHeight="1" x14ac:dyDescent="0.35">
      <c r="A193" s="2"/>
      <c r="B193" s="109"/>
      <c r="C193" s="129"/>
      <c r="D193" s="92" t="s">
        <v>67</v>
      </c>
      <c r="E193" s="5">
        <v>0</v>
      </c>
      <c r="F193" s="5">
        <v>0</v>
      </c>
      <c r="G193" s="5">
        <v>0</v>
      </c>
      <c r="H193" s="5">
        <v>0</v>
      </c>
      <c r="I193" s="2">
        <f t="shared" si="0"/>
        <v>0</v>
      </c>
      <c r="J193" s="2"/>
      <c r="K193" s="2"/>
      <c r="L193" s="2"/>
      <c r="M193" s="2"/>
      <c r="N193" s="20"/>
      <c r="O193" s="2"/>
      <c r="P193" s="2"/>
    </row>
    <row r="194" spans="1:16" ht="14.25" customHeight="1" x14ac:dyDescent="0.35">
      <c r="A194" s="13">
        <v>44789</v>
      </c>
      <c r="B194" s="109">
        <f>B191+7</f>
        <v>439</v>
      </c>
      <c r="C194" s="129" t="str">
        <f>$C$125</f>
        <v>15% FBS R1</v>
      </c>
      <c r="D194" s="91" t="s">
        <v>65</v>
      </c>
      <c r="E194" s="5">
        <v>147</v>
      </c>
      <c r="F194" s="5">
        <v>108</v>
      </c>
      <c r="G194" s="5">
        <v>129</v>
      </c>
      <c r="H194" s="5">
        <v>130</v>
      </c>
      <c r="I194" s="2">
        <f t="shared" si="0"/>
        <v>128.5</v>
      </c>
      <c r="J194" s="2">
        <f>I194*2*10000</f>
        <v>2570000</v>
      </c>
      <c r="K194" s="2">
        <f>$K$125</f>
        <v>3000000</v>
      </c>
      <c r="L194" s="2">
        <f>J194*5</f>
        <v>12850000</v>
      </c>
      <c r="M194" s="3">
        <f>I194/(I194+I195)*100</f>
        <v>100</v>
      </c>
      <c r="N194" s="22">
        <f>I196/I194*100</f>
        <v>0</v>
      </c>
      <c r="O194" s="4">
        <f>3.32*(LOG(L194)-LOG(K194))</f>
        <v>2.0975158181861988</v>
      </c>
      <c r="P194" s="4">
        <f>IF(O194&lt;0,P191,P191+O194)</f>
        <v>94.151914692883054</v>
      </c>
    </row>
    <row r="195" spans="1:16" ht="14.25" customHeight="1" x14ac:dyDescent="0.35">
      <c r="A195" s="2"/>
      <c r="B195" s="109"/>
      <c r="C195" s="129"/>
      <c r="D195" s="92" t="s">
        <v>66</v>
      </c>
      <c r="E195" s="5">
        <v>0</v>
      </c>
      <c r="F195" s="5">
        <v>0</v>
      </c>
      <c r="G195" s="5">
        <v>0</v>
      </c>
      <c r="H195" s="5">
        <v>0</v>
      </c>
      <c r="I195" s="2">
        <f t="shared" si="0"/>
        <v>0</v>
      </c>
      <c r="J195" s="2"/>
      <c r="K195" s="2"/>
      <c r="L195" s="2"/>
      <c r="M195" s="2"/>
      <c r="N195" s="20"/>
      <c r="O195" s="2"/>
      <c r="P195" s="2"/>
    </row>
    <row r="196" spans="1:16" ht="14.25" customHeight="1" x14ac:dyDescent="0.35">
      <c r="A196" s="2"/>
      <c r="B196" s="109"/>
      <c r="C196" s="129"/>
      <c r="D196" s="92" t="s">
        <v>67</v>
      </c>
      <c r="E196" s="5">
        <v>0</v>
      </c>
      <c r="F196" s="5">
        <v>0</v>
      </c>
      <c r="G196" s="5">
        <v>0</v>
      </c>
      <c r="H196" s="5">
        <v>0</v>
      </c>
      <c r="I196" s="2">
        <f t="shared" si="0"/>
        <v>0</v>
      </c>
      <c r="J196" s="2"/>
      <c r="K196" s="2"/>
      <c r="L196" s="2"/>
      <c r="M196" s="2"/>
      <c r="N196" s="20"/>
      <c r="O196" s="2"/>
      <c r="P196" s="2"/>
    </row>
    <row r="197" spans="1:16" ht="14.25" customHeight="1" x14ac:dyDescent="0.35">
      <c r="A197" s="13">
        <v>44795</v>
      </c>
      <c r="B197" s="109">
        <f>B194+6</f>
        <v>445</v>
      </c>
      <c r="C197" s="129" t="str">
        <f>$C$125</f>
        <v>15% FBS R1</v>
      </c>
      <c r="D197" s="91" t="s">
        <v>65</v>
      </c>
      <c r="E197" s="5">
        <v>52</v>
      </c>
      <c r="F197" s="5">
        <v>48</v>
      </c>
      <c r="G197" s="5">
        <v>58</v>
      </c>
      <c r="H197" s="5">
        <v>57</v>
      </c>
      <c r="I197" s="2">
        <f t="shared" si="0"/>
        <v>53.75</v>
      </c>
      <c r="J197" s="2">
        <f>I197*2*10000</f>
        <v>1075000</v>
      </c>
      <c r="K197" s="2">
        <f>$K$125</f>
        <v>3000000</v>
      </c>
      <c r="L197" s="2">
        <f>J197*5</f>
        <v>5375000</v>
      </c>
      <c r="M197" s="3">
        <f>I197/(I197+I198)*100</f>
        <v>100</v>
      </c>
      <c r="N197" s="22">
        <f>I199/I197*100</f>
        <v>0</v>
      </c>
      <c r="O197" s="4">
        <f>3.32*(LOG(L197)-LOG(K197))</f>
        <v>0.84081395004169601</v>
      </c>
      <c r="P197" s="4">
        <f>IF(O197&lt;0,P194,P194+O197)</f>
        <v>94.992728642924746</v>
      </c>
    </row>
    <row r="198" spans="1:16" ht="14.25" customHeight="1" x14ac:dyDescent="0.35">
      <c r="A198" s="2"/>
      <c r="B198" s="109"/>
      <c r="C198" s="129"/>
      <c r="D198" s="92" t="s">
        <v>66</v>
      </c>
      <c r="E198" s="5">
        <v>0</v>
      </c>
      <c r="F198" s="5">
        <v>0</v>
      </c>
      <c r="G198" s="5">
        <v>0</v>
      </c>
      <c r="H198" s="5">
        <v>0</v>
      </c>
      <c r="I198" s="2">
        <f t="shared" si="0"/>
        <v>0</v>
      </c>
      <c r="J198" s="2"/>
      <c r="K198" s="2"/>
      <c r="L198" s="2"/>
      <c r="M198" s="2"/>
      <c r="N198" s="20"/>
      <c r="O198" s="2"/>
      <c r="P198" s="2"/>
    </row>
    <row r="199" spans="1:16" ht="14.25" customHeight="1" x14ac:dyDescent="0.35">
      <c r="A199" s="2"/>
      <c r="B199" s="109"/>
      <c r="C199" s="129"/>
      <c r="D199" s="92" t="s">
        <v>67</v>
      </c>
      <c r="E199" s="5">
        <v>0</v>
      </c>
      <c r="F199" s="5">
        <v>0</v>
      </c>
      <c r="G199" s="5">
        <v>0</v>
      </c>
      <c r="H199" s="5">
        <v>0</v>
      </c>
      <c r="I199" s="2">
        <f t="shared" si="0"/>
        <v>0</v>
      </c>
      <c r="J199" s="2"/>
      <c r="K199" s="2"/>
      <c r="L199" s="2"/>
      <c r="M199" s="2"/>
      <c r="N199" s="20"/>
      <c r="O199" s="2"/>
      <c r="P199" s="2"/>
    </row>
    <row r="200" spans="1:16" ht="14.25" customHeight="1" x14ac:dyDescent="0.35">
      <c r="A200" s="13">
        <v>44802</v>
      </c>
      <c r="B200" s="109">
        <f>B197+7</f>
        <v>452</v>
      </c>
      <c r="C200" s="129" t="str">
        <f>$C$125</f>
        <v>15% FBS R1</v>
      </c>
      <c r="D200" s="91" t="s">
        <v>65</v>
      </c>
      <c r="E200" s="5">
        <v>225</v>
      </c>
      <c r="F200" s="5">
        <v>101</v>
      </c>
      <c r="G200" s="5">
        <v>99</v>
      </c>
      <c r="H200" s="5">
        <v>107</v>
      </c>
      <c r="I200" s="2">
        <f t="shared" si="0"/>
        <v>133</v>
      </c>
      <c r="J200" s="2">
        <f>I200*2*10000</f>
        <v>2660000</v>
      </c>
      <c r="K200" s="2">
        <f>$K$125</f>
        <v>3000000</v>
      </c>
      <c r="L200" s="2">
        <f>J200*5</f>
        <v>13300000</v>
      </c>
      <c r="M200" s="3">
        <f>I200/(I200+I201)*100</f>
        <v>99.812382739211998</v>
      </c>
      <c r="N200" s="22">
        <f>I202/I200*100</f>
        <v>0</v>
      </c>
      <c r="O200" s="4">
        <f>3.32*(LOG(L200)-LOG(K200))</f>
        <v>2.1471448823414447</v>
      </c>
      <c r="P200" s="4">
        <f>IF(O200&lt;0,P197,P197+O200)</f>
        <v>97.139873525266196</v>
      </c>
    </row>
    <row r="201" spans="1:16" ht="14.25" customHeight="1" x14ac:dyDescent="0.35">
      <c r="A201" s="2"/>
      <c r="B201" s="109"/>
      <c r="C201" s="129"/>
      <c r="D201" s="92" t="s">
        <v>66</v>
      </c>
      <c r="E201" s="5">
        <v>0</v>
      </c>
      <c r="F201" s="5">
        <v>1</v>
      </c>
      <c r="G201" s="5">
        <v>0</v>
      </c>
      <c r="H201" s="5">
        <v>0</v>
      </c>
      <c r="I201" s="2">
        <f t="shared" si="0"/>
        <v>0.25</v>
      </c>
      <c r="J201" s="2"/>
      <c r="K201" s="2"/>
      <c r="L201" s="2"/>
      <c r="M201" s="2"/>
      <c r="N201" s="20"/>
      <c r="O201" s="2"/>
      <c r="P201" s="2"/>
    </row>
    <row r="202" spans="1:16" ht="14.25" customHeight="1" x14ac:dyDescent="0.35">
      <c r="A202" s="2"/>
      <c r="B202" s="109"/>
      <c r="C202" s="129"/>
      <c r="D202" s="92" t="s">
        <v>67</v>
      </c>
      <c r="E202" s="5">
        <v>0</v>
      </c>
      <c r="F202" s="5">
        <v>0</v>
      </c>
      <c r="G202" s="5">
        <v>0</v>
      </c>
      <c r="H202" s="5">
        <v>0</v>
      </c>
      <c r="I202" s="2">
        <f t="shared" si="0"/>
        <v>0</v>
      </c>
      <c r="J202" s="2"/>
      <c r="K202" s="2"/>
      <c r="L202" s="2"/>
      <c r="M202" s="2"/>
      <c r="N202" s="20"/>
      <c r="O202" s="2"/>
      <c r="P202" s="2"/>
    </row>
    <row r="203" spans="1:16" ht="14.25" customHeight="1" x14ac:dyDescent="0.35">
      <c r="A203" s="13">
        <v>44810</v>
      </c>
      <c r="B203" s="109">
        <f>B200+8</f>
        <v>460</v>
      </c>
      <c r="C203" s="129" t="str">
        <f>$C$125</f>
        <v>15% FBS R1</v>
      </c>
      <c r="D203" s="91" t="s">
        <v>65</v>
      </c>
      <c r="E203" s="5">
        <v>156</v>
      </c>
      <c r="F203" s="5">
        <v>149</v>
      </c>
      <c r="G203" s="5">
        <v>150</v>
      </c>
      <c r="H203" s="5">
        <v>154</v>
      </c>
      <c r="I203" s="2">
        <f t="shared" si="0"/>
        <v>152.25</v>
      </c>
      <c r="J203" s="2">
        <f>I203*2*10000</f>
        <v>3045000</v>
      </c>
      <c r="K203" s="2">
        <f>$K$125</f>
        <v>3000000</v>
      </c>
      <c r="L203" s="2">
        <f>J203*5</f>
        <v>15225000</v>
      </c>
      <c r="M203" s="3">
        <f>I203/(I203+I204)*100</f>
        <v>99.836065573770497</v>
      </c>
      <c r="N203" s="22">
        <f>I205/I203*100</f>
        <v>0.16420361247947454</v>
      </c>
      <c r="O203" s="4">
        <f>3.32*(LOG(L203)-LOG(K203))</f>
        <v>2.3420476746630299</v>
      </c>
      <c r="P203" s="4">
        <f>IF(O203&lt;0,P200,P200+O203)</f>
        <v>99.481921199929232</v>
      </c>
    </row>
    <row r="204" spans="1:16" ht="14.25" customHeight="1" x14ac:dyDescent="0.35">
      <c r="A204" s="2"/>
      <c r="B204" s="109"/>
      <c r="C204" s="129"/>
      <c r="D204" s="92" t="s">
        <v>66</v>
      </c>
      <c r="E204" s="5">
        <v>0</v>
      </c>
      <c r="F204" s="5">
        <v>0</v>
      </c>
      <c r="G204" s="5">
        <v>0</v>
      </c>
      <c r="H204" s="5">
        <v>1</v>
      </c>
      <c r="I204" s="2">
        <f t="shared" si="0"/>
        <v>0.25</v>
      </c>
      <c r="J204" s="2"/>
      <c r="K204" s="2"/>
      <c r="L204" s="2"/>
      <c r="M204" s="2"/>
      <c r="N204" s="20"/>
      <c r="O204" s="2"/>
      <c r="P204" s="2"/>
    </row>
    <row r="205" spans="1:16" ht="14.25" customHeight="1" x14ac:dyDescent="0.35">
      <c r="A205" s="2"/>
      <c r="B205" s="109"/>
      <c r="C205" s="129"/>
      <c r="D205" s="92" t="s">
        <v>67</v>
      </c>
      <c r="E205" s="5">
        <v>1</v>
      </c>
      <c r="F205" s="5">
        <v>0</v>
      </c>
      <c r="G205" s="5">
        <v>0</v>
      </c>
      <c r="H205" s="5">
        <v>0</v>
      </c>
      <c r="I205" s="2">
        <f t="shared" si="0"/>
        <v>0.25</v>
      </c>
      <c r="J205" s="2"/>
      <c r="K205" s="2"/>
      <c r="L205" s="2"/>
      <c r="M205" s="2"/>
      <c r="N205" s="20"/>
      <c r="O205" s="2"/>
      <c r="P205" s="2"/>
    </row>
    <row r="206" spans="1:16" ht="14.25" customHeight="1" x14ac:dyDescent="0.35">
      <c r="A206" s="13">
        <v>44816</v>
      </c>
      <c r="B206" s="109">
        <f>B203+6</f>
        <v>466</v>
      </c>
      <c r="C206" s="129" t="str">
        <f>$C$125</f>
        <v>15% FBS R1</v>
      </c>
      <c r="D206" s="91" t="s">
        <v>65</v>
      </c>
      <c r="E206" s="5">
        <v>87</v>
      </c>
      <c r="F206" s="5">
        <v>117</v>
      </c>
      <c r="G206" s="5">
        <v>79</v>
      </c>
      <c r="H206" s="5">
        <v>94</v>
      </c>
      <c r="I206" s="2">
        <f t="shared" si="0"/>
        <v>94.25</v>
      </c>
      <c r="J206" s="2">
        <f>I206*2*10000</f>
        <v>1885000</v>
      </c>
      <c r="K206" s="2">
        <f>$K$125</f>
        <v>3000000</v>
      </c>
      <c r="L206" s="2">
        <f>J206*5</f>
        <v>9425000</v>
      </c>
      <c r="M206" s="3">
        <f>I206/(I206+I207)*100</f>
        <v>99.47229551451187</v>
      </c>
      <c r="N206" s="22">
        <f>I208/I206*100</f>
        <v>0</v>
      </c>
      <c r="O206" s="4">
        <f>3.32*(LOG(L206)-LOG(K206))</f>
        <v>1.650571545805116</v>
      </c>
      <c r="P206" s="4">
        <f>IF(O206&lt;0,P203,P203+O206)</f>
        <v>101.13249274573435</v>
      </c>
    </row>
    <row r="207" spans="1:16" ht="14.25" customHeight="1" x14ac:dyDescent="0.35">
      <c r="A207" s="2"/>
      <c r="B207" s="109"/>
      <c r="C207" s="129"/>
      <c r="D207" s="92" t="s">
        <v>66</v>
      </c>
      <c r="E207" s="5">
        <v>2</v>
      </c>
      <c r="F207" s="5">
        <v>0</v>
      </c>
      <c r="G207" s="5">
        <v>0</v>
      </c>
      <c r="H207" s="5">
        <v>0</v>
      </c>
      <c r="I207" s="2">
        <f t="shared" si="0"/>
        <v>0.5</v>
      </c>
      <c r="J207" s="2"/>
      <c r="K207" s="2"/>
      <c r="L207" s="2"/>
      <c r="M207" s="2"/>
      <c r="N207" s="20"/>
      <c r="O207" s="2"/>
      <c r="P207" s="2"/>
    </row>
    <row r="208" spans="1:16" ht="14.25" customHeight="1" x14ac:dyDescent="0.35">
      <c r="A208" s="2"/>
      <c r="B208" s="109"/>
      <c r="C208" s="129"/>
      <c r="D208" s="92" t="s">
        <v>67</v>
      </c>
      <c r="E208" s="5">
        <v>0</v>
      </c>
      <c r="F208" s="5">
        <v>0</v>
      </c>
      <c r="G208" s="5">
        <v>0</v>
      </c>
      <c r="H208" s="5">
        <v>0</v>
      </c>
      <c r="I208" s="2">
        <f t="shared" si="0"/>
        <v>0</v>
      </c>
      <c r="J208" s="2"/>
      <c r="K208" s="2"/>
      <c r="L208" s="2"/>
      <c r="M208" s="2"/>
      <c r="N208" s="20"/>
      <c r="O208" s="2"/>
      <c r="P208" s="2"/>
    </row>
    <row r="209" spans="1:16" ht="14.25" customHeight="1" x14ac:dyDescent="0.35">
      <c r="A209" s="13">
        <v>44823</v>
      </c>
      <c r="B209" s="109">
        <f>B206+7</f>
        <v>473</v>
      </c>
      <c r="C209" s="129" t="str">
        <f>$C$125</f>
        <v>15% FBS R1</v>
      </c>
      <c r="D209" s="91" t="s">
        <v>65</v>
      </c>
      <c r="E209" s="5">
        <v>120</v>
      </c>
      <c r="F209" s="5">
        <v>107</v>
      </c>
      <c r="G209" s="5">
        <v>106</v>
      </c>
      <c r="H209" s="5">
        <v>100</v>
      </c>
      <c r="I209" s="2">
        <f t="shared" si="0"/>
        <v>108.25</v>
      </c>
      <c r="J209" s="2">
        <f>I209*2*10000</f>
        <v>2165000</v>
      </c>
      <c r="K209" s="2">
        <f>$K$125</f>
        <v>3000000</v>
      </c>
      <c r="L209" s="2">
        <f>J209*5</f>
        <v>10825000</v>
      </c>
      <c r="M209" s="3">
        <f>I209/(I209+I210)*100</f>
        <v>98.633257403189063</v>
      </c>
      <c r="N209" s="22">
        <f>I211/I209*100</f>
        <v>0</v>
      </c>
      <c r="O209" s="4">
        <f>3.32*(LOG(L209)-LOG(K209))</f>
        <v>1.8502580790150582</v>
      </c>
      <c r="P209" s="4">
        <f>IF(O209&lt;0,P206,P206+O209)</f>
        <v>102.98275082474942</v>
      </c>
    </row>
    <row r="210" spans="1:16" ht="14.25" customHeight="1" x14ac:dyDescent="0.35">
      <c r="A210" s="2"/>
      <c r="B210" s="109"/>
      <c r="C210" s="129"/>
      <c r="D210" s="92" t="s">
        <v>66</v>
      </c>
      <c r="E210" s="5">
        <v>1</v>
      </c>
      <c r="F210" s="5">
        <v>1</v>
      </c>
      <c r="G210" s="5">
        <v>3</v>
      </c>
      <c r="H210" s="5">
        <v>1</v>
      </c>
      <c r="I210" s="2">
        <f t="shared" si="0"/>
        <v>1.5</v>
      </c>
      <c r="J210" s="2"/>
      <c r="K210" s="2"/>
      <c r="L210" s="2"/>
      <c r="M210" s="2"/>
      <c r="N210" s="20"/>
      <c r="O210" s="2"/>
      <c r="P210" s="2"/>
    </row>
    <row r="211" spans="1:16" ht="14.25" customHeight="1" x14ac:dyDescent="0.35">
      <c r="A211" s="2"/>
      <c r="B211" s="109"/>
      <c r="C211" s="129"/>
      <c r="D211" s="92" t="s">
        <v>67</v>
      </c>
      <c r="E211" s="5">
        <v>0</v>
      </c>
      <c r="F211" s="5">
        <v>0</v>
      </c>
      <c r="G211" s="5">
        <v>0</v>
      </c>
      <c r="H211" s="5">
        <v>0</v>
      </c>
      <c r="I211" s="2">
        <f t="shared" si="0"/>
        <v>0</v>
      </c>
      <c r="J211" s="2"/>
      <c r="K211" s="2"/>
      <c r="L211" s="2"/>
      <c r="M211" s="2"/>
      <c r="N211" s="20"/>
      <c r="O211" s="2"/>
      <c r="P211" s="2"/>
    </row>
    <row r="212" spans="1:16" ht="14.25" customHeight="1" x14ac:dyDescent="0.35">
      <c r="A212" s="13">
        <v>44830</v>
      </c>
      <c r="B212" s="109">
        <f>B209+7</f>
        <v>480</v>
      </c>
      <c r="C212" s="129" t="str">
        <f>$C$125</f>
        <v>15% FBS R1</v>
      </c>
      <c r="D212" s="91" t="s">
        <v>65</v>
      </c>
      <c r="E212" s="5">
        <v>65</v>
      </c>
      <c r="F212" s="5">
        <v>81</v>
      </c>
      <c r="G212" s="5">
        <v>96</v>
      </c>
      <c r="H212" s="5">
        <v>79</v>
      </c>
      <c r="I212" s="2">
        <f t="shared" si="0"/>
        <v>80.25</v>
      </c>
      <c r="J212" s="2">
        <f>I212*2*10000</f>
        <v>1605000</v>
      </c>
      <c r="K212" s="2">
        <f>$K$125</f>
        <v>3000000</v>
      </c>
      <c r="L212" s="2">
        <f>J212*5</f>
        <v>8025000</v>
      </c>
      <c r="M212" s="3">
        <f>I212/(I212+I213)*100</f>
        <v>99.689440993788821</v>
      </c>
      <c r="N212" s="22">
        <f>I214/I212*100</f>
        <v>0</v>
      </c>
      <c r="O212" s="4">
        <f>3.32*(LOG(L212)-LOG(K212))</f>
        <v>1.4187149707060607</v>
      </c>
      <c r="P212" s="4">
        <f>IF(O212&lt;0,P209,P209+O212)</f>
        <v>104.40146579545548</v>
      </c>
    </row>
    <row r="213" spans="1:16" ht="14.25" customHeight="1" x14ac:dyDescent="0.35">
      <c r="A213" s="2"/>
      <c r="B213" s="109"/>
      <c r="C213" s="129"/>
      <c r="D213" s="92" t="s">
        <v>66</v>
      </c>
      <c r="E213" s="5">
        <v>1</v>
      </c>
      <c r="F213" s="5">
        <v>0</v>
      </c>
      <c r="G213" s="5">
        <v>0</v>
      </c>
      <c r="H213" s="5">
        <v>0</v>
      </c>
      <c r="I213" s="2">
        <f t="shared" si="0"/>
        <v>0.25</v>
      </c>
      <c r="J213" s="2"/>
      <c r="K213" s="2"/>
      <c r="L213" s="2"/>
      <c r="M213" s="2"/>
      <c r="N213" s="20"/>
      <c r="O213" s="2"/>
      <c r="P213" s="2"/>
    </row>
    <row r="214" spans="1:16" ht="14.25" customHeight="1" x14ac:dyDescent="0.35">
      <c r="A214" s="2"/>
      <c r="B214" s="109"/>
      <c r="C214" s="129"/>
      <c r="D214" s="92" t="s">
        <v>67</v>
      </c>
      <c r="E214" s="5">
        <v>0</v>
      </c>
      <c r="F214" s="5">
        <v>0</v>
      </c>
      <c r="G214" s="5">
        <v>0</v>
      </c>
      <c r="H214" s="5">
        <v>0</v>
      </c>
      <c r="I214" s="2">
        <f t="shared" si="0"/>
        <v>0</v>
      </c>
      <c r="J214" s="2"/>
      <c r="K214" s="2"/>
      <c r="L214" s="2"/>
      <c r="M214" s="2"/>
      <c r="N214" s="20"/>
      <c r="O214" s="2"/>
      <c r="P214" s="2"/>
    </row>
    <row r="215" spans="1:16" ht="14.25" customHeight="1" x14ac:dyDescent="0.35">
      <c r="A215" s="13">
        <v>44837</v>
      </c>
      <c r="B215" s="109">
        <f>B212+7</f>
        <v>487</v>
      </c>
      <c r="C215" s="129" t="str">
        <f>$C$125</f>
        <v>15% FBS R1</v>
      </c>
      <c r="D215" s="91" t="s">
        <v>65</v>
      </c>
      <c r="E215" s="5">
        <v>131</v>
      </c>
      <c r="F215" s="5">
        <v>150</v>
      </c>
      <c r="G215" s="5">
        <v>158</v>
      </c>
      <c r="H215" s="5">
        <v>148</v>
      </c>
      <c r="I215" s="2">
        <f t="shared" si="0"/>
        <v>146.75</v>
      </c>
      <c r="J215" s="2">
        <f>I215*2*10000</f>
        <v>2935000</v>
      </c>
      <c r="K215" s="2">
        <f>$K$125</f>
        <v>3000000</v>
      </c>
      <c r="L215" s="2">
        <f>J215*5</f>
        <v>14675000</v>
      </c>
      <c r="M215" s="3">
        <f>I215/(I215+I216)*100</f>
        <v>99.660441426146008</v>
      </c>
      <c r="N215" s="22">
        <f>I217/I215*100</f>
        <v>0</v>
      </c>
      <c r="O215" s="4">
        <f>3.32*(LOG(L215)-LOG(K215))</f>
        <v>2.288996759263966</v>
      </c>
      <c r="P215" s="4">
        <f>IF(O215&lt;0,P212,P212+O215)</f>
        <v>106.69046255471945</v>
      </c>
    </row>
    <row r="216" spans="1:16" ht="14.25" customHeight="1" x14ac:dyDescent="0.35">
      <c r="A216" s="2"/>
      <c r="B216" s="109"/>
      <c r="C216" s="129"/>
      <c r="D216" s="92" t="s">
        <v>66</v>
      </c>
      <c r="E216" s="5">
        <v>0</v>
      </c>
      <c r="F216" s="5">
        <v>2</v>
      </c>
      <c r="G216" s="5">
        <v>0</v>
      </c>
      <c r="H216" s="5">
        <v>0</v>
      </c>
      <c r="I216" s="2">
        <f t="shared" si="0"/>
        <v>0.5</v>
      </c>
      <c r="J216" s="2"/>
      <c r="K216" s="2"/>
      <c r="L216" s="2"/>
      <c r="M216" s="2"/>
      <c r="N216" s="20"/>
      <c r="O216" s="2"/>
      <c r="P216" s="2"/>
    </row>
    <row r="217" spans="1:16" ht="14.25" customHeight="1" x14ac:dyDescent="0.35">
      <c r="A217" s="2"/>
      <c r="B217" s="109"/>
      <c r="C217" s="129"/>
      <c r="D217" s="92" t="s">
        <v>67</v>
      </c>
      <c r="E217" s="5">
        <v>0</v>
      </c>
      <c r="F217" s="5">
        <v>0</v>
      </c>
      <c r="G217" s="5">
        <v>0</v>
      </c>
      <c r="H217" s="5">
        <v>0</v>
      </c>
      <c r="I217" s="2">
        <f t="shared" si="0"/>
        <v>0</v>
      </c>
      <c r="J217" s="2"/>
      <c r="K217" s="2"/>
      <c r="L217" s="2"/>
      <c r="M217" s="2"/>
      <c r="N217" s="20"/>
      <c r="O217" s="2"/>
      <c r="P217" s="2"/>
    </row>
    <row r="218" spans="1:16" ht="14.25" customHeight="1" x14ac:dyDescent="0.35">
      <c r="A218" s="13">
        <v>44844</v>
      </c>
      <c r="B218" s="109">
        <f>B215+7</f>
        <v>494</v>
      </c>
      <c r="C218" s="129" t="str">
        <f>$C$125</f>
        <v>15% FBS R1</v>
      </c>
      <c r="D218" s="91" t="s">
        <v>65</v>
      </c>
      <c r="E218" s="5">
        <v>49</v>
      </c>
      <c r="F218" s="5">
        <v>47</v>
      </c>
      <c r="G218" s="5">
        <v>43</v>
      </c>
      <c r="H218" s="5">
        <v>40</v>
      </c>
      <c r="I218" s="2">
        <f t="shared" si="0"/>
        <v>44.75</v>
      </c>
      <c r="J218" s="2">
        <f>I218*2*10000</f>
        <v>895000</v>
      </c>
      <c r="K218" s="2">
        <f>$K$125</f>
        <v>3000000</v>
      </c>
      <c r="L218" s="2">
        <f>J218*5</f>
        <v>4475000</v>
      </c>
      <c r="M218" s="3">
        <f>I218/(I218+I219)*100</f>
        <v>98.895027624309392</v>
      </c>
      <c r="N218" s="22">
        <f>I220/I218*100</f>
        <v>0</v>
      </c>
      <c r="O218" s="4">
        <f>3.32*(LOG(L218)-LOG(K218))</f>
        <v>0.57659032597513038</v>
      </c>
      <c r="P218" s="4">
        <f>IF(O218&lt;0,P215,P215+O218)</f>
        <v>107.26705288069458</v>
      </c>
    </row>
    <row r="219" spans="1:16" ht="14.25" customHeight="1" x14ac:dyDescent="0.35">
      <c r="A219" s="2"/>
      <c r="B219" s="109"/>
      <c r="C219" s="129"/>
      <c r="D219" s="92" t="s">
        <v>66</v>
      </c>
      <c r="E219" s="5">
        <v>1</v>
      </c>
      <c r="F219" s="5">
        <v>0</v>
      </c>
      <c r="G219" s="5">
        <v>1</v>
      </c>
      <c r="H219" s="5">
        <v>0</v>
      </c>
      <c r="I219" s="2">
        <f t="shared" si="0"/>
        <v>0.5</v>
      </c>
      <c r="J219" s="2"/>
      <c r="K219" s="2"/>
      <c r="L219" s="2"/>
      <c r="M219" s="2"/>
      <c r="N219" s="20"/>
      <c r="O219" s="2"/>
      <c r="P219" s="2"/>
    </row>
    <row r="220" spans="1:16" ht="14.25" customHeight="1" x14ac:dyDescent="0.35">
      <c r="A220" s="2"/>
      <c r="B220" s="109"/>
      <c r="C220" s="129"/>
      <c r="D220" s="92" t="s">
        <v>67</v>
      </c>
      <c r="E220" s="5">
        <v>0</v>
      </c>
      <c r="F220" s="5">
        <v>0</v>
      </c>
      <c r="G220" s="5">
        <v>0</v>
      </c>
      <c r="H220" s="5">
        <v>0</v>
      </c>
      <c r="I220" s="2">
        <f t="shared" si="0"/>
        <v>0</v>
      </c>
      <c r="J220" s="2"/>
      <c r="K220" s="2"/>
      <c r="L220" s="2"/>
      <c r="M220" s="2"/>
      <c r="N220" s="20"/>
      <c r="O220" s="2"/>
      <c r="P220" s="2"/>
    </row>
    <row r="221" spans="1:16" ht="14.25" customHeight="1" x14ac:dyDescent="0.35">
      <c r="A221" s="13">
        <v>44851</v>
      </c>
      <c r="B221" s="109">
        <f>B218+7</f>
        <v>501</v>
      </c>
      <c r="C221" s="129" t="str">
        <f>$C$125</f>
        <v>15% FBS R1</v>
      </c>
      <c r="D221" s="91" t="s">
        <v>65</v>
      </c>
      <c r="E221" s="5">
        <v>110</v>
      </c>
      <c r="F221" s="5">
        <v>115</v>
      </c>
      <c r="G221" s="5">
        <v>111</v>
      </c>
      <c r="H221" s="5">
        <v>113</v>
      </c>
      <c r="I221" s="2">
        <f t="shared" si="0"/>
        <v>112.25</v>
      </c>
      <c r="J221" s="2">
        <f>I221*2*10000</f>
        <v>2245000</v>
      </c>
      <c r="K221" s="2">
        <f>$K$125</f>
        <v>3000000</v>
      </c>
      <c r="L221" s="2">
        <f>J221*5</f>
        <v>11225000</v>
      </c>
      <c r="M221" s="3">
        <f>I221/(I221+I222)*100</f>
        <v>98.898678414096921</v>
      </c>
      <c r="N221" s="22">
        <f>I223/I221*100</f>
        <v>0</v>
      </c>
      <c r="O221" s="4">
        <f>3.32*(LOG(L221)-LOG(K221))</f>
        <v>1.9025761152529177</v>
      </c>
      <c r="P221" s="4">
        <f>IF(O221&lt;0,P218,P218+O221)</f>
        <v>109.16962899594749</v>
      </c>
    </row>
    <row r="222" spans="1:16" ht="14.25" customHeight="1" x14ac:dyDescent="0.35">
      <c r="A222" s="2"/>
      <c r="B222" s="109"/>
      <c r="C222" s="129"/>
      <c r="D222" s="92" t="s">
        <v>66</v>
      </c>
      <c r="E222" s="5">
        <v>0</v>
      </c>
      <c r="F222" s="5">
        <v>2</v>
      </c>
      <c r="G222" s="5">
        <v>2</v>
      </c>
      <c r="H222" s="5">
        <v>1</v>
      </c>
      <c r="I222" s="2">
        <f t="shared" si="0"/>
        <v>1.25</v>
      </c>
      <c r="J222" s="2"/>
      <c r="K222" s="2"/>
      <c r="L222" s="2"/>
      <c r="M222" s="2"/>
      <c r="N222" s="20"/>
      <c r="O222" s="2"/>
      <c r="P222" s="2"/>
    </row>
    <row r="223" spans="1:16" ht="14.25" customHeight="1" x14ac:dyDescent="0.35">
      <c r="A223" s="2"/>
      <c r="B223" s="109"/>
      <c r="C223" s="129"/>
      <c r="D223" s="92" t="s">
        <v>67</v>
      </c>
      <c r="E223" s="5">
        <v>0</v>
      </c>
      <c r="F223" s="5">
        <v>0</v>
      </c>
      <c r="G223" s="5">
        <v>0</v>
      </c>
      <c r="H223" s="5">
        <v>0</v>
      </c>
      <c r="I223" s="2">
        <f t="shared" si="0"/>
        <v>0</v>
      </c>
      <c r="J223" s="2"/>
      <c r="K223" s="2"/>
      <c r="L223" s="2"/>
      <c r="M223" s="2"/>
      <c r="N223" s="20"/>
      <c r="O223" s="2"/>
      <c r="P223" s="2"/>
    </row>
    <row r="224" spans="1:16" ht="14.25" customHeight="1" x14ac:dyDescent="0.35">
      <c r="A224" s="13">
        <v>44858</v>
      </c>
      <c r="B224" s="109">
        <f>B221+7</f>
        <v>508</v>
      </c>
      <c r="C224" s="129" t="str">
        <f>$C$125</f>
        <v>15% FBS R1</v>
      </c>
      <c r="D224" s="91" t="s">
        <v>65</v>
      </c>
      <c r="E224" s="5">
        <v>129</v>
      </c>
      <c r="F224" s="5">
        <v>152</v>
      </c>
      <c r="G224" s="5">
        <v>143</v>
      </c>
      <c r="H224" s="5">
        <v>155</v>
      </c>
      <c r="I224" s="2">
        <f t="shared" si="0"/>
        <v>144.75</v>
      </c>
      <c r="J224" s="2">
        <f>I224*2*10000</f>
        <v>2895000</v>
      </c>
      <c r="K224" s="2">
        <f>$K$125</f>
        <v>3000000</v>
      </c>
      <c r="L224" s="2">
        <f>J224*5</f>
        <v>14475000</v>
      </c>
      <c r="M224" s="3">
        <f>I224/(I224+I225)*100</f>
        <v>99.484536082474222</v>
      </c>
      <c r="N224" s="22">
        <f>I226/I224*100</f>
        <v>0</v>
      </c>
      <c r="O224" s="4">
        <f>3.32*(LOG(L224)-LOG(K224))</f>
        <v>2.2692110946969737</v>
      </c>
      <c r="P224" s="4">
        <f>IF(O224&lt;0,P221,P221+O224)</f>
        <v>111.43884009064446</v>
      </c>
    </row>
    <row r="225" spans="1:16" ht="14.25" customHeight="1" x14ac:dyDescent="0.35">
      <c r="A225" s="2"/>
      <c r="B225" s="109"/>
      <c r="C225" s="129"/>
      <c r="D225" s="92" t="s">
        <v>66</v>
      </c>
      <c r="E225" s="5">
        <v>2</v>
      </c>
      <c r="F225" s="5">
        <v>0</v>
      </c>
      <c r="G225" s="5">
        <v>1</v>
      </c>
      <c r="H225" s="5">
        <v>0</v>
      </c>
      <c r="I225" s="2">
        <f t="shared" si="0"/>
        <v>0.75</v>
      </c>
      <c r="J225" s="2"/>
      <c r="K225" s="2"/>
      <c r="L225" s="2"/>
      <c r="M225" s="2"/>
      <c r="N225" s="20"/>
      <c r="O225" s="2"/>
      <c r="P225" s="2"/>
    </row>
    <row r="226" spans="1:16" ht="14.25" customHeight="1" x14ac:dyDescent="0.35">
      <c r="A226" s="2"/>
      <c r="B226" s="109"/>
      <c r="C226" s="129"/>
      <c r="D226" s="92" t="s">
        <v>67</v>
      </c>
      <c r="E226" s="5">
        <v>0</v>
      </c>
      <c r="F226" s="5">
        <v>0</v>
      </c>
      <c r="G226" s="5">
        <v>0</v>
      </c>
      <c r="H226" s="5">
        <v>0</v>
      </c>
      <c r="I226" s="2">
        <f t="shared" si="0"/>
        <v>0</v>
      </c>
      <c r="J226" s="2"/>
      <c r="K226" s="2"/>
      <c r="L226" s="2"/>
      <c r="M226" s="2"/>
      <c r="N226" s="20"/>
      <c r="O226" s="2"/>
      <c r="P226" s="2"/>
    </row>
    <row r="227" spans="1:16" ht="14.25" customHeight="1" x14ac:dyDescent="0.35">
      <c r="A227" s="13">
        <v>44865</v>
      </c>
      <c r="B227" s="109">
        <f>B224+7</f>
        <v>515</v>
      </c>
      <c r="C227" s="129" t="str">
        <f>$C$125</f>
        <v>15% FBS R1</v>
      </c>
      <c r="D227" s="91" t="s">
        <v>65</v>
      </c>
      <c r="E227" s="5">
        <v>81</v>
      </c>
      <c r="F227" s="5">
        <v>86</v>
      </c>
      <c r="G227" s="5">
        <v>95</v>
      </c>
      <c r="H227" s="5">
        <v>99</v>
      </c>
      <c r="I227" s="2">
        <f t="shared" si="0"/>
        <v>90.25</v>
      </c>
      <c r="J227" s="2">
        <f>I227*2*10000</f>
        <v>1805000</v>
      </c>
      <c r="K227" s="2">
        <f>$K$125</f>
        <v>3000000</v>
      </c>
      <c r="L227" s="2">
        <f>J227*5</f>
        <v>9025000</v>
      </c>
      <c r="M227" s="3">
        <f>I227/(I227+I228)*100</f>
        <v>99.723756906077341</v>
      </c>
      <c r="N227" s="22">
        <f>I229/I227*100</f>
        <v>0</v>
      </c>
      <c r="O227" s="4">
        <f>3.32*(LOG(L227)-LOG(K227))</f>
        <v>1.5880421734486683</v>
      </c>
      <c r="P227" s="4">
        <f>IF(O227&lt;0,P224,P224+O227)</f>
        <v>113.02688226409313</v>
      </c>
    </row>
    <row r="228" spans="1:16" ht="14.25" customHeight="1" x14ac:dyDescent="0.35">
      <c r="A228" s="2"/>
      <c r="B228" s="109"/>
      <c r="C228" s="129"/>
      <c r="D228" s="92" t="s">
        <v>66</v>
      </c>
      <c r="E228" s="5">
        <v>1</v>
      </c>
      <c r="F228" s="5">
        <v>0</v>
      </c>
      <c r="G228" s="5">
        <v>0</v>
      </c>
      <c r="H228" s="5">
        <v>0</v>
      </c>
      <c r="I228" s="2">
        <f t="shared" si="0"/>
        <v>0.25</v>
      </c>
      <c r="J228" s="2"/>
      <c r="K228" s="2"/>
      <c r="L228" s="2"/>
      <c r="M228" s="2"/>
      <c r="N228" s="20"/>
      <c r="O228" s="2"/>
      <c r="P228" s="2"/>
    </row>
    <row r="229" spans="1:16" ht="14.25" customHeight="1" x14ac:dyDescent="0.35">
      <c r="A229" s="2"/>
      <c r="B229" s="109"/>
      <c r="C229" s="129"/>
      <c r="D229" s="92" t="s">
        <v>67</v>
      </c>
      <c r="E229" s="5">
        <v>0</v>
      </c>
      <c r="F229" s="5">
        <v>0</v>
      </c>
      <c r="G229" s="5">
        <v>0</v>
      </c>
      <c r="H229" s="5">
        <v>0</v>
      </c>
      <c r="I229" s="2">
        <f t="shared" si="0"/>
        <v>0</v>
      </c>
      <c r="J229" s="2"/>
      <c r="K229" s="2"/>
      <c r="L229" s="2"/>
      <c r="M229" s="2"/>
      <c r="N229" s="20"/>
      <c r="O229" s="2"/>
      <c r="P229" s="2"/>
    </row>
    <row r="230" spans="1:16" ht="14.25" customHeight="1" x14ac:dyDescent="0.35">
      <c r="A230" s="13">
        <v>44872</v>
      </c>
      <c r="B230" s="109">
        <f>B227+7</f>
        <v>522</v>
      </c>
      <c r="C230" s="129" t="str">
        <f>$C$125</f>
        <v>15% FBS R1</v>
      </c>
      <c r="D230" s="91" t="s">
        <v>65</v>
      </c>
      <c r="E230" s="5">
        <v>87</v>
      </c>
      <c r="F230" s="5">
        <v>89</v>
      </c>
      <c r="G230" s="5">
        <v>94</v>
      </c>
      <c r="H230" s="5">
        <v>85</v>
      </c>
      <c r="I230" s="2">
        <f t="shared" ref="I230:I343" si="1">AVERAGE(E230:H230)</f>
        <v>88.75</v>
      </c>
      <c r="J230" s="2">
        <f>I230*2*10000</f>
        <v>1775000</v>
      </c>
      <c r="K230" s="2">
        <f>$K$125</f>
        <v>3000000</v>
      </c>
      <c r="L230" s="2">
        <f>J230*5</f>
        <v>8875000</v>
      </c>
      <c r="M230" s="3">
        <f>I230/(I230+I231)*100</f>
        <v>99.162011173184368</v>
      </c>
      <c r="N230" s="22">
        <f>I232/I230*100</f>
        <v>0</v>
      </c>
      <c r="O230" s="4">
        <f>3.32*(LOG(L230)-LOG(K230))</f>
        <v>1.5638763952647974</v>
      </c>
      <c r="P230" s="4">
        <f>IF(O230&lt;0,P227,P227+O230)</f>
        <v>114.59075865935793</v>
      </c>
    </row>
    <row r="231" spans="1:16" ht="14.25" customHeight="1" x14ac:dyDescent="0.35">
      <c r="A231" s="2"/>
      <c r="B231" s="109"/>
      <c r="C231" s="129"/>
      <c r="D231" s="92" t="s">
        <v>66</v>
      </c>
      <c r="E231" s="5">
        <v>0</v>
      </c>
      <c r="F231" s="5">
        <v>3</v>
      </c>
      <c r="G231" s="5">
        <v>0</v>
      </c>
      <c r="H231" s="5">
        <v>0</v>
      </c>
      <c r="I231" s="2">
        <f t="shared" si="1"/>
        <v>0.75</v>
      </c>
      <c r="J231" s="2"/>
      <c r="K231" s="2"/>
      <c r="L231" s="2"/>
      <c r="M231" s="2"/>
      <c r="N231" s="20"/>
      <c r="O231" s="2"/>
      <c r="P231" s="2"/>
    </row>
    <row r="232" spans="1:16" ht="14.25" customHeight="1" x14ac:dyDescent="0.35">
      <c r="A232" s="2"/>
      <c r="B232" s="109"/>
      <c r="C232" s="129"/>
      <c r="D232" s="92" t="s">
        <v>67</v>
      </c>
      <c r="E232" s="5">
        <v>0</v>
      </c>
      <c r="F232" s="5">
        <v>0</v>
      </c>
      <c r="G232" s="5">
        <v>0</v>
      </c>
      <c r="H232" s="5">
        <v>0</v>
      </c>
      <c r="I232" s="2">
        <f t="shared" si="1"/>
        <v>0</v>
      </c>
      <c r="J232" s="2"/>
      <c r="K232" s="2"/>
      <c r="L232" s="2"/>
      <c r="M232" s="2"/>
      <c r="N232" s="20"/>
      <c r="O232" s="2"/>
      <c r="P232" s="2"/>
    </row>
    <row r="233" spans="1:16" ht="14.25" customHeight="1" x14ac:dyDescent="0.35">
      <c r="A233" s="13">
        <v>44879</v>
      </c>
      <c r="B233" s="109">
        <f>B230+7</f>
        <v>529</v>
      </c>
      <c r="C233" s="129" t="str">
        <f>$C$125</f>
        <v>15% FBS R1</v>
      </c>
      <c r="D233" s="91" t="s">
        <v>65</v>
      </c>
      <c r="E233" s="5">
        <v>71</v>
      </c>
      <c r="F233" s="5">
        <v>86</v>
      </c>
      <c r="G233" s="5">
        <v>74</v>
      </c>
      <c r="H233" s="5">
        <v>70</v>
      </c>
      <c r="I233" s="2">
        <f t="shared" si="1"/>
        <v>75.25</v>
      </c>
      <c r="J233" s="2">
        <f>I233*2*10000</f>
        <v>1505000</v>
      </c>
      <c r="K233" s="2">
        <f>$K$125</f>
        <v>3000000</v>
      </c>
      <c r="L233" s="2">
        <f>J233*5</f>
        <v>7525000</v>
      </c>
      <c r="M233" s="3">
        <f>I233/(I233+I234)*100</f>
        <v>99.339933993399342</v>
      </c>
      <c r="N233" s="22">
        <f>I235/I233*100</f>
        <v>0</v>
      </c>
      <c r="O233" s="4">
        <f>3.32*(LOG(L233)-LOG(K233))</f>
        <v>1.3259590284934437</v>
      </c>
      <c r="P233" s="4">
        <f>IF(O233&lt;0,P230,P230+O233)</f>
        <v>115.91671768785137</v>
      </c>
    </row>
    <row r="234" spans="1:16" ht="14.25" customHeight="1" x14ac:dyDescent="0.35">
      <c r="A234" s="2"/>
      <c r="B234" s="109"/>
      <c r="C234" s="129"/>
      <c r="D234" s="92" t="s">
        <v>66</v>
      </c>
      <c r="E234" s="5">
        <v>0</v>
      </c>
      <c r="F234" s="5">
        <v>0</v>
      </c>
      <c r="G234" s="5">
        <v>0</v>
      </c>
      <c r="H234" s="5">
        <v>2</v>
      </c>
      <c r="I234" s="2">
        <f t="shared" si="1"/>
        <v>0.5</v>
      </c>
      <c r="J234" s="2"/>
      <c r="K234" s="2"/>
      <c r="L234" s="2"/>
      <c r="M234" s="2"/>
      <c r="N234" s="20"/>
      <c r="O234" s="2"/>
      <c r="P234" s="2"/>
    </row>
    <row r="235" spans="1:16" ht="14.25" customHeight="1" x14ac:dyDescent="0.35">
      <c r="A235" s="2"/>
      <c r="B235" s="109"/>
      <c r="C235" s="129"/>
      <c r="D235" s="92" t="s">
        <v>67</v>
      </c>
      <c r="E235" s="5">
        <v>0</v>
      </c>
      <c r="F235" s="5">
        <v>0</v>
      </c>
      <c r="G235" s="5">
        <v>0</v>
      </c>
      <c r="H235" s="5">
        <v>0</v>
      </c>
      <c r="I235" s="2">
        <f t="shared" si="1"/>
        <v>0</v>
      </c>
      <c r="J235" s="2"/>
      <c r="K235" s="2"/>
      <c r="L235" s="2"/>
      <c r="M235" s="2"/>
      <c r="N235" s="20"/>
      <c r="O235" s="2"/>
      <c r="P235" s="2"/>
    </row>
    <row r="236" spans="1:16" ht="14.25" customHeight="1" x14ac:dyDescent="0.35">
      <c r="A236" s="13">
        <v>44886</v>
      </c>
      <c r="B236" s="109">
        <f>B233+7</f>
        <v>536</v>
      </c>
      <c r="C236" s="129" t="str">
        <f>$C$125</f>
        <v>15% FBS R1</v>
      </c>
      <c r="D236" s="91" t="s">
        <v>65</v>
      </c>
      <c r="E236" s="5">
        <v>100</v>
      </c>
      <c r="F236" s="5">
        <v>124</v>
      </c>
      <c r="G236" s="5">
        <v>133</v>
      </c>
      <c r="H236" s="5">
        <v>130</v>
      </c>
      <c r="I236" s="2">
        <f t="shared" si="1"/>
        <v>121.75</v>
      </c>
      <c r="J236" s="2">
        <f>I236*2*10000</f>
        <v>2435000</v>
      </c>
      <c r="K236" s="2">
        <f>$K$125</f>
        <v>3000000</v>
      </c>
      <c r="L236" s="2">
        <f>J236*5</f>
        <v>12175000</v>
      </c>
      <c r="M236" s="3">
        <f>I236/(I236+I237)*100</f>
        <v>99.185336048879833</v>
      </c>
      <c r="N236" s="22">
        <f>I238/I236*100</f>
        <v>0</v>
      </c>
      <c r="O236" s="4">
        <f>3.32*(LOG(L236)-LOG(K236))</f>
        <v>2.0197144143544712</v>
      </c>
      <c r="P236" s="4">
        <f>IF(O236&lt;0,P233,P233+O236)</f>
        <v>117.93643210220584</v>
      </c>
    </row>
    <row r="237" spans="1:16" ht="14.25" customHeight="1" x14ac:dyDescent="0.35">
      <c r="A237" s="2"/>
      <c r="B237" s="109"/>
      <c r="C237" s="129"/>
      <c r="D237" s="92" t="s">
        <v>66</v>
      </c>
      <c r="E237" s="5">
        <v>2</v>
      </c>
      <c r="F237" s="5">
        <v>0</v>
      </c>
      <c r="G237" s="5">
        <v>2</v>
      </c>
      <c r="H237" s="5">
        <v>0</v>
      </c>
      <c r="I237" s="2">
        <f t="shared" si="1"/>
        <v>1</v>
      </c>
      <c r="J237" s="2"/>
      <c r="K237" s="2"/>
      <c r="L237" s="2"/>
      <c r="M237" s="2"/>
      <c r="N237" s="20"/>
      <c r="O237" s="2"/>
      <c r="P237" s="2"/>
    </row>
    <row r="238" spans="1:16" ht="14.25" customHeight="1" x14ac:dyDescent="0.35">
      <c r="A238" s="2"/>
      <c r="B238" s="109"/>
      <c r="C238" s="129"/>
      <c r="D238" s="92" t="s">
        <v>67</v>
      </c>
      <c r="E238" s="5">
        <v>0</v>
      </c>
      <c r="F238" s="5">
        <v>0</v>
      </c>
      <c r="G238" s="5">
        <v>0</v>
      </c>
      <c r="H238" s="5">
        <v>0</v>
      </c>
      <c r="I238" s="2">
        <f t="shared" si="1"/>
        <v>0</v>
      </c>
      <c r="J238" s="2"/>
      <c r="K238" s="2"/>
      <c r="L238" s="2"/>
      <c r="M238" s="2"/>
      <c r="N238" s="20"/>
      <c r="O238" s="2"/>
      <c r="P238" s="2"/>
    </row>
    <row r="239" spans="1:16" ht="14.25" customHeight="1" x14ac:dyDescent="0.35">
      <c r="A239" s="13">
        <v>44893</v>
      </c>
      <c r="B239" s="109">
        <f>B236+7</f>
        <v>543</v>
      </c>
      <c r="C239" s="129" t="str">
        <f>$C$125</f>
        <v>15% FBS R1</v>
      </c>
      <c r="D239" s="91" t="s">
        <v>65</v>
      </c>
      <c r="E239" s="5">
        <f>57*4</f>
        <v>228</v>
      </c>
      <c r="F239" s="5">
        <f>61*4</f>
        <v>244</v>
      </c>
      <c r="G239" s="5">
        <f>48*4</f>
        <v>192</v>
      </c>
      <c r="H239" s="5">
        <f>64*4</f>
        <v>256</v>
      </c>
      <c r="I239" s="2">
        <f t="shared" si="1"/>
        <v>230</v>
      </c>
      <c r="J239" s="2">
        <f>I239*2*10000</f>
        <v>4600000</v>
      </c>
      <c r="K239" s="2">
        <f>$K$125</f>
        <v>3000000</v>
      </c>
      <c r="L239" s="2">
        <f>J239*5</f>
        <v>23000000</v>
      </c>
      <c r="M239" s="3">
        <f>I239/(I239+I240)*100</f>
        <v>100</v>
      </c>
      <c r="N239" s="22">
        <f>I241/I239*100</f>
        <v>0</v>
      </c>
      <c r="O239" s="4">
        <f>3.32*(LOG(L239)-LOG(K239))</f>
        <v>2.9368938499091288</v>
      </c>
      <c r="P239" s="4">
        <f>IF(O239&lt;0,P236,P236+O239)</f>
        <v>120.87332595211497</v>
      </c>
    </row>
    <row r="240" spans="1:16" ht="14.25" customHeight="1" x14ac:dyDescent="0.35">
      <c r="A240" s="2"/>
      <c r="B240" s="109"/>
      <c r="C240" s="129"/>
      <c r="D240" s="92" t="s">
        <v>66</v>
      </c>
      <c r="E240" s="5">
        <v>0</v>
      </c>
      <c r="F240" s="5">
        <v>0</v>
      </c>
      <c r="G240" s="5">
        <v>0</v>
      </c>
      <c r="H240" s="5">
        <v>0</v>
      </c>
      <c r="I240" s="2">
        <f t="shared" si="1"/>
        <v>0</v>
      </c>
      <c r="J240" s="2"/>
      <c r="K240" s="2"/>
      <c r="L240" s="2"/>
      <c r="M240" s="2"/>
      <c r="N240" s="20"/>
      <c r="O240" s="2"/>
      <c r="P240" s="2"/>
    </row>
    <row r="241" spans="1:16" ht="14.25" customHeight="1" x14ac:dyDescent="0.35">
      <c r="A241" s="2"/>
      <c r="B241" s="109"/>
      <c r="C241" s="129"/>
      <c r="D241" s="92" t="s">
        <v>67</v>
      </c>
      <c r="E241" s="5">
        <v>0</v>
      </c>
      <c r="F241" s="5">
        <v>0</v>
      </c>
      <c r="G241" s="5">
        <v>0</v>
      </c>
      <c r="H241" s="5">
        <v>0</v>
      </c>
      <c r="I241" s="2">
        <f t="shared" si="1"/>
        <v>0</v>
      </c>
      <c r="J241" s="2"/>
      <c r="K241" s="2"/>
      <c r="L241" s="2"/>
      <c r="M241" s="2"/>
      <c r="N241" s="20"/>
      <c r="O241" s="2"/>
      <c r="P241" s="2"/>
    </row>
    <row r="242" spans="1:16" ht="14.25" customHeight="1" x14ac:dyDescent="0.35">
      <c r="A242" s="13">
        <v>44900</v>
      </c>
      <c r="B242" s="109">
        <f>B239+7</f>
        <v>550</v>
      </c>
      <c r="C242" s="129" t="str">
        <f>$C$125</f>
        <v>15% FBS R1</v>
      </c>
      <c r="D242" s="91" t="s">
        <v>65</v>
      </c>
      <c r="E242" s="5">
        <v>173</v>
      </c>
      <c r="F242" s="5">
        <v>197</v>
      </c>
      <c r="G242" s="5">
        <v>165</v>
      </c>
      <c r="H242" s="5">
        <v>194</v>
      </c>
      <c r="I242" s="2">
        <f t="shared" si="1"/>
        <v>182.25</v>
      </c>
      <c r="J242" s="2">
        <f>I242*2*10000</f>
        <v>3645000</v>
      </c>
      <c r="K242" s="2">
        <f>$K$125</f>
        <v>3000000</v>
      </c>
      <c r="L242" s="2">
        <f>J242*5</f>
        <v>18225000</v>
      </c>
      <c r="M242" s="3">
        <f>I242/(I242+I243)*100</f>
        <v>99.048913043478265</v>
      </c>
      <c r="N242" s="22">
        <f>I244/I242*100</f>
        <v>0</v>
      </c>
      <c r="O242" s="4">
        <f>3.32*(LOG(L242)-LOG(K242))</f>
        <v>2.6013736571375605</v>
      </c>
      <c r="P242" s="4">
        <f>IF(O242&lt;0,P239,P239+O242)</f>
        <v>123.47469960925253</v>
      </c>
    </row>
    <row r="243" spans="1:16" ht="14.25" customHeight="1" x14ac:dyDescent="0.35">
      <c r="A243" s="2"/>
      <c r="B243" s="109"/>
      <c r="C243" s="129"/>
      <c r="D243" s="92" t="s">
        <v>66</v>
      </c>
      <c r="E243" s="5">
        <v>1</v>
      </c>
      <c r="F243" s="5">
        <v>1</v>
      </c>
      <c r="G243" s="5">
        <v>3</v>
      </c>
      <c r="H243" s="5">
        <v>2</v>
      </c>
      <c r="I243" s="2">
        <f t="shared" si="1"/>
        <v>1.75</v>
      </c>
      <c r="J243" s="2"/>
      <c r="K243" s="2"/>
      <c r="L243" s="2"/>
      <c r="M243" s="2"/>
      <c r="N243" s="20"/>
      <c r="O243" s="2"/>
      <c r="P243" s="2"/>
    </row>
    <row r="244" spans="1:16" ht="14.25" customHeight="1" x14ac:dyDescent="0.35">
      <c r="A244" s="2"/>
      <c r="B244" s="109"/>
      <c r="C244" s="129"/>
      <c r="D244" s="92" t="s">
        <v>67</v>
      </c>
      <c r="E244" s="5">
        <v>0</v>
      </c>
      <c r="F244" s="5">
        <v>0</v>
      </c>
      <c r="G244" s="5">
        <v>0</v>
      </c>
      <c r="H244" s="5">
        <v>0</v>
      </c>
      <c r="I244" s="2">
        <f t="shared" si="1"/>
        <v>0</v>
      </c>
      <c r="J244" s="2"/>
      <c r="K244" s="2"/>
      <c r="L244" s="2"/>
      <c r="M244" s="2"/>
      <c r="N244" s="20"/>
      <c r="O244" s="2"/>
      <c r="P244" s="2"/>
    </row>
    <row r="245" spans="1:16" ht="14.25" customHeight="1" x14ac:dyDescent="0.35">
      <c r="A245" s="13">
        <v>44907</v>
      </c>
      <c r="B245" s="109">
        <f>B242+7</f>
        <v>557</v>
      </c>
      <c r="C245" s="129" t="str">
        <f>$C$125</f>
        <v>15% FBS R1</v>
      </c>
      <c r="D245" s="91" t="s">
        <v>65</v>
      </c>
      <c r="E245" s="5">
        <v>109</v>
      </c>
      <c r="F245" s="5">
        <v>116</v>
      </c>
      <c r="G245" s="5">
        <v>117</v>
      </c>
      <c r="H245" s="5">
        <v>115</v>
      </c>
      <c r="I245" s="2">
        <f t="shared" si="1"/>
        <v>114.25</v>
      </c>
      <c r="J245" s="2">
        <f>I245*2*10000</f>
        <v>2285000</v>
      </c>
      <c r="K245" s="2">
        <f>$K$125</f>
        <v>3000000</v>
      </c>
      <c r="L245" s="2">
        <f>J245*5</f>
        <v>11425000</v>
      </c>
      <c r="M245" s="3">
        <f>I245/(I245+I246)*100</f>
        <v>99.34782608695653</v>
      </c>
      <c r="N245" s="22">
        <f>I247/I245*100</f>
        <v>0</v>
      </c>
      <c r="O245" s="4">
        <f>3.32*(LOG(L245)-LOG(K245))</f>
        <v>1.928040047353788</v>
      </c>
      <c r="P245" s="4">
        <f>IF(O245&lt;0,P242,P242+O245)</f>
        <v>125.40273965660631</v>
      </c>
    </row>
    <row r="246" spans="1:16" ht="14.25" customHeight="1" x14ac:dyDescent="0.35">
      <c r="A246" s="2"/>
      <c r="B246" s="109"/>
      <c r="C246" s="129"/>
      <c r="D246" s="92" t="s">
        <v>66</v>
      </c>
      <c r="E246" s="5">
        <v>1</v>
      </c>
      <c r="F246" s="5">
        <v>0</v>
      </c>
      <c r="G246" s="5">
        <v>2</v>
      </c>
      <c r="H246" s="5">
        <v>0</v>
      </c>
      <c r="I246" s="2">
        <f t="shared" si="1"/>
        <v>0.75</v>
      </c>
      <c r="J246" s="2"/>
      <c r="K246" s="2"/>
      <c r="L246" s="2"/>
      <c r="M246" s="2"/>
      <c r="N246" s="20"/>
      <c r="O246" s="2"/>
      <c r="P246" s="2"/>
    </row>
    <row r="247" spans="1:16" ht="14.25" customHeight="1" x14ac:dyDescent="0.35">
      <c r="A247" s="2"/>
      <c r="B247" s="109"/>
      <c r="C247" s="129"/>
      <c r="D247" s="92" t="s">
        <v>67</v>
      </c>
      <c r="E247" s="5">
        <v>0</v>
      </c>
      <c r="F247" s="5">
        <v>0</v>
      </c>
      <c r="G247" s="5">
        <v>0</v>
      </c>
      <c r="H247" s="5">
        <v>0</v>
      </c>
      <c r="I247" s="2">
        <f t="shared" si="1"/>
        <v>0</v>
      </c>
      <c r="J247" s="2"/>
      <c r="K247" s="2"/>
      <c r="L247" s="2"/>
      <c r="M247" s="2"/>
      <c r="N247" s="20"/>
      <c r="O247" s="2"/>
      <c r="P247" s="2"/>
    </row>
    <row r="248" spans="1:16" ht="14.25" customHeight="1" x14ac:dyDescent="0.35">
      <c r="A248" s="13">
        <v>44914</v>
      </c>
      <c r="B248" s="109">
        <f>B245+7</f>
        <v>564</v>
      </c>
      <c r="C248" s="129" t="str">
        <f>$C$125</f>
        <v>15% FBS R1</v>
      </c>
      <c r="D248" s="91" t="s">
        <v>65</v>
      </c>
      <c r="E248" s="5">
        <v>113</v>
      </c>
      <c r="F248" s="5">
        <v>111</v>
      </c>
      <c r="G248" s="5">
        <v>121</v>
      </c>
      <c r="H248" s="5">
        <v>143</v>
      </c>
      <c r="I248" s="2">
        <f t="shared" si="1"/>
        <v>122</v>
      </c>
      <c r="J248" s="2">
        <f>I248*2*10000</f>
        <v>2440000</v>
      </c>
      <c r="K248" s="2">
        <f>$K$125</f>
        <v>3000000</v>
      </c>
      <c r="L248" s="2">
        <f>J248*5</f>
        <v>12200000</v>
      </c>
      <c r="M248" s="3">
        <f>I248/(I248+I249)*100</f>
        <v>97.6</v>
      </c>
      <c r="N248" s="22">
        <f>I250/I248*100</f>
        <v>0</v>
      </c>
      <c r="O248" s="4">
        <f>3.32*(LOG(L248)-LOG(K248))</f>
        <v>2.0226720721708848</v>
      </c>
      <c r="P248" s="4">
        <f>IF(O248&lt;0,P245,P245+O248)</f>
        <v>127.42541172877721</v>
      </c>
    </row>
    <row r="249" spans="1:16" ht="14.25" customHeight="1" x14ac:dyDescent="0.35">
      <c r="A249" s="2"/>
      <c r="B249" s="109"/>
      <c r="C249" s="129"/>
      <c r="D249" s="92" t="s">
        <v>66</v>
      </c>
      <c r="E249" s="5">
        <v>2</v>
      </c>
      <c r="F249" s="5">
        <v>2</v>
      </c>
      <c r="G249" s="5">
        <v>6</v>
      </c>
      <c r="H249" s="5">
        <v>2</v>
      </c>
      <c r="I249" s="2">
        <f t="shared" si="1"/>
        <v>3</v>
      </c>
      <c r="J249" s="2"/>
      <c r="K249" s="2"/>
      <c r="L249" s="2"/>
      <c r="M249" s="2"/>
      <c r="N249" s="20"/>
      <c r="O249" s="2"/>
      <c r="P249" s="2"/>
    </row>
    <row r="250" spans="1:16" ht="14.25" customHeight="1" x14ac:dyDescent="0.35">
      <c r="A250" s="2"/>
      <c r="B250" s="109"/>
      <c r="C250" s="129"/>
      <c r="D250" s="92" t="s">
        <v>67</v>
      </c>
      <c r="E250" s="5">
        <v>0</v>
      </c>
      <c r="F250" s="5">
        <v>0</v>
      </c>
      <c r="G250" s="5">
        <v>0</v>
      </c>
      <c r="H250" s="5">
        <v>0</v>
      </c>
      <c r="I250" s="2">
        <f t="shared" si="1"/>
        <v>0</v>
      </c>
      <c r="J250" s="2"/>
      <c r="K250" s="2"/>
      <c r="L250" s="2"/>
      <c r="M250" s="2"/>
      <c r="N250" s="20"/>
      <c r="O250" s="2"/>
      <c r="P250" s="2"/>
    </row>
    <row r="251" spans="1:16" ht="14.25" customHeight="1" x14ac:dyDescent="0.35">
      <c r="A251" s="13">
        <v>44922</v>
      </c>
      <c r="B251" s="109">
        <f>B248+8</f>
        <v>572</v>
      </c>
      <c r="C251" s="129" t="str">
        <f>$C$125</f>
        <v>15% FBS R1</v>
      </c>
      <c r="D251" s="91" t="s">
        <v>65</v>
      </c>
      <c r="E251" s="5">
        <v>56</v>
      </c>
      <c r="F251" s="5">
        <v>57</v>
      </c>
      <c r="G251" s="5">
        <v>62</v>
      </c>
      <c r="H251" s="5">
        <v>62</v>
      </c>
      <c r="I251" s="2">
        <f t="shared" si="1"/>
        <v>59.25</v>
      </c>
      <c r="J251" s="2">
        <f>I251*2*10000</f>
        <v>1185000</v>
      </c>
      <c r="K251" s="2">
        <f>$K$125</f>
        <v>3000000</v>
      </c>
      <c r="L251" s="2">
        <f>J251*5</f>
        <v>5925000</v>
      </c>
      <c r="M251" s="3">
        <f>I251/(I251+I252)*100</f>
        <v>94.422310756972109</v>
      </c>
      <c r="N251" s="22">
        <f>I253/I251*100</f>
        <v>0</v>
      </c>
      <c r="O251" s="4">
        <f>3.32*(LOG(L251)-LOG(K251))</f>
        <v>0.98128277187542834</v>
      </c>
      <c r="P251" s="4">
        <f>IF(O251&lt;0,P248,P248+O251)</f>
        <v>128.40669450065263</v>
      </c>
    </row>
    <row r="252" spans="1:16" ht="14.25" customHeight="1" x14ac:dyDescent="0.35">
      <c r="A252" s="2"/>
      <c r="B252" s="109"/>
      <c r="C252" s="129"/>
      <c r="D252" s="92" t="s">
        <v>66</v>
      </c>
      <c r="E252" s="5">
        <v>5</v>
      </c>
      <c r="F252" s="5">
        <v>3</v>
      </c>
      <c r="G252" s="5">
        <v>3</v>
      </c>
      <c r="H252" s="5">
        <v>3</v>
      </c>
      <c r="I252" s="2">
        <f t="shared" si="1"/>
        <v>3.5</v>
      </c>
      <c r="J252" s="2"/>
      <c r="K252" s="2"/>
      <c r="L252" s="2"/>
      <c r="M252" s="2"/>
      <c r="N252" s="20"/>
      <c r="O252" s="2"/>
      <c r="P252" s="2"/>
    </row>
    <row r="253" spans="1:16" ht="14.25" customHeight="1" x14ac:dyDescent="0.35">
      <c r="A253" s="2"/>
      <c r="B253" s="109"/>
      <c r="C253" s="129"/>
      <c r="D253" s="92" t="s">
        <v>67</v>
      </c>
      <c r="E253" s="5">
        <v>0</v>
      </c>
      <c r="F253" s="5">
        <v>0</v>
      </c>
      <c r="G253" s="5">
        <v>0</v>
      </c>
      <c r="H253" s="5">
        <v>0</v>
      </c>
      <c r="I253" s="2">
        <f t="shared" si="1"/>
        <v>0</v>
      </c>
      <c r="J253" s="2"/>
      <c r="K253" s="2"/>
      <c r="L253" s="2"/>
      <c r="M253" s="2"/>
      <c r="N253" s="20"/>
      <c r="O253" s="2"/>
      <c r="P253" s="2"/>
    </row>
    <row r="254" spans="1:16" ht="14.25" customHeight="1" x14ac:dyDescent="0.35">
      <c r="A254" s="13">
        <v>44929</v>
      </c>
      <c r="B254" s="109">
        <f>B251+6</f>
        <v>578</v>
      </c>
      <c r="C254" s="129" t="str">
        <f>$C$125</f>
        <v>15% FBS R1</v>
      </c>
      <c r="D254" s="91" t="s">
        <v>65</v>
      </c>
      <c r="E254" s="5">
        <f>108*8</f>
        <v>864</v>
      </c>
      <c r="F254" s="5">
        <f>76*4</f>
        <v>304</v>
      </c>
      <c r="G254" s="5">
        <f>101*4</f>
        <v>404</v>
      </c>
      <c r="H254" s="5">
        <f>93*4</f>
        <v>372</v>
      </c>
      <c r="I254" s="2">
        <f t="shared" si="1"/>
        <v>486</v>
      </c>
      <c r="J254" s="2">
        <f>I254*2*10000</f>
        <v>9720000</v>
      </c>
      <c r="K254" s="2">
        <f>$K$125</f>
        <v>3000000</v>
      </c>
      <c r="L254" s="2">
        <f>J254*5</f>
        <v>48600000</v>
      </c>
      <c r="M254" s="3">
        <f>I254/(I254+I255)*100</f>
        <v>95.857988165680467</v>
      </c>
      <c r="N254" s="22">
        <f>I256/I254*100</f>
        <v>0</v>
      </c>
      <c r="O254" s="4">
        <f>3.32*(LOG(L254)-LOG(K254))</f>
        <v>4.0155898482815342</v>
      </c>
      <c r="P254" s="4">
        <f>IF(O254&lt;0,P251,P251+O254)</f>
        <v>132.42228434893417</v>
      </c>
    </row>
    <row r="255" spans="1:16" ht="14.25" customHeight="1" x14ac:dyDescent="0.35">
      <c r="A255" s="2"/>
      <c r="B255" s="109"/>
      <c r="C255" s="129"/>
      <c r="D255" s="92" t="s">
        <v>66</v>
      </c>
      <c r="E255" s="5">
        <f t="shared" ref="E255:F255" si="2">4*4</f>
        <v>16</v>
      </c>
      <c r="F255" s="5">
        <f t="shared" si="2"/>
        <v>16</v>
      </c>
      <c r="G255" s="5">
        <f>7*4</f>
        <v>28</v>
      </c>
      <c r="H255" s="5">
        <f>6*4</f>
        <v>24</v>
      </c>
      <c r="I255" s="2">
        <f t="shared" si="1"/>
        <v>21</v>
      </c>
      <c r="J255" s="2"/>
      <c r="K255" s="2"/>
      <c r="L255" s="2"/>
      <c r="M255" s="2"/>
      <c r="N255" s="20"/>
      <c r="O255" s="2"/>
      <c r="P255" s="2"/>
    </row>
    <row r="256" spans="1:16" ht="14.25" customHeight="1" x14ac:dyDescent="0.35">
      <c r="A256" s="2"/>
      <c r="B256" s="109"/>
      <c r="C256" s="129"/>
      <c r="D256" s="92" t="s">
        <v>67</v>
      </c>
      <c r="E256" s="5">
        <v>0</v>
      </c>
      <c r="F256" s="5">
        <v>0</v>
      </c>
      <c r="G256" s="5">
        <v>0</v>
      </c>
      <c r="H256" s="5">
        <v>0</v>
      </c>
      <c r="I256" s="2">
        <f t="shared" si="1"/>
        <v>0</v>
      </c>
      <c r="J256" s="2"/>
      <c r="K256" s="2"/>
      <c r="L256" s="2"/>
      <c r="M256" s="2"/>
      <c r="N256" s="20"/>
      <c r="O256" s="2"/>
      <c r="P256" s="2"/>
    </row>
    <row r="257" spans="1:16" ht="14.25" customHeight="1" x14ac:dyDescent="0.35">
      <c r="A257" s="13">
        <f t="shared" ref="A257:B257" si="3">A254+6</f>
        <v>44935</v>
      </c>
      <c r="B257" s="109">
        <f t="shared" si="3"/>
        <v>584</v>
      </c>
      <c r="C257" s="129" t="str">
        <f>$C$125</f>
        <v>15% FBS R1</v>
      </c>
      <c r="D257" s="91" t="s">
        <v>65</v>
      </c>
      <c r="E257" s="5">
        <f>88*4</f>
        <v>352</v>
      </c>
      <c r="F257" s="5">
        <f>65*4</f>
        <v>260</v>
      </c>
      <c r="G257" s="5">
        <f>64*4</f>
        <v>256</v>
      </c>
      <c r="H257" s="5">
        <f>70*4</f>
        <v>280</v>
      </c>
      <c r="I257" s="2">
        <f t="shared" si="1"/>
        <v>287</v>
      </c>
      <c r="J257" s="2">
        <f>I257*2*10000</f>
        <v>5740000</v>
      </c>
      <c r="K257" s="2">
        <f>$K$125</f>
        <v>3000000</v>
      </c>
      <c r="L257" s="2">
        <f>J257*5</f>
        <v>28700000</v>
      </c>
      <c r="M257" s="3">
        <f>I257/(I257+I258)*100</f>
        <v>92.880258899676377</v>
      </c>
      <c r="N257" s="22">
        <f>I259/I257*100</f>
        <v>0</v>
      </c>
      <c r="O257" s="4">
        <f>3.32*(LOG(L257)-LOG(K257))</f>
        <v>3.2561253314875747</v>
      </c>
      <c r="P257" s="4">
        <f>IF(O257&lt;0,P254,P254+O257)</f>
        <v>135.67840968042174</v>
      </c>
    </row>
    <row r="258" spans="1:16" ht="14.25" customHeight="1" x14ac:dyDescent="0.35">
      <c r="A258" s="2"/>
      <c r="B258" s="109"/>
      <c r="C258" s="129"/>
      <c r="D258" s="92" t="s">
        <v>66</v>
      </c>
      <c r="E258" s="5">
        <f>6*4</f>
        <v>24</v>
      </c>
      <c r="F258" s="5">
        <f>5*4</f>
        <v>20</v>
      </c>
      <c r="G258" s="5">
        <f>6*4</f>
        <v>24</v>
      </c>
      <c r="H258" s="5">
        <f>5*4</f>
        <v>20</v>
      </c>
      <c r="I258" s="2">
        <f t="shared" si="1"/>
        <v>22</v>
      </c>
      <c r="J258" s="2"/>
      <c r="K258" s="2"/>
      <c r="L258" s="2"/>
      <c r="M258" s="2"/>
      <c r="N258" s="20"/>
      <c r="O258" s="2"/>
      <c r="P258" s="2"/>
    </row>
    <row r="259" spans="1:16" ht="14.25" customHeight="1" x14ac:dyDescent="0.35">
      <c r="A259" s="2"/>
      <c r="B259" s="109"/>
      <c r="C259" s="129"/>
      <c r="D259" s="92" t="s">
        <v>67</v>
      </c>
      <c r="E259" s="5">
        <v>0</v>
      </c>
      <c r="F259" s="5">
        <v>0</v>
      </c>
      <c r="G259" s="5">
        <v>0</v>
      </c>
      <c r="H259" s="5">
        <v>0</v>
      </c>
      <c r="I259" s="2">
        <f t="shared" si="1"/>
        <v>0</v>
      </c>
      <c r="J259" s="2"/>
      <c r="K259" s="2"/>
      <c r="L259" s="2"/>
      <c r="M259" s="2"/>
      <c r="N259" s="20"/>
      <c r="O259" s="2"/>
      <c r="P259" s="2"/>
    </row>
    <row r="260" spans="1:16" ht="14.25" customHeight="1" x14ac:dyDescent="0.35">
      <c r="A260" s="13">
        <f t="shared" ref="A260:B260" si="4">A257+3</f>
        <v>44938</v>
      </c>
      <c r="B260" s="109">
        <f t="shared" si="4"/>
        <v>587</v>
      </c>
      <c r="C260" s="129" t="str">
        <f>$C$125</f>
        <v>15% FBS R1</v>
      </c>
      <c r="D260" s="91" t="s">
        <v>65</v>
      </c>
      <c r="E260" s="5">
        <v>216</v>
      </c>
      <c r="F260" s="5">
        <v>234</v>
      </c>
      <c r="G260" s="5">
        <v>257</v>
      </c>
      <c r="H260" s="5">
        <v>235</v>
      </c>
      <c r="I260" s="2">
        <f t="shared" si="1"/>
        <v>235.5</v>
      </c>
      <c r="J260" s="2">
        <f>I260*2*10000</f>
        <v>4710000</v>
      </c>
      <c r="K260" s="2">
        <f>$K$125</f>
        <v>3000000</v>
      </c>
      <c r="L260" s="2">
        <f>J260*5</f>
        <v>23550000</v>
      </c>
      <c r="M260" s="3">
        <f>I260/(I260+I261)*100</f>
        <v>93.824701195219134</v>
      </c>
      <c r="N260" s="22">
        <f>I262/I260*100</f>
        <v>0</v>
      </c>
      <c r="O260" s="4">
        <f>3.32*(LOG(L260)-LOG(K260))</f>
        <v>2.970967260394239</v>
      </c>
      <c r="P260" s="4">
        <f>IF(O260&lt;0,P257,P257+O260)</f>
        <v>138.64937694081598</v>
      </c>
    </row>
    <row r="261" spans="1:16" ht="14.25" customHeight="1" x14ac:dyDescent="0.35">
      <c r="A261" s="2"/>
      <c r="B261" s="109"/>
      <c r="C261" s="129"/>
      <c r="D261" s="92" t="s">
        <v>66</v>
      </c>
      <c r="E261" s="5">
        <v>15</v>
      </c>
      <c r="F261" s="5">
        <v>14</v>
      </c>
      <c r="G261" s="5">
        <v>20</v>
      </c>
      <c r="H261" s="5">
        <v>13</v>
      </c>
      <c r="I261" s="2">
        <f t="shared" si="1"/>
        <v>15.5</v>
      </c>
      <c r="J261" s="2"/>
      <c r="K261" s="2"/>
      <c r="L261" s="2"/>
      <c r="M261" s="2"/>
      <c r="N261" s="20"/>
      <c r="O261" s="2"/>
      <c r="P261" s="2"/>
    </row>
    <row r="262" spans="1:16" ht="14.25" customHeight="1" x14ac:dyDescent="0.35">
      <c r="A262" s="2"/>
      <c r="B262" s="109"/>
      <c r="C262" s="129"/>
      <c r="D262" s="92" t="s">
        <v>67</v>
      </c>
      <c r="E262" s="5">
        <v>0</v>
      </c>
      <c r="F262" s="5">
        <v>0</v>
      </c>
      <c r="G262" s="5">
        <v>0</v>
      </c>
      <c r="H262" s="5">
        <v>0</v>
      </c>
      <c r="I262" s="2">
        <f t="shared" si="1"/>
        <v>0</v>
      </c>
      <c r="J262" s="2"/>
      <c r="K262" s="2"/>
      <c r="L262" s="2"/>
      <c r="M262" s="2"/>
      <c r="N262" s="20"/>
      <c r="O262" s="2"/>
      <c r="P262" s="2"/>
    </row>
    <row r="263" spans="1:16" ht="14.25" customHeight="1" x14ac:dyDescent="0.35">
      <c r="A263" s="13">
        <f t="shared" ref="A263:B263" si="5">A260+5</f>
        <v>44943</v>
      </c>
      <c r="B263" s="109">
        <f t="shared" si="5"/>
        <v>592</v>
      </c>
      <c r="C263" s="129" t="str">
        <f>$C$125</f>
        <v>15% FBS R1</v>
      </c>
      <c r="D263" s="91" t="s">
        <v>65</v>
      </c>
      <c r="E263" s="5">
        <f>200*4</f>
        <v>800</v>
      </c>
      <c r="F263" s="5">
        <f>188*4</f>
        <v>752</v>
      </c>
      <c r="G263" s="5">
        <f>195*4</f>
        <v>780</v>
      </c>
      <c r="H263" s="5">
        <f>188*4</f>
        <v>752</v>
      </c>
      <c r="I263" s="2">
        <f t="shared" si="1"/>
        <v>771</v>
      </c>
      <c r="J263" s="2">
        <f>I263*2*10000</f>
        <v>15420000</v>
      </c>
      <c r="K263" s="2">
        <f>$K$125</f>
        <v>3000000</v>
      </c>
      <c r="L263" s="2">
        <f>J263*5</f>
        <v>77100000</v>
      </c>
      <c r="M263" s="3">
        <f>I263/(I263+I264)*100</f>
        <v>96.375</v>
      </c>
      <c r="N263" s="22">
        <f>I265/I263*100</f>
        <v>0</v>
      </c>
      <c r="O263" s="4">
        <f>3.32*(LOG(L263)-LOG(K263))</f>
        <v>4.6809779694598967</v>
      </c>
      <c r="P263" s="4">
        <f>IF(O263&lt;0,P260,P260+O263)</f>
        <v>143.33035491027587</v>
      </c>
    </row>
    <row r="264" spans="1:16" ht="14.25" customHeight="1" x14ac:dyDescent="0.35">
      <c r="A264" s="2"/>
      <c r="B264" s="109"/>
      <c r="C264" s="129"/>
      <c r="D264" s="92" t="s">
        <v>66</v>
      </c>
      <c r="E264" s="5">
        <f>2*4</f>
        <v>8</v>
      </c>
      <c r="F264" s="5">
        <f>7*4</f>
        <v>28</v>
      </c>
      <c r="G264" s="5">
        <f>40</f>
        <v>40</v>
      </c>
      <c r="H264" s="5">
        <v>40</v>
      </c>
      <c r="I264" s="2">
        <f t="shared" si="1"/>
        <v>29</v>
      </c>
      <c r="J264" s="2"/>
      <c r="K264" s="2"/>
      <c r="L264" s="2"/>
      <c r="M264" s="2"/>
      <c r="N264" s="20"/>
      <c r="O264" s="2"/>
      <c r="P264" s="2"/>
    </row>
    <row r="265" spans="1:16" ht="14.25" customHeight="1" x14ac:dyDescent="0.35">
      <c r="A265" s="2"/>
      <c r="B265" s="109"/>
      <c r="C265" s="129"/>
      <c r="D265" s="92" t="s">
        <v>67</v>
      </c>
      <c r="E265" s="5">
        <v>0</v>
      </c>
      <c r="F265" s="5">
        <v>0</v>
      </c>
      <c r="G265" s="5">
        <v>0</v>
      </c>
      <c r="H265" s="5">
        <v>0</v>
      </c>
      <c r="I265" s="2">
        <f t="shared" si="1"/>
        <v>0</v>
      </c>
      <c r="J265" s="2"/>
      <c r="K265" s="2"/>
      <c r="L265" s="2"/>
      <c r="M265" s="2"/>
      <c r="N265" s="20"/>
      <c r="O265" s="2"/>
      <c r="P265" s="2"/>
    </row>
    <row r="266" spans="1:16" ht="14.25" customHeight="1" x14ac:dyDescent="0.35">
      <c r="A266" s="13">
        <f t="shared" ref="A266:B266" si="6">A263+6</f>
        <v>44949</v>
      </c>
      <c r="B266" s="109">
        <f t="shared" si="6"/>
        <v>598</v>
      </c>
      <c r="C266" s="129" t="str">
        <f>$C$125</f>
        <v>15% FBS R1</v>
      </c>
      <c r="D266" s="91" t="s">
        <v>65</v>
      </c>
      <c r="E266" s="5">
        <v>190</v>
      </c>
      <c r="F266" s="5">
        <v>143</v>
      </c>
      <c r="G266" s="5">
        <v>138</v>
      </c>
      <c r="H266" s="5">
        <v>130</v>
      </c>
      <c r="I266" s="2">
        <f t="shared" si="1"/>
        <v>150.25</v>
      </c>
      <c r="J266" s="2">
        <f>I266*2*10000</f>
        <v>3005000</v>
      </c>
      <c r="K266" s="2">
        <f>$K$125</f>
        <v>3000000</v>
      </c>
      <c r="L266" s="2">
        <f>J266*5</f>
        <v>15025000</v>
      </c>
      <c r="M266" s="3">
        <f>I266/(I266+I267)*100</f>
        <v>88.774002954209749</v>
      </c>
      <c r="N266" s="22">
        <f>I268/I266*100</f>
        <v>0</v>
      </c>
      <c r="O266" s="4">
        <f>3.32*(LOG(L266)-LOG(K266))</f>
        <v>2.3229815101709814</v>
      </c>
      <c r="P266" s="4">
        <f>IF(O266&lt;0,P263,P263+O266)</f>
        <v>145.65333642044686</v>
      </c>
    </row>
    <row r="267" spans="1:16" ht="14.25" customHeight="1" x14ac:dyDescent="0.35">
      <c r="A267" s="2"/>
      <c r="B267" s="109"/>
      <c r="C267" s="129"/>
      <c r="D267" s="92" t="s">
        <v>66</v>
      </c>
      <c r="E267" s="5">
        <v>15</v>
      </c>
      <c r="F267" s="5">
        <v>22</v>
      </c>
      <c r="G267" s="5">
        <v>20</v>
      </c>
      <c r="H267" s="5">
        <v>19</v>
      </c>
      <c r="I267" s="2">
        <f t="shared" si="1"/>
        <v>19</v>
      </c>
      <c r="J267" s="2"/>
      <c r="K267" s="2"/>
      <c r="L267" s="2"/>
      <c r="M267" s="2"/>
      <c r="N267" s="20"/>
      <c r="O267" s="2"/>
      <c r="P267" s="2"/>
    </row>
    <row r="268" spans="1:16" ht="14.25" customHeight="1" x14ac:dyDescent="0.35">
      <c r="A268" s="2"/>
      <c r="B268" s="109"/>
      <c r="C268" s="129"/>
      <c r="D268" s="92" t="s">
        <v>67</v>
      </c>
      <c r="E268" s="5">
        <v>0</v>
      </c>
      <c r="F268" s="5">
        <v>0</v>
      </c>
      <c r="G268" s="5">
        <v>0</v>
      </c>
      <c r="H268" s="5">
        <v>0</v>
      </c>
      <c r="I268" s="2">
        <f t="shared" si="1"/>
        <v>0</v>
      </c>
      <c r="J268" s="2"/>
      <c r="K268" s="2"/>
      <c r="L268" s="2"/>
      <c r="M268" s="2"/>
      <c r="N268" s="20"/>
      <c r="O268" s="2"/>
      <c r="P268" s="2"/>
    </row>
    <row r="269" spans="1:16" ht="14.25" customHeight="1" x14ac:dyDescent="0.35">
      <c r="A269" s="13">
        <f t="shared" ref="A269:B269" si="7">A266+8</f>
        <v>44957</v>
      </c>
      <c r="B269" s="109">
        <f t="shared" si="7"/>
        <v>606</v>
      </c>
      <c r="C269" s="129" t="str">
        <f>$C$125</f>
        <v>15% FBS R1</v>
      </c>
      <c r="D269" s="91" t="s">
        <v>65</v>
      </c>
      <c r="E269" s="5">
        <f>70*4</f>
        <v>280</v>
      </c>
      <c r="F269" s="5">
        <f>60*4</f>
        <v>240</v>
      </c>
      <c r="G269" s="5">
        <f>59*4</f>
        <v>236</v>
      </c>
      <c r="H269" s="5">
        <f>70*4</f>
        <v>280</v>
      </c>
      <c r="I269" s="2">
        <f t="shared" si="1"/>
        <v>259</v>
      </c>
      <c r="J269" s="2">
        <f>I269*2*10000</f>
        <v>5180000</v>
      </c>
      <c r="K269" s="2">
        <f>$K$125</f>
        <v>3000000</v>
      </c>
      <c r="L269" s="2">
        <f>J269*5</f>
        <v>25900000</v>
      </c>
      <c r="M269" s="3">
        <f>I269/(I269+I270)*100</f>
        <v>91.197183098591552</v>
      </c>
      <c r="N269" s="22">
        <f>I271/I269*100</f>
        <v>0</v>
      </c>
      <c r="O269" s="4">
        <f>3.32*(LOG(L269)-LOG(K269))</f>
        <v>3.1081126510804764</v>
      </c>
      <c r="P269" s="4">
        <f>IF(O269&lt;0,P266,P266+O269)</f>
        <v>148.76144907152735</v>
      </c>
    </row>
    <row r="270" spans="1:16" ht="14.25" customHeight="1" x14ac:dyDescent="0.35">
      <c r="A270" s="2"/>
      <c r="B270" s="109"/>
      <c r="C270" s="129"/>
      <c r="D270" s="92" t="s">
        <v>66</v>
      </c>
      <c r="E270" s="5">
        <f>6*4</f>
        <v>24</v>
      </c>
      <c r="F270" s="5">
        <f>4*4</f>
        <v>16</v>
      </c>
      <c r="G270" s="5">
        <f>6*4</f>
        <v>24</v>
      </c>
      <c r="H270" s="5">
        <f>9*4</f>
        <v>36</v>
      </c>
      <c r="I270" s="2">
        <f t="shared" si="1"/>
        <v>25</v>
      </c>
      <c r="J270" s="2"/>
      <c r="K270" s="2"/>
      <c r="L270" s="2"/>
      <c r="M270" s="2"/>
      <c r="N270" s="20"/>
      <c r="O270" s="2"/>
      <c r="P270" s="2"/>
    </row>
    <row r="271" spans="1:16" ht="14.25" customHeight="1" x14ac:dyDescent="0.35">
      <c r="A271" s="2"/>
      <c r="B271" s="109"/>
      <c r="C271" s="129"/>
      <c r="D271" s="92" t="s">
        <v>67</v>
      </c>
      <c r="E271" s="5">
        <v>0</v>
      </c>
      <c r="F271" s="5">
        <v>0</v>
      </c>
      <c r="G271" s="5">
        <v>0</v>
      </c>
      <c r="H271" s="5">
        <v>0</v>
      </c>
      <c r="I271" s="2">
        <f t="shared" si="1"/>
        <v>0</v>
      </c>
      <c r="J271" s="2"/>
      <c r="K271" s="2"/>
      <c r="L271" s="2"/>
      <c r="M271" s="2"/>
      <c r="N271" s="20"/>
      <c r="O271" s="2"/>
      <c r="P271" s="2"/>
    </row>
    <row r="272" spans="1:16" ht="14.25" customHeight="1" x14ac:dyDescent="0.35">
      <c r="A272" s="13">
        <f t="shared" ref="A272:B272" si="8">A269+6</f>
        <v>44963</v>
      </c>
      <c r="B272" s="109">
        <f t="shared" si="8"/>
        <v>612</v>
      </c>
      <c r="C272" s="129" t="str">
        <f>$C$125</f>
        <v>15% FBS R1</v>
      </c>
      <c r="D272" s="91" t="s">
        <v>65</v>
      </c>
      <c r="E272" s="5">
        <v>94</v>
      </c>
      <c r="F272" s="5">
        <v>153</v>
      </c>
      <c r="G272" s="5">
        <v>118</v>
      </c>
      <c r="H272" s="5">
        <v>109</v>
      </c>
      <c r="I272" s="2">
        <f t="shared" si="1"/>
        <v>118.5</v>
      </c>
      <c r="J272" s="2">
        <f>I272*2*10000</f>
        <v>2370000</v>
      </c>
      <c r="K272" s="2">
        <f>$K$125</f>
        <v>3000000</v>
      </c>
      <c r="L272" s="2">
        <f>J272*5</f>
        <v>11850000</v>
      </c>
      <c r="M272" s="3">
        <f>I272/(I272+I273)*100</f>
        <v>94.047619047619051</v>
      </c>
      <c r="N272" s="22">
        <f>I274/I272*100</f>
        <v>0</v>
      </c>
      <c r="O272" s="4">
        <f>3.32*(LOG(L272)-LOG(K272))</f>
        <v>1.9807023574798461</v>
      </c>
      <c r="P272" s="4">
        <f>IF(O272&lt;0,P269,P269+O272)</f>
        <v>150.74215142900721</v>
      </c>
    </row>
    <row r="273" spans="1:16" ht="14.25" customHeight="1" x14ac:dyDescent="0.35">
      <c r="A273" s="2"/>
      <c r="B273" s="109"/>
      <c r="C273" s="129"/>
      <c r="D273" s="92" t="s">
        <v>66</v>
      </c>
      <c r="E273" s="5">
        <v>6</v>
      </c>
      <c r="F273" s="5">
        <v>10</v>
      </c>
      <c r="G273" s="5">
        <v>7</v>
      </c>
      <c r="H273" s="5">
        <v>7</v>
      </c>
      <c r="I273" s="2">
        <f t="shared" si="1"/>
        <v>7.5</v>
      </c>
      <c r="J273" s="2"/>
      <c r="K273" s="2"/>
      <c r="L273" s="2"/>
      <c r="M273" s="2"/>
      <c r="N273" s="20"/>
      <c r="O273" s="2"/>
      <c r="P273" s="2"/>
    </row>
    <row r="274" spans="1:16" ht="14.25" customHeight="1" x14ac:dyDescent="0.35">
      <c r="A274" s="2"/>
      <c r="B274" s="109"/>
      <c r="C274" s="129"/>
      <c r="D274" s="92" t="s">
        <v>67</v>
      </c>
      <c r="E274" s="5">
        <v>0</v>
      </c>
      <c r="F274" s="5">
        <v>0</v>
      </c>
      <c r="G274" s="5">
        <v>0</v>
      </c>
      <c r="H274" s="5">
        <v>0</v>
      </c>
      <c r="I274" s="2">
        <f t="shared" si="1"/>
        <v>0</v>
      </c>
      <c r="J274" s="2"/>
      <c r="K274" s="2"/>
      <c r="L274" s="2"/>
      <c r="M274" s="2"/>
      <c r="N274" s="20"/>
      <c r="O274" s="2"/>
      <c r="P274" s="2"/>
    </row>
    <row r="275" spans="1:16" ht="14.25" customHeight="1" x14ac:dyDescent="0.35">
      <c r="A275" s="13">
        <f t="shared" ref="A275:B275" si="9">A272+7</f>
        <v>44970</v>
      </c>
      <c r="B275" s="109">
        <f t="shared" si="9"/>
        <v>619</v>
      </c>
      <c r="C275" s="130" t="str">
        <f>$C$125</f>
        <v>15% FBS R1</v>
      </c>
      <c r="D275" s="91" t="s">
        <v>65</v>
      </c>
      <c r="E275" s="9">
        <v>98</v>
      </c>
      <c r="F275" s="9">
        <v>94</v>
      </c>
      <c r="G275" s="9">
        <v>119</v>
      </c>
      <c r="H275" s="9">
        <v>87</v>
      </c>
      <c r="I275" s="18">
        <f t="shared" si="1"/>
        <v>99.5</v>
      </c>
      <c r="J275" s="2">
        <f>I275*2*10000</f>
        <v>1990000</v>
      </c>
      <c r="K275" s="2">
        <f>$K$125</f>
        <v>3000000</v>
      </c>
      <c r="L275" s="2">
        <f>J275*5</f>
        <v>9950000</v>
      </c>
      <c r="M275" s="3">
        <f>I275/(I275+I276)*100</f>
        <v>95.44364508393285</v>
      </c>
      <c r="N275" s="22">
        <f>I277/I275*100</f>
        <v>0</v>
      </c>
      <c r="O275" s="4">
        <f>3.32*(LOG(L275)-LOG(K275))</f>
        <v>1.7287300624065274</v>
      </c>
      <c r="P275" s="4">
        <f>IF(O275&lt;0,P272,P272+O275)</f>
        <v>152.47088149141373</v>
      </c>
    </row>
    <row r="276" spans="1:16" ht="14.25" customHeight="1" x14ac:dyDescent="0.35">
      <c r="A276" s="2"/>
      <c r="B276" s="132"/>
      <c r="C276" s="101"/>
      <c r="D276" s="92" t="s">
        <v>66</v>
      </c>
      <c r="E276" s="21">
        <v>2</v>
      </c>
      <c r="F276" s="21">
        <v>7</v>
      </c>
      <c r="G276" s="21">
        <v>6</v>
      </c>
      <c r="H276" s="21">
        <v>4</v>
      </c>
      <c r="I276" s="20">
        <f t="shared" si="1"/>
        <v>4.75</v>
      </c>
      <c r="J276" s="17"/>
      <c r="K276" s="2"/>
      <c r="L276" s="2"/>
      <c r="M276" s="2"/>
      <c r="N276" s="20"/>
      <c r="O276" s="2"/>
      <c r="P276" s="2"/>
    </row>
    <row r="277" spans="1:16" ht="14.25" customHeight="1" x14ac:dyDescent="0.35">
      <c r="A277" s="2"/>
      <c r="B277" s="132"/>
      <c r="C277" s="101"/>
      <c r="D277" s="92" t="s">
        <v>67</v>
      </c>
      <c r="E277" s="21">
        <v>0</v>
      </c>
      <c r="F277" s="21">
        <v>0</v>
      </c>
      <c r="G277" s="21">
        <v>0</v>
      </c>
      <c r="H277" s="21">
        <v>0</v>
      </c>
      <c r="I277" s="20">
        <f t="shared" si="1"/>
        <v>0</v>
      </c>
      <c r="J277" s="17"/>
      <c r="K277" s="2"/>
      <c r="L277" s="2"/>
      <c r="M277" s="2"/>
      <c r="N277" s="20"/>
      <c r="O277" s="2"/>
      <c r="P277" s="2"/>
    </row>
    <row r="278" spans="1:16" ht="14.25" customHeight="1" x14ac:dyDescent="0.35">
      <c r="A278" s="13">
        <f t="shared" ref="A278:B278" si="10">A275+7</f>
        <v>44977</v>
      </c>
      <c r="B278" s="132">
        <f t="shared" si="10"/>
        <v>626</v>
      </c>
      <c r="C278" s="101" t="str">
        <f>$C$125</f>
        <v>15% FBS R1</v>
      </c>
      <c r="D278" s="91" t="s">
        <v>65</v>
      </c>
      <c r="E278" s="21">
        <v>204</v>
      </c>
      <c r="F278" s="21">
        <v>188</v>
      </c>
      <c r="G278" s="21">
        <v>192</v>
      </c>
      <c r="H278" s="21">
        <v>216</v>
      </c>
      <c r="I278" s="20">
        <f t="shared" si="1"/>
        <v>200</v>
      </c>
      <c r="J278" s="17">
        <f>I278*2*10000</f>
        <v>4000000</v>
      </c>
      <c r="K278" s="2">
        <f>$K$125</f>
        <v>3000000</v>
      </c>
      <c r="L278" s="2">
        <f>J278*5</f>
        <v>20000000</v>
      </c>
      <c r="M278" s="3">
        <f>I278/(I278+I279)*100</f>
        <v>98.159509202453989</v>
      </c>
      <c r="N278" s="22">
        <f>I280/I278*100</f>
        <v>0</v>
      </c>
      <c r="O278" s="4">
        <f>3.32*(LOG(L278)-LOG(K278))</f>
        <v>2.7353770199351377</v>
      </c>
      <c r="P278" s="4">
        <f>IF(O278&lt;0,P275,P275+O278)</f>
        <v>155.20625851134886</v>
      </c>
    </row>
    <row r="279" spans="1:16" ht="14.25" customHeight="1" x14ac:dyDescent="0.35">
      <c r="A279" s="2"/>
      <c r="B279" s="132"/>
      <c r="C279" s="101"/>
      <c r="D279" s="92" t="s">
        <v>66</v>
      </c>
      <c r="E279" s="21">
        <v>6</v>
      </c>
      <c r="F279" s="21">
        <v>3</v>
      </c>
      <c r="G279" s="21">
        <v>4</v>
      </c>
      <c r="H279" s="21">
        <v>2</v>
      </c>
      <c r="I279" s="20">
        <f t="shared" si="1"/>
        <v>3.75</v>
      </c>
      <c r="J279" s="17"/>
      <c r="K279" s="2"/>
      <c r="L279" s="2"/>
      <c r="M279" s="2"/>
      <c r="N279" s="20"/>
      <c r="O279" s="2"/>
      <c r="P279" s="2"/>
    </row>
    <row r="280" spans="1:16" ht="14.25" customHeight="1" x14ac:dyDescent="0.35">
      <c r="A280" s="2"/>
      <c r="B280" s="132"/>
      <c r="C280" s="101"/>
      <c r="D280" s="92" t="s">
        <v>67</v>
      </c>
      <c r="E280" s="21">
        <v>0</v>
      </c>
      <c r="F280" s="21">
        <v>0</v>
      </c>
      <c r="G280" s="21">
        <v>0</v>
      </c>
      <c r="H280" s="21">
        <v>0</v>
      </c>
      <c r="I280" s="20">
        <f t="shared" si="1"/>
        <v>0</v>
      </c>
      <c r="J280" s="17"/>
      <c r="K280" s="2"/>
      <c r="L280" s="2"/>
      <c r="M280" s="2"/>
      <c r="N280" s="20"/>
      <c r="O280" s="2"/>
      <c r="P280" s="2"/>
    </row>
    <row r="281" spans="1:16" ht="14.25" customHeight="1" x14ac:dyDescent="0.35">
      <c r="A281" s="13">
        <f t="shared" ref="A281:B281" si="11">A278+7</f>
        <v>44984</v>
      </c>
      <c r="B281" s="132">
        <f t="shared" si="11"/>
        <v>633</v>
      </c>
      <c r="C281" s="101" t="str">
        <f>$C$125</f>
        <v>15% FBS R1</v>
      </c>
      <c r="D281" s="91" t="s">
        <v>65</v>
      </c>
      <c r="E281" s="21">
        <v>101</v>
      </c>
      <c r="F281" s="21">
        <v>91</v>
      </c>
      <c r="G281" s="21">
        <v>113</v>
      </c>
      <c r="H281" s="21">
        <v>99</v>
      </c>
      <c r="I281" s="20">
        <f t="shared" si="1"/>
        <v>101</v>
      </c>
      <c r="J281" s="17">
        <f>I281*2*10000</f>
        <v>2020000</v>
      </c>
      <c r="K281" s="2">
        <f>$K$125</f>
        <v>3000000</v>
      </c>
      <c r="L281" s="2">
        <f>J281*5</f>
        <v>10100000</v>
      </c>
      <c r="M281" s="3">
        <f>I281/(I281+I282)*100</f>
        <v>97.820823244552059</v>
      </c>
      <c r="N281" s="22">
        <f>I283/I281*100</f>
        <v>0</v>
      </c>
      <c r="O281" s="4">
        <f>3.32*(LOG(L281)-LOG(K281))</f>
        <v>1.7503043952890922</v>
      </c>
      <c r="P281" s="4">
        <f>IF(O281&lt;0,P278,P278+O281)</f>
        <v>156.95656290663797</v>
      </c>
    </row>
    <row r="282" spans="1:16" ht="14.25" customHeight="1" x14ac:dyDescent="0.35">
      <c r="A282" s="2"/>
      <c r="B282" s="132"/>
      <c r="C282" s="101"/>
      <c r="D282" s="92" t="s">
        <v>66</v>
      </c>
      <c r="E282" s="21">
        <v>2</v>
      </c>
      <c r="F282" s="21">
        <v>4</v>
      </c>
      <c r="G282" s="21">
        <v>1</v>
      </c>
      <c r="H282" s="21">
        <v>2</v>
      </c>
      <c r="I282" s="20">
        <f t="shared" si="1"/>
        <v>2.25</v>
      </c>
      <c r="J282" s="17"/>
      <c r="K282" s="2"/>
      <c r="L282" s="2"/>
      <c r="M282" s="2"/>
      <c r="N282" s="20"/>
      <c r="O282" s="2"/>
      <c r="P282" s="2"/>
    </row>
    <row r="283" spans="1:16" ht="14.25" customHeight="1" x14ac:dyDescent="0.35">
      <c r="A283" s="2"/>
      <c r="B283" s="109"/>
      <c r="C283" s="128"/>
      <c r="D283" s="92" t="s">
        <v>67</v>
      </c>
      <c r="E283" s="26">
        <v>0</v>
      </c>
      <c r="F283" s="26">
        <v>0</v>
      </c>
      <c r="G283" s="26">
        <v>0</v>
      </c>
      <c r="H283" s="26">
        <v>0</v>
      </c>
      <c r="I283" s="25">
        <f t="shared" si="1"/>
        <v>0</v>
      </c>
      <c r="J283" s="2"/>
      <c r="K283" s="2"/>
      <c r="L283" s="2"/>
      <c r="M283" s="2"/>
      <c r="N283" s="20"/>
      <c r="O283" s="2"/>
      <c r="P283" s="2"/>
    </row>
    <row r="284" spans="1:16" ht="14.25" customHeight="1" x14ac:dyDescent="0.35">
      <c r="A284" s="13">
        <f>A281+7</f>
        <v>44991</v>
      </c>
      <c r="B284" s="109">
        <f t="shared" ref="B284" si="12">B281+7</f>
        <v>640</v>
      </c>
      <c r="C284" s="129" t="str">
        <f>$C$125</f>
        <v>15% FBS R1</v>
      </c>
      <c r="D284" s="91" t="s">
        <v>65</v>
      </c>
      <c r="E284" s="5">
        <v>428</v>
      </c>
      <c r="F284" s="5">
        <v>460</v>
      </c>
      <c r="G284" s="5">
        <v>392</v>
      </c>
      <c r="H284" s="5">
        <v>448</v>
      </c>
      <c r="I284" s="2">
        <f t="shared" si="1"/>
        <v>432</v>
      </c>
      <c r="J284" s="2">
        <f>I284*2*10000</f>
        <v>8640000</v>
      </c>
      <c r="K284" s="2">
        <f>$K$125</f>
        <v>3000000</v>
      </c>
      <c r="L284" s="2">
        <f>J284*5</f>
        <v>43200000</v>
      </c>
      <c r="M284" s="3">
        <f>I284/(I284+I285)*100</f>
        <v>99.884393063583815</v>
      </c>
      <c r="N284" s="22">
        <f>I286/I284*100</f>
        <v>0</v>
      </c>
      <c r="O284" s="4">
        <f>3.32*(LOG(L284)-LOG(K284))</f>
        <v>3.8457634737562274</v>
      </c>
      <c r="P284" s="4">
        <f>IF(O284&lt;0,P281,P281+O284)</f>
        <v>160.80232638039419</v>
      </c>
    </row>
    <row r="285" spans="1:16" ht="14.25" customHeight="1" x14ac:dyDescent="0.35">
      <c r="A285" s="2"/>
      <c r="B285" s="109"/>
      <c r="C285" s="129"/>
      <c r="D285" s="92" t="s">
        <v>66</v>
      </c>
      <c r="E285" s="5">
        <v>0</v>
      </c>
      <c r="F285" s="5">
        <v>1</v>
      </c>
      <c r="G285" s="5">
        <v>0</v>
      </c>
      <c r="H285" s="5">
        <v>1</v>
      </c>
      <c r="I285" s="2">
        <f t="shared" si="1"/>
        <v>0.5</v>
      </c>
      <c r="J285" s="2"/>
      <c r="K285" s="2"/>
      <c r="L285" s="2"/>
      <c r="M285" s="2"/>
      <c r="N285" s="20"/>
      <c r="O285" s="2"/>
      <c r="P285" s="2"/>
    </row>
    <row r="286" spans="1:16" ht="14.25" customHeight="1" x14ac:dyDescent="0.35">
      <c r="A286" s="2"/>
      <c r="B286" s="109"/>
      <c r="C286" s="129"/>
      <c r="D286" s="92" t="s">
        <v>67</v>
      </c>
      <c r="E286" s="5">
        <v>0</v>
      </c>
      <c r="F286" s="5">
        <v>0</v>
      </c>
      <c r="G286" s="5">
        <v>0</v>
      </c>
      <c r="H286" s="5">
        <v>0</v>
      </c>
      <c r="I286" s="2">
        <f t="shared" si="1"/>
        <v>0</v>
      </c>
      <c r="J286" s="2"/>
      <c r="K286" s="2"/>
      <c r="L286" s="2"/>
      <c r="M286" s="2"/>
      <c r="N286" s="20"/>
      <c r="O286" s="2"/>
      <c r="P286" s="2"/>
    </row>
    <row r="287" spans="1:16" ht="14.25" customHeight="1" x14ac:dyDescent="0.35">
      <c r="A287" s="13">
        <f t="shared" ref="A287:B287" si="13">A284+7</f>
        <v>44998</v>
      </c>
      <c r="B287" s="109">
        <f t="shared" si="13"/>
        <v>647</v>
      </c>
      <c r="C287" s="129" t="str">
        <f>$C$125</f>
        <v>15% FBS R1</v>
      </c>
      <c r="D287" s="91" t="s">
        <v>65</v>
      </c>
      <c r="E287" s="5">
        <v>138</v>
      </c>
      <c r="F287" s="5">
        <v>129</v>
      </c>
      <c r="G287" s="5">
        <v>119</v>
      </c>
      <c r="H287" s="5">
        <v>129</v>
      </c>
      <c r="I287" s="2">
        <f t="shared" si="1"/>
        <v>128.75</v>
      </c>
      <c r="J287" s="2">
        <f>I287*2*10000</f>
        <v>2575000</v>
      </c>
      <c r="K287" s="2">
        <f>$K$125</f>
        <v>3000000</v>
      </c>
      <c r="L287" s="2">
        <f>J287*5</f>
        <v>12875000</v>
      </c>
      <c r="M287" s="3">
        <f>I287/(I287+I288)*100</f>
        <v>97.353497164461245</v>
      </c>
      <c r="N287" s="22">
        <f>I289/I287*100</f>
        <v>0</v>
      </c>
      <c r="O287" s="4">
        <f>3.32*(LOG(L287)-LOG(K287))</f>
        <v>2.1003182635386377</v>
      </c>
      <c r="P287" s="4">
        <f>IF(O287&lt;0,P284,P284+O287)</f>
        <v>162.90264464393283</v>
      </c>
    </row>
    <row r="288" spans="1:16" ht="14.25" customHeight="1" x14ac:dyDescent="0.35">
      <c r="A288" s="2"/>
      <c r="B288" s="109"/>
      <c r="C288" s="129"/>
      <c r="D288" s="92" t="s">
        <v>66</v>
      </c>
      <c r="E288" s="5">
        <v>2</v>
      </c>
      <c r="F288" s="5">
        <v>3</v>
      </c>
      <c r="G288" s="5">
        <v>3</v>
      </c>
      <c r="H288" s="5">
        <v>6</v>
      </c>
      <c r="I288" s="2">
        <f t="shared" si="1"/>
        <v>3.5</v>
      </c>
      <c r="J288" s="2"/>
      <c r="K288" s="2"/>
      <c r="L288" s="2"/>
      <c r="M288" s="2"/>
      <c r="N288" s="20"/>
      <c r="O288" s="2"/>
      <c r="P288" s="2"/>
    </row>
    <row r="289" spans="1:16" ht="14.25" customHeight="1" x14ac:dyDescent="0.35">
      <c r="A289" s="2"/>
      <c r="B289" s="109"/>
      <c r="C289" s="129"/>
      <c r="D289" s="92" t="s">
        <v>67</v>
      </c>
      <c r="E289" s="5">
        <v>0</v>
      </c>
      <c r="F289" s="5">
        <v>0</v>
      </c>
      <c r="G289" s="5">
        <v>0</v>
      </c>
      <c r="H289" s="5">
        <v>0</v>
      </c>
      <c r="I289" s="2">
        <f t="shared" si="1"/>
        <v>0</v>
      </c>
      <c r="J289" s="2"/>
      <c r="K289" s="2"/>
      <c r="L289" s="2"/>
      <c r="M289" s="2"/>
      <c r="N289" s="20"/>
      <c r="O289" s="2"/>
      <c r="P289" s="2"/>
    </row>
    <row r="290" spans="1:16" ht="14.25" customHeight="1" x14ac:dyDescent="0.35">
      <c r="A290" s="13">
        <f t="shared" ref="A290:B290" si="14">A287+7</f>
        <v>45005</v>
      </c>
      <c r="B290" s="109">
        <f t="shared" si="14"/>
        <v>654</v>
      </c>
      <c r="C290" s="129" t="str">
        <f>$C$125</f>
        <v>15% FBS R1</v>
      </c>
      <c r="D290" s="91" t="s">
        <v>65</v>
      </c>
      <c r="E290" s="5">
        <v>198</v>
      </c>
      <c r="F290" s="5">
        <v>177</v>
      </c>
      <c r="G290" s="5">
        <v>208</v>
      </c>
      <c r="H290" s="5">
        <v>199</v>
      </c>
      <c r="I290" s="2">
        <f t="shared" si="1"/>
        <v>195.5</v>
      </c>
      <c r="J290" s="2">
        <f>I290*2*10000</f>
        <v>3910000</v>
      </c>
      <c r="K290" s="2">
        <f>$K$125</f>
        <v>3000000</v>
      </c>
      <c r="L290" s="2">
        <f>J290*5</f>
        <v>19550000</v>
      </c>
      <c r="M290" s="3">
        <f>I290/(I290+I291)*100</f>
        <v>97.994987468671681</v>
      </c>
      <c r="N290" s="22">
        <f>I292/I290*100</f>
        <v>0</v>
      </c>
      <c r="O290" s="4">
        <f>3.32*(LOG(L290)-LOG(K290))</f>
        <v>2.7025646832805812</v>
      </c>
      <c r="P290" s="4">
        <f>IF(O290&lt;0,P287,P287+O290)</f>
        <v>165.6052093272134</v>
      </c>
    </row>
    <row r="291" spans="1:16" ht="14.25" customHeight="1" x14ac:dyDescent="0.35">
      <c r="A291" s="2"/>
      <c r="B291" s="109"/>
      <c r="C291" s="129"/>
      <c r="D291" s="92" t="s">
        <v>66</v>
      </c>
      <c r="E291" s="5">
        <v>2</v>
      </c>
      <c r="F291" s="5">
        <v>3</v>
      </c>
      <c r="G291" s="5">
        <v>6</v>
      </c>
      <c r="H291" s="5">
        <v>5</v>
      </c>
      <c r="I291" s="2">
        <f t="shared" si="1"/>
        <v>4</v>
      </c>
      <c r="J291" s="2"/>
      <c r="K291" s="2"/>
      <c r="L291" s="2"/>
      <c r="M291" s="2"/>
      <c r="N291" s="20"/>
      <c r="O291" s="2"/>
      <c r="P291" s="2"/>
    </row>
    <row r="292" spans="1:16" ht="14.25" customHeight="1" x14ac:dyDescent="0.35">
      <c r="A292" s="2"/>
      <c r="B292" s="109"/>
      <c r="C292" s="129"/>
      <c r="D292" s="92" t="s">
        <v>67</v>
      </c>
      <c r="E292" s="5">
        <v>0</v>
      </c>
      <c r="F292" s="5">
        <v>0</v>
      </c>
      <c r="G292" s="5">
        <v>0</v>
      </c>
      <c r="H292" s="5">
        <v>0</v>
      </c>
      <c r="I292" s="2">
        <f t="shared" si="1"/>
        <v>0</v>
      </c>
      <c r="J292" s="2"/>
      <c r="K292" s="2"/>
      <c r="L292" s="2"/>
      <c r="M292" s="2"/>
      <c r="N292" s="20"/>
      <c r="O292" s="2"/>
      <c r="P292" s="2"/>
    </row>
    <row r="293" spans="1:16" ht="14.25" customHeight="1" x14ac:dyDescent="0.35">
      <c r="A293" s="13">
        <f t="shared" ref="A293:B293" si="15">A290+7</f>
        <v>45012</v>
      </c>
      <c r="B293" s="109">
        <f t="shared" si="15"/>
        <v>661</v>
      </c>
      <c r="C293" s="129" t="str">
        <f>$C$125</f>
        <v>15% FBS R1</v>
      </c>
      <c r="D293" s="91" t="s">
        <v>65</v>
      </c>
      <c r="E293" s="5">
        <v>139</v>
      </c>
      <c r="F293" s="5">
        <v>124</v>
      </c>
      <c r="G293" s="5">
        <v>144</v>
      </c>
      <c r="H293" s="5">
        <v>142</v>
      </c>
      <c r="I293" s="2">
        <f t="shared" si="1"/>
        <v>137.25</v>
      </c>
      <c r="J293" s="2">
        <f>I293*2*10000</f>
        <v>2745000</v>
      </c>
      <c r="K293" s="2">
        <f>$K$125</f>
        <v>3000000</v>
      </c>
      <c r="L293" s="2">
        <f>J293*5</f>
        <v>13725000</v>
      </c>
      <c r="M293" s="3">
        <f>I293/(I293+I294)*100</f>
        <v>96.654929577464785</v>
      </c>
      <c r="N293" s="22">
        <f>I295/I293*100</f>
        <v>0</v>
      </c>
      <c r="O293" s="4">
        <f>3.32*(LOG(L293)-LOG(K293))</f>
        <v>2.1924984466961912</v>
      </c>
      <c r="P293" s="4">
        <f>IF(O293&lt;0,P290,P290+O293)</f>
        <v>167.79770777390959</v>
      </c>
    </row>
    <row r="294" spans="1:16" ht="14.25" customHeight="1" x14ac:dyDescent="0.35">
      <c r="A294" s="2"/>
      <c r="B294" s="109"/>
      <c r="C294" s="129"/>
      <c r="D294" s="92" t="s">
        <v>66</v>
      </c>
      <c r="E294" s="5">
        <v>4</v>
      </c>
      <c r="F294" s="5">
        <v>4</v>
      </c>
      <c r="G294" s="5">
        <v>6</v>
      </c>
      <c r="H294" s="5">
        <v>5</v>
      </c>
      <c r="I294" s="2">
        <f t="shared" si="1"/>
        <v>4.75</v>
      </c>
      <c r="J294" s="2"/>
      <c r="K294" s="2"/>
      <c r="L294" s="2"/>
      <c r="M294" s="2"/>
      <c r="N294" s="20"/>
      <c r="O294" s="2"/>
      <c r="P294" s="2"/>
    </row>
    <row r="295" spans="1:16" ht="14.25" customHeight="1" x14ac:dyDescent="0.35">
      <c r="A295" s="2"/>
      <c r="B295" s="109"/>
      <c r="C295" s="129"/>
      <c r="D295" s="92" t="s">
        <v>67</v>
      </c>
      <c r="E295" s="5">
        <v>0</v>
      </c>
      <c r="F295" s="5">
        <v>0</v>
      </c>
      <c r="G295" s="5">
        <v>0</v>
      </c>
      <c r="H295" s="5">
        <v>0</v>
      </c>
      <c r="I295" s="2">
        <f t="shared" si="1"/>
        <v>0</v>
      </c>
      <c r="J295" s="2"/>
      <c r="K295" s="2"/>
      <c r="L295" s="2"/>
      <c r="M295" s="2"/>
      <c r="N295" s="20"/>
      <c r="O295" s="2"/>
      <c r="P295" s="2"/>
    </row>
    <row r="296" spans="1:16" ht="14.25" customHeight="1" x14ac:dyDescent="0.35">
      <c r="A296" s="13">
        <f t="shared" ref="A296:B296" si="16">A293+7</f>
        <v>45019</v>
      </c>
      <c r="B296" s="109">
        <f t="shared" si="16"/>
        <v>668</v>
      </c>
      <c r="C296" s="129" t="str">
        <f>$C$125</f>
        <v>15% FBS R1</v>
      </c>
      <c r="D296" s="91" t="s">
        <v>65</v>
      </c>
      <c r="E296" s="5">
        <v>150</v>
      </c>
      <c r="F296" s="5">
        <v>187</v>
      </c>
      <c r="G296" s="5">
        <v>203</v>
      </c>
      <c r="H296" s="5">
        <v>183</v>
      </c>
      <c r="I296" s="2">
        <f t="shared" si="1"/>
        <v>180.75</v>
      </c>
      <c r="J296" s="2">
        <f>I296*2*10000</f>
        <v>3615000</v>
      </c>
      <c r="K296" s="2">
        <f>$K$125</f>
        <v>3000000</v>
      </c>
      <c r="L296" s="2">
        <f>J296*5</f>
        <v>18075000</v>
      </c>
      <c r="M296" s="3">
        <f>I296/(I296+I297)*100</f>
        <v>97.439353099730468</v>
      </c>
      <c r="N296" s="22">
        <f>I298/I296*100</f>
        <v>0</v>
      </c>
      <c r="O296" s="4">
        <f>3.32*(LOG(L296)-LOG(K296))</f>
        <v>2.5894574101397274</v>
      </c>
      <c r="P296" s="4">
        <f>IF(O296&lt;0,P293,P293+O296)</f>
        <v>170.38716518404931</v>
      </c>
    </row>
    <row r="297" spans="1:16" ht="14.25" customHeight="1" x14ac:dyDescent="0.35">
      <c r="A297" s="2"/>
      <c r="B297" s="109"/>
      <c r="C297" s="129"/>
      <c r="D297" s="92" t="s">
        <v>66</v>
      </c>
      <c r="E297" s="5">
        <v>2</v>
      </c>
      <c r="F297" s="5">
        <v>2</v>
      </c>
      <c r="G297" s="5">
        <v>6</v>
      </c>
      <c r="H297" s="5">
        <v>9</v>
      </c>
      <c r="I297" s="2">
        <f t="shared" si="1"/>
        <v>4.75</v>
      </c>
      <c r="J297" s="2"/>
      <c r="K297" s="2"/>
      <c r="L297" s="2"/>
      <c r="M297" s="2"/>
      <c r="N297" s="20"/>
      <c r="O297" s="2"/>
      <c r="P297" s="2"/>
    </row>
    <row r="298" spans="1:16" ht="14.25" customHeight="1" x14ac:dyDescent="0.35">
      <c r="A298" s="2"/>
      <c r="B298" s="109"/>
      <c r="C298" s="129"/>
      <c r="D298" s="92" t="s">
        <v>67</v>
      </c>
      <c r="E298" s="5">
        <v>0</v>
      </c>
      <c r="F298" s="5">
        <v>0</v>
      </c>
      <c r="G298" s="5">
        <v>0</v>
      </c>
      <c r="H298" s="5">
        <v>0</v>
      </c>
      <c r="I298" s="2">
        <f t="shared" si="1"/>
        <v>0</v>
      </c>
      <c r="J298" s="2"/>
      <c r="K298" s="2"/>
      <c r="L298" s="2"/>
      <c r="M298" s="2"/>
      <c r="N298" s="20"/>
      <c r="O298" s="2"/>
      <c r="P298" s="2"/>
    </row>
    <row r="299" spans="1:16" ht="14.25" customHeight="1" x14ac:dyDescent="0.35">
      <c r="A299" s="13">
        <f t="shared" ref="A299:B299" si="17">A296+7</f>
        <v>45026</v>
      </c>
      <c r="B299" s="109">
        <f t="shared" si="17"/>
        <v>675</v>
      </c>
      <c r="C299" s="129" t="str">
        <f>$C$125</f>
        <v>15% FBS R1</v>
      </c>
      <c r="D299" s="91" t="s">
        <v>65</v>
      </c>
      <c r="E299" s="5">
        <v>147</v>
      </c>
      <c r="F299" s="5">
        <v>165</v>
      </c>
      <c r="G299" s="5">
        <v>165</v>
      </c>
      <c r="H299" s="5">
        <v>155</v>
      </c>
      <c r="I299" s="2">
        <f t="shared" si="1"/>
        <v>158</v>
      </c>
      <c r="J299" s="2">
        <f>I299*2*10000</f>
        <v>3160000</v>
      </c>
      <c r="K299" s="2">
        <f>$K$125</f>
        <v>3000000</v>
      </c>
      <c r="L299" s="2">
        <f>J299*5</f>
        <v>15800000</v>
      </c>
      <c r="M299" s="3">
        <f>I299/(I299+I300)*100</f>
        <v>96.194824961948243</v>
      </c>
      <c r="N299" s="22">
        <f>I301/I299*100</f>
        <v>0</v>
      </c>
      <c r="O299" s="4">
        <f>3.32*(LOG(L299)-LOG(K299))</f>
        <v>2.3954989630194019</v>
      </c>
      <c r="P299" s="4">
        <f>IF(O299&lt;0,P296,P296+O299)</f>
        <v>172.78266414706872</v>
      </c>
    </row>
    <row r="300" spans="1:16" ht="14.25" customHeight="1" x14ac:dyDescent="0.35">
      <c r="A300" s="2"/>
      <c r="B300" s="109"/>
      <c r="C300" s="129"/>
      <c r="D300" s="92" t="s">
        <v>66</v>
      </c>
      <c r="E300" s="5">
        <v>2</v>
      </c>
      <c r="F300" s="5">
        <v>4</v>
      </c>
      <c r="G300" s="5">
        <v>10</v>
      </c>
      <c r="H300" s="5">
        <v>9</v>
      </c>
      <c r="I300" s="2">
        <f t="shared" si="1"/>
        <v>6.25</v>
      </c>
      <c r="J300" s="2"/>
      <c r="K300" s="2"/>
      <c r="L300" s="2"/>
      <c r="M300" s="2"/>
      <c r="N300" s="20"/>
      <c r="O300" s="2"/>
      <c r="P300" s="2"/>
    </row>
    <row r="301" spans="1:16" ht="14.25" customHeight="1" x14ac:dyDescent="0.35">
      <c r="A301" s="2"/>
      <c r="B301" s="109"/>
      <c r="C301" s="129"/>
      <c r="D301" s="92" t="s">
        <v>67</v>
      </c>
      <c r="E301" s="5">
        <v>0</v>
      </c>
      <c r="F301" s="5">
        <v>0</v>
      </c>
      <c r="G301" s="5">
        <v>0</v>
      </c>
      <c r="H301" s="5">
        <v>0</v>
      </c>
      <c r="I301" s="2">
        <f t="shared" si="1"/>
        <v>0</v>
      </c>
      <c r="J301" s="2"/>
      <c r="K301" s="2"/>
      <c r="L301" s="2"/>
      <c r="M301" s="2"/>
      <c r="N301" s="20"/>
      <c r="O301" s="2"/>
      <c r="P301" s="2"/>
    </row>
    <row r="302" spans="1:16" ht="14.25" customHeight="1" x14ac:dyDescent="0.35">
      <c r="A302" s="13">
        <f t="shared" ref="A302:B302" si="18">A299+7</f>
        <v>45033</v>
      </c>
      <c r="B302" s="109">
        <f t="shared" si="18"/>
        <v>682</v>
      </c>
      <c r="C302" s="129" t="str">
        <f>$C$125</f>
        <v>15% FBS R1</v>
      </c>
      <c r="D302" s="91" t="s">
        <v>65</v>
      </c>
      <c r="E302" s="5">
        <v>104</v>
      </c>
      <c r="F302" s="5">
        <v>108</v>
      </c>
      <c r="G302" s="5">
        <v>104</v>
      </c>
      <c r="H302" s="5">
        <v>106</v>
      </c>
      <c r="I302" s="2">
        <f t="shared" si="1"/>
        <v>105.5</v>
      </c>
      <c r="J302" s="2">
        <f>I302*2*10000</f>
        <v>2110000</v>
      </c>
      <c r="K302" s="2">
        <f>$K$125</f>
        <v>3000000</v>
      </c>
      <c r="L302" s="2">
        <f>J302*5</f>
        <v>10550000</v>
      </c>
      <c r="M302" s="3">
        <f>I302/(I302+I303)*100</f>
        <v>97.68518518518519</v>
      </c>
      <c r="N302" s="22">
        <f>I304/I302*100</f>
        <v>0</v>
      </c>
      <c r="O302" s="4">
        <f>3.32*(LOG(L302)-LOG(K302))</f>
        <v>1.8131556003146432</v>
      </c>
      <c r="P302" s="4">
        <f>IF(O302&lt;0,P299,P299+O302)</f>
        <v>174.59581974738336</v>
      </c>
    </row>
    <row r="303" spans="1:16" ht="14.25" customHeight="1" x14ac:dyDescent="0.35">
      <c r="A303" s="2"/>
      <c r="B303" s="109"/>
      <c r="C303" s="129"/>
      <c r="D303" s="92" t="s">
        <v>66</v>
      </c>
      <c r="E303" s="5">
        <v>2</v>
      </c>
      <c r="F303" s="5">
        <v>2</v>
      </c>
      <c r="G303" s="5">
        <v>4</v>
      </c>
      <c r="H303" s="5">
        <v>2</v>
      </c>
      <c r="I303" s="2">
        <f t="shared" si="1"/>
        <v>2.5</v>
      </c>
      <c r="J303" s="2"/>
      <c r="K303" s="2"/>
      <c r="L303" s="2"/>
      <c r="M303" s="2"/>
      <c r="N303" s="20"/>
      <c r="O303" s="2"/>
      <c r="P303" s="2"/>
    </row>
    <row r="304" spans="1:16" ht="14.25" customHeight="1" x14ac:dyDescent="0.35">
      <c r="A304" s="2"/>
      <c r="B304" s="109"/>
      <c r="C304" s="129"/>
      <c r="D304" s="92" t="s">
        <v>67</v>
      </c>
      <c r="E304" s="5">
        <v>0</v>
      </c>
      <c r="F304" s="5">
        <v>0</v>
      </c>
      <c r="G304" s="5">
        <v>0</v>
      </c>
      <c r="H304" s="5">
        <v>0</v>
      </c>
      <c r="I304" s="2">
        <f t="shared" si="1"/>
        <v>0</v>
      </c>
      <c r="J304" s="2"/>
      <c r="K304" s="2"/>
      <c r="L304" s="2"/>
      <c r="M304" s="2"/>
      <c r="N304" s="20"/>
      <c r="O304" s="2"/>
      <c r="P304" s="2"/>
    </row>
    <row r="305" spans="1:16" ht="14.25" customHeight="1" x14ac:dyDescent="0.35">
      <c r="A305" s="13">
        <f t="shared" ref="A305:B305" si="19">A302+7</f>
        <v>45040</v>
      </c>
      <c r="B305" s="109">
        <f t="shared" si="19"/>
        <v>689</v>
      </c>
      <c r="C305" s="129" t="str">
        <f>$C$125</f>
        <v>15% FBS R1</v>
      </c>
      <c r="D305" s="91" t="s">
        <v>65</v>
      </c>
      <c r="E305" s="5">
        <v>118</v>
      </c>
      <c r="F305" s="5">
        <v>139</v>
      </c>
      <c r="G305" s="5">
        <v>127</v>
      </c>
      <c r="H305" s="5">
        <v>132</v>
      </c>
      <c r="I305" s="2">
        <f t="shared" si="1"/>
        <v>129</v>
      </c>
      <c r="J305" s="2">
        <f>I305*2*10000</f>
        <v>2580000</v>
      </c>
      <c r="K305" s="2">
        <f>$K$125</f>
        <v>3000000</v>
      </c>
      <c r="L305" s="2">
        <f>J305*5</f>
        <v>12900000</v>
      </c>
      <c r="M305" s="3">
        <f>I305/(I305+I306)*100</f>
        <v>96.810506566604133</v>
      </c>
      <c r="N305" s="22">
        <f>I307/I305*100</f>
        <v>0</v>
      </c>
      <c r="O305" s="4">
        <f>3.32*(LOG(L305)-LOG(K305))</f>
        <v>2.1031152725242261</v>
      </c>
      <c r="P305" s="4">
        <f>IF(O305&lt;0,P302,P302+O305)</f>
        <v>176.69893501990759</v>
      </c>
    </row>
    <row r="306" spans="1:16" ht="14.25" customHeight="1" x14ac:dyDescent="0.35">
      <c r="A306" s="2"/>
      <c r="B306" s="109"/>
      <c r="C306" s="129"/>
      <c r="D306" s="92" t="s">
        <v>66</v>
      </c>
      <c r="E306" s="5">
        <v>3</v>
      </c>
      <c r="F306" s="5">
        <v>4</v>
      </c>
      <c r="G306" s="5">
        <v>3</v>
      </c>
      <c r="H306" s="5">
        <v>7</v>
      </c>
      <c r="I306" s="2">
        <f t="shared" si="1"/>
        <v>4.25</v>
      </c>
      <c r="J306" s="2"/>
      <c r="K306" s="2"/>
      <c r="L306" s="2"/>
      <c r="M306" s="2"/>
      <c r="N306" s="20"/>
      <c r="O306" s="2"/>
      <c r="P306" s="2"/>
    </row>
    <row r="307" spans="1:16" ht="14.25" customHeight="1" x14ac:dyDescent="0.35">
      <c r="A307" s="2"/>
      <c r="B307" s="109"/>
      <c r="C307" s="129"/>
      <c r="D307" s="92" t="s">
        <v>67</v>
      </c>
      <c r="E307" s="5">
        <v>0</v>
      </c>
      <c r="F307" s="5">
        <v>0</v>
      </c>
      <c r="G307" s="5">
        <v>0</v>
      </c>
      <c r="H307" s="5">
        <v>0</v>
      </c>
      <c r="I307" s="2">
        <f t="shared" si="1"/>
        <v>0</v>
      </c>
      <c r="J307" s="2"/>
      <c r="K307" s="2"/>
      <c r="L307" s="2"/>
      <c r="M307" s="2"/>
      <c r="N307" s="20"/>
      <c r="O307" s="2"/>
      <c r="P307" s="2"/>
    </row>
    <row r="308" spans="1:16" ht="14.25" customHeight="1" x14ac:dyDescent="0.35">
      <c r="A308" s="13">
        <f t="shared" ref="A308:B308" si="20">A305+7</f>
        <v>45047</v>
      </c>
      <c r="B308" s="109">
        <f t="shared" si="20"/>
        <v>696</v>
      </c>
      <c r="C308" s="129" t="str">
        <f>$C$125</f>
        <v>15% FBS R1</v>
      </c>
      <c r="D308" s="91" t="s">
        <v>65</v>
      </c>
      <c r="E308" s="5">
        <v>134</v>
      </c>
      <c r="F308" s="5">
        <v>111</v>
      </c>
      <c r="G308" s="5">
        <v>123</v>
      </c>
      <c r="H308" s="5">
        <v>130</v>
      </c>
      <c r="I308" s="2">
        <f t="shared" si="1"/>
        <v>124.5</v>
      </c>
      <c r="J308" s="2">
        <f>I308*2*10000</f>
        <v>2490000</v>
      </c>
      <c r="K308" s="2">
        <f>$K$125</f>
        <v>3000000</v>
      </c>
      <c r="L308" s="2">
        <f>J308*5</f>
        <v>12450000</v>
      </c>
      <c r="M308" s="3">
        <f>I308/(I308+I309)*100</f>
        <v>96.32495164410058</v>
      </c>
      <c r="N308" s="22">
        <f>I310/I308*100</f>
        <v>0</v>
      </c>
      <c r="O308" s="4">
        <f>3.32*(LOG(L308)-LOG(K308))</f>
        <v>2.0519196810841471</v>
      </c>
      <c r="P308" s="4">
        <f>IF(O308&lt;0,P305,P305+O308)</f>
        <v>178.75085470099174</v>
      </c>
    </row>
    <row r="309" spans="1:16" ht="14.25" customHeight="1" x14ac:dyDescent="0.35">
      <c r="A309" s="2"/>
      <c r="B309" s="109"/>
      <c r="C309" s="129"/>
      <c r="D309" s="92" t="s">
        <v>66</v>
      </c>
      <c r="E309" s="5">
        <v>3</v>
      </c>
      <c r="F309" s="5">
        <v>5</v>
      </c>
      <c r="G309" s="5">
        <v>6</v>
      </c>
      <c r="H309" s="5">
        <v>5</v>
      </c>
      <c r="I309" s="2">
        <f t="shared" si="1"/>
        <v>4.75</v>
      </c>
      <c r="J309" s="2"/>
      <c r="K309" s="2"/>
      <c r="L309" s="2"/>
      <c r="M309" s="2"/>
      <c r="N309" s="20"/>
      <c r="O309" s="2"/>
      <c r="P309" s="2"/>
    </row>
    <row r="310" spans="1:16" ht="14.25" customHeight="1" x14ac:dyDescent="0.35">
      <c r="A310" s="2"/>
      <c r="B310" s="109"/>
      <c r="C310" s="129"/>
      <c r="D310" s="92" t="s">
        <v>67</v>
      </c>
      <c r="E310" s="5">
        <v>0</v>
      </c>
      <c r="F310" s="5">
        <v>0</v>
      </c>
      <c r="G310" s="5">
        <v>0</v>
      </c>
      <c r="H310" s="5">
        <v>0</v>
      </c>
      <c r="I310" s="2">
        <f t="shared" si="1"/>
        <v>0</v>
      </c>
      <c r="J310" s="2"/>
      <c r="K310" s="2"/>
      <c r="L310" s="2"/>
      <c r="M310" s="2"/>
      <c r="N310" s="20"/>
      <c r="O310" s="2"/>
      <c r="P310" s="2"/>
    </row>
    <row r="311" spans="1:16" ht="14.25" customHeight="1" x14ac:dyDescent="0.35">
      <c r="A311" s="13">
        <f t="shared" ref="A311:B311" si="21">A308+7</f>
        <v>45054</v>
      </c>
      <c r="B311" s="109">
        <f t="shared" si="21"/>
        <v>703</v>
      </c>
      <c r="C311" s="129" t="str">
        <f>$C$125</f>
        <v>15% FBS R1</v>
      </c>
      <c r="D311" s="91" t="s">
        <v>65</v>
      </c>
      <c r="E311" s="5">
        <v>113</v>
      </c>
      <c r="F311" s="5">
        <v>92</v>
      </c>
      <c r="G311" s="5">
        <v>128</v>
      </c>
      <c r="H311" s="5">
        <v>103</v>
      </c>
      <c r="I311" s="2">
        <f t="shared" si="1"/>
        <v>109</v>
      </c>
      <c r="J311" s="2">
        <f>I311*2*10000</f>
        <v>2180000</v>
      </c>
      <c r="K311" s="2">
        <f>$K$125</f>
        <v>3000000</v>
      </c>
      <c r="L311" s="2">
        <f>J311*5</f>
        <v>10900000</v>
      </c>
      <c r="M311" s="3">
        <f>I311/(I311+I312)*100</f>
        <v>96.460176991150433</v>
      </c>
      <c r="N311" s="22">
        <f>I313/I311*100</f>
        <v>0</v>
      </c>
      <c r="O311" s="4">
        <f>3.32*(LOG(L311)-LOG(K311))</f>
        <v>1.8602134074935912</v>
      </c>
      <c r="P311" s="4">
        <f>IF(O311&lt;0,P308,P308+O311)</f>
        <v>180.61106810848534</v>
      </c>
    </row>
    <row r="312" spans="1:16" ht="14.25" customHeight="1" x14ac:dyDescent="0.35">
      <c r="A312" s="2"/>
      <c r="B312" s="109"/>
      <c r="C312" s="129"/>
      <c r="D312" s="92" t="s">
        <v>66</v>
      </c>
      <c r="E312" s="5">
        <v>7</v>
      </c>
      <c r="F312" s="5">
        <v>3</v>
      </c>
      <c r="G312" s="5">
        <v>4</v>
      </c>
      <c r="H312" s="5">
        <v>2</v>
      </c>
      <c r="I312" s="2">
        <f t="shared" si="1"/>
        <v>4</v>
      </c>
      <c r="J312" s="2"/>
      <c r="K312" s="2"/>
      <c r="L312" s="2"/>
      <c r="M312" s="2"/>
      <c r="N312" s="20"/>
      <c r="O312" s="2"/>
      <c r="P312" s="2"/>
    </row>
    <row r="313" spans="1:16" ht="14.25" customHeight="1" x14ac:dyDescent="0.35">
      <c r="A313" s="2"/>
      <c r="B313" s="109"/>
      <c r="C313" s="129"/>
      <c r="D313" s="92" t="s">
        <v>67</v>
      </c>
      <c r="E313" s="5">
        <v>0</v>
      </c>
      <c r="F313" s="5">
        <v>0</v>
      </c>
      <c r="G313" s="5">
        <v>0</v>
      </c>
      <c r="H313" s="5">
        <v>0</v>
      </c>
      <c r="I313" s="2">
        <f t="shared" si="1"/>
        <v>0</v>
      </c>
      <c r="J313" s="2"/>
      <c r="K313" s="2"/>
      <c r="L313" s="2"/>
      <c r="M313" s="2"/>
      <c r="N313" s="20"/>
      <c r="O313" s="2"/>
      <c r="P313" s="2"/>
    </row>
    <row r="314" spans="1:16" ht="14.25" customHeight="1" x14ac:dyDescent="0.35">
      <c r="A314" s="13">
        <f t="shared" ref="A314:B314" si="22">A311+7</f>
        <v>45061</v>
      </c>
      <c r="B314" s="109">
        <f t="shared" si="22"/>
        <v>710</v>
      </c>
      <c r="C314" s="129" t="str">
        <f>$C$125</f>
        <v>15% FBS R1</v>
      </c>
      <c r="D314" s="91" t="s">
        <v>65</v>
      </c>
      <c r="E314" s="5">
        <v>50</v>
      </c>
      <c r="F314" s="5">
        <v>55</v>
      </c>
      <c r="G314" s="5">
        <v>61</v>
      </c>
      <c r="H314" s="5">
        <v>58</v>
      </c>
      <c r="I314" s="2">
        <f t="shared" si="1"/>
        <v>56</v>
      </c>
      <c r="J314" s="2">
        <f>I314*2*10000</f>
        <v>1120000</v>
      </c>
      <c r="K314" s="2">
        <f>$K$125</f>
        <v>3000000</v>
      </c>
      <c r="L314" s="2">
        <f>J314*5</f>
        <v>5600000</v>
      </c>
      <c r="M314" s="3">
        <f>I314/(I314+I315)*100</f>
        <v>96.551724137931032</v>
      </c>
      <c r="N314" s="22">
        <f>I316/I314*100</f>
        <v>0</v>
      </c>
      <c r="O314" s="4">
        <f>3.32*(LOG(L314)-LOG(K314))</f>
        <v>0.89994168399130636</v>
      </c>
      <c r="P314" s="4">
        <f>IF(O314&lt;0,P311,P311+O314)</f>
        <v>181.51100979247664</v>
      </c>
    </row>
    <row r="315" spans="1:16" ht="14.25" customHeight="1" x14ac:dyDescent="0.35">
      <c r="A315" s="2"/>
      <c r="B315" s="109"/>
      <c r="C315" s="129"/>
      <c r="D315" s="92" t="s">
        <v>66</v>
      </c>
      <c r="E315" s="5">
        <v>2</v>
      </c>
      <c r="F315" s="5">
        <v>2</v>
      </c>
      <c r="G315" s="5">
        <v>1</v>
      </c>
      <c r="H315" s="5">
        <v>3</v>
      </c>
      <c r="I315" s="2">
        <f t="shared" si="1"/>
        <v>2</v>
      </c>
      <c r="J315" s="2"/>
      <c r="K315" s="2"/>
      <c r="L315" s="2"/>
      <c r="M315" s="2"/>
      <c r="N315" s="20"/>
      <c r="O315" s="2"/>
      <c r="P315" s="2"/>
    </row>
    <row r="316" spans="1:16" ht="14.25" customHeight="1" x14ac:dyDescent="0.35">
      <c r="A316" s="2"/>
      <c r="B316" s="109"/>
      <c r="C316" s="129"/>
      <c r="D316" s="92" t="s">
        <v>67</v>
      </c>
      <c r="E316" s="5">
        <v>0</v>
      </c>
      <c r="F316" s="5">
        <v>0</v>
      </c>
      <c r="G316" s="5">
        <v>0</v>
      </c>
      <c r="H316" s="5">
        <v>0</v>
      </c>
      <c r="I316" s="2">
        <f t="shared" si="1"/>
        <v>0</v>
      </c>
      <c r="J316" s="2"/>
      <c r="K316" s="2"/>
      <c r="L316" s="2"/>
      <c r="M316" s="2"/>
      <c r="N316" s="20"/>
      <c r="O316" s="2"/>
      <c r="P316" s="2"/>
    </row>
    <row r="317" spans="1:16" ht="14.25" customHeight="1" x14ac:dyDescent="0.35">
      <c r="A317" s="13">
        <f t="shared" ref="A317:B317" si="23">A314+7</f>
        <v>45068</v>
      </c>
      <c r="B317" s="109">
        <f t="shared" si="23"/>
        <v>717</v>
      </c>
      <c r="C317" s="129" t="str">
        <f>$C$125</f>
        <v>15% FBS R1</v>
      </c>
      <c r="D317" s="91" t="s">
        <v>65</v>
      </c>
      <c r="E317" s="5">
        <v>109</v>
      </c>
      <c r="F317" s="5">
        <v>117</v>
      </c>
      <c r="G317" s="5">
        <v>116</v>
      </c>
      <c r="H317" s="5">
        <v>127</v>
      </c>
      <c r="I317" s="2">
        <f t="shared" si="1"/>
        <v>117.25</v>
      </c>
      <c r="J317" s="2">
        <f>I317*2*10000</f>
        <v>2345000</v>
      </c>
      <c r="K317" s="2">
        <f>$K$125</f>
        <v>3000000</v>
      </c>
      <c r="L317" s="2">
        <f>J317*5</f>
        <v>11725000</v>
      </c>
      <c r="M317" s="3">
        <f>I317/(I317+I318)*100</f>
        <v>91.067961165048544</v>
      </c>
      <c r="N317" s="22">
        <f>I319/I317*100</f>
        <v>0</v>
      </c>
      <c r="O317" s="4">
        <f>3.32*(LOG(L317)-LOG(K317))</f>
        <v>1.9654121009359629</v>
      </c>
      <c r="P317" s="4">
        <f>IF(O317&lt;0,P314,P314+O317)</f>
        <v>183.47642189341261</v>
      </c>
    </row>
    <row r="318" spans="1:16" ht="14.25" customHeight="1" x14ac:dyDescent="0.35">
      <c r="A318" s="2"/>
      <c r="B318" s="109"/>
      <c r="C318" s="129"/>
      <c r="D318" s="92" t="s">
        <v>66</v>
      </c>
      <c r="E318" s="5">
        <v>11</v>
      </c>
      <c r="F318" s="5">
        <v>11</v>
      </c>
      <c r="G318" s="5">
        <v>12</v>
      </c>
      <c r="H318" s="5">
        <v>12</v>
      </c>
      <c r="I318" s="2">
        <f t="shared" si="1"/>
        <v>11.5</v>
      </c>
      <c r="J318" s="2"/>
      <c r="K318" s="2"/>
      <c r="L318" s="2"/>
      <c r="M318" s="2"/>
      <c r="N318" s="20"/>
      <c r="O318" s="2"/>
      <c r="P318" s="2"/>
    </row>
    <row r="319" spans="1:16" ht="14.25" customHeight="1" x14ac:dyDescent="0.35">
      <c r="A319" s="2"/>
      <c r="B319" s="109"/>
      <c r="C319" s="129"/>
      <c r="D319" s="92" t="s">
        <v>67</v>
      </c>
      <c r="E319" s="5">
        <v>0</v>
      </c>
      <c r="F319" s="5">
        <v>0</v>
      </c>
      <c r="G319" s="5">
        <v>0</v>
      </c>
      <c r="H319" s="5">
        <v>0</v>
      </c>
      <c r="I319" s="2">
        <f t="shared" si="1"/>
        <v>0</v>
      </c>
      <c r="J319" s="2"/>
      <c r="K319" s="2"/>
      <c r="L319" s="2"/>
      <c r="M319" s="2"/>
      <c r="N319" s="20"/>
      <c r="O319" s="2"/>
      <c r="P319" s="2"/>
    </row>
    <row r="320" spans="1:16" ht="14.25" customHeight="1" x14ac:dyDescent="0.35">
      <c r="A320" s="13">
        <f t="shared" ref="A320:B320" si="24">A317+7</f>
        <v>45075</v>
      </c>
      <c r="B320" s="109">
        <f t="shared" si="24"/>
        <v>724</v>
      </c>
      <c r="C320" s="129" t="str">
        <f>$C$125</f>
        <v>15% FBS R1</v>
      </c>
      <c r="D320" s="91" t="s">
        <v>65</v>
      </c>
      <c r="E320" s="5">
        <v>109</v>
      </c>
      <c r="F320" s="5">
        <v>111</v>
      </c>
      <c r="G320" s="5">
        <v>136</v>
      </c>
      <c r="H320" s="5">
        <v>124</v>
      </c>
      <c r="I320" s="2">
        <f t="shared" si="1"/>
        <v>120</v>
      </c>
      <c r="J320" s="2">
        <f>I320*2*10000</f>
        <v>2400000</v>
      </c>
      <c r="K320" s="2">
        <f>$K$125</f>
        <v>3000000</v>
      </c>
      <c r="L320" s="2">
        <f>J320*5</f>
        <v>12000000</v>
      </c>
      <c r="M320" s="3">
        <f>I320/(I320+I321)*100</f>
        <v>92.307692307692307</v>
      </c>
      <c r="N320" s="22">
        <f>I322/I320*100</f>
        <v>0</v>
      </c>
      <c r="O320" s="4">
        <f>3.32*(LOG(L320)-LOG(K320))</f>
        <v>1.9988391712088354</v>
      </c>
      <c r="P320" s="4">
        <f>IF(O320&lt;0,P317,P317+O320)</f>
        <v>185.47526106462144</v>
      </c>
    </row>
    <row r="321" spans="1:16" ht="14.25" customHeight="1" x14ac:dyDescent="0.35">
      <c r="A321" s="2"/>
      <c r="B321" s="109"/>
      <c r="C321" s="129"/>
      <c r="D321" s="92" t="s">
        <v>66</v>
      </c>
      <c r="E321" s="5">
        <v>6</v>
      </c>
      <c r="F321" s="5">
        <v>11</v>
      </c>
      <c r="G321" s="5">
        <v>15</v>
      </c>
      <c r="H321" s="5">
        <v>8</v>
      </c>
      <c r="I321" s="2">
        <f t="shared" si="1"/>
        <v>10</v>
      </c>
      <c r="J321" s="2"/>
      <c r="K321" s="2"/>
      <c r="L321" s="2"/>
      <c r="M321" s="2"/>
      <c r="N321" s="20"/>
      <c r="O321" s="2"/>
      <c r="P321" s="2"/>
    </row>
    <row r="322" spans="1:16" ht="14.25" customHeight="1" x14ac:dyDescent="0.35">
      <c r="A322" s="2"/>
      <c r="B322" s="109"/>
      <c r="C322" s="129"/>
      <c r="D322" s="92" t="s">
        <v>67</v>
      </c>
      <c r="E322" s="5">
        <v>0</v>
      </c>
      <c r="F322" s="5">
        <v>0</v>
      </c>
      <c r="G322" s="5">
        <v>0</v>
      </c>
      <c r="H322" s="5">
        <v>0</v>
      </c>
      <c r="I322" s="2">
        <f t="shared" si="1"/>
        <v>0</v>
      </c>
      <c r="J322" s="2"/>
      <c r="K322" s="2"/>
      <c r="L322" s="2"/>
      <c r="M322" s="2"/>
      <c r="N322" s="20"/>
      <c r="O322" s="2"/>
      <c r="P322" s="2"/>
    </row>
    <row r="323" spans="1:16" ht="14.25" customHeight="1" x14ac:dyDescent="0.35">
      <c r="A323" s="13">
        <f t="shared" ref="A323:B323" si="25">A320+7</f>
        <v>45082</v>
      </c>
      <c r="B323" s="109">
        <f t="shared" si="25"/>
        <v>731</v>
      </c>
      <c r="C323" s="129" t="str">
        <f>$C$125</f>
        <v>15% FBS R1</v>
      </c>
      <c r="D323" s="91" t="s">
        <v>65</v>
      </c>
      <c r="E323" s="5">
        <v>70</v>
      </c>
      <c r="F323" s="5">
        <v>73</v>
      </c>
      <c r="G323" s="5">
        <v>88</v>
      </c>
      <c r="H323" s="5">
        <v>61</v>
      </c>
      <c r="I323" s="2">
        <f t="shared" si="1"/>
        <v>73</v>
      </c>
      <c r="J323" s="2">
        <f>I323*2*10000</f>
        <v>1460000</v>
      </c>
      <c r="K323" s="2">
        <f>$K$125</f>
        <v>3000000</v>
      </c>
      <c r="L323" s="2">
        <f>J323*5</f>
        <v>7300000</v>
      </c>
      <c r="M323" s="3">
        <f>I323/(I323+I324)*100</f>
        <v>97.009966777408636</v>
      </c>
      <c r="N323" s="22">
        <f>I325/I323*100</f>
        <v>0</v>
      </c>
      <c r="O323" s="4">
        <f>3.32*(LOG(L323)-LOG(K323))</f>
        <v>1.2821893299306337</v>
      </c>
      <c r="P323" s="4">
        <f>IF(O323&lt;0,P320,P320+O323)</f>
        <v>186.75745039455208</v>
      </c>
    </row>
    <row r="324" spans="1:16" ht="14.25" customHeight="1" x14ac:dyDescent="0.35">
      <c r="A324" s="2"/>
      <c r="B324" s="109"/>
      <c r="C324" s="129"/>
      <c r="D324" s="92" t="s">
        <v>66</v>
      </c>
      <c r="E324" s="5">
        <v>3</v>
      </c>
      <c r="F324" s="5">
        <v>2</v>
      </c>
      <c r="G324" s="5">
        <v>1</v>
      </c>
      <c r="H324" s="5">
        <v>3</v>
      </c>
      <c r="I324" s="2">
        <f t="shared" si="1"/>
        <v>2.25</v>
      </c>
      <c r="J324" s="2"/>
      <c r="K324" s="2"/>
      <c r="L324" s="2"/>
      <c r="M324" s="2"/>
      <c r="N324" s="20"/>
      <c r="O324" s="2"/>
      <c r="P324" s="2"/>
    </row>
    <row r="325" spans="1:16" ht="14.25" customHeight="1" x14ac:dyDescent="0.35">
      <c r="A325" s="2"/>
      <c r="B325" s="109"/>
      <c r="C325" s="129"/>
      <c r="D325" s="92" t="s">
        <v>67</v>
      </c>
      <c r="E325" s="9">
        <v>0</v>
      </c>
      <c r="F325" s="9">
        <v>0</v>
      </c>
      <c r="G325" s="9">
        <v>0</v>
      </c>
      <c r="H325" s="9">
        <v>0</v>
      </c>
      <c r="I325" s="2">
        <f t="shared" si="1"/>
        <v>0</v>
      </c>
      <c r="J325" s="2"/>
      <c r="K325" s="2"/>
      <c r="L325" s="2"/>
      <c r="M325" s="2"/>
      <c r="N325" s="20"/>
      <c r="O325" s="2"/>
      <c r="P325" s="2"/>
    </row>
    <row r="326" spans="1:16" ht="15.75" customHeight="1" x14ac:dyDescent="0.35">
      <c r="A326" s="13">
        <f t="shared" ref="A326:B326" si="26">A323+7</f>
        <v>45089</v>
      </c>
      <c r="B326" s="109">
        <f t="shared" si="26"/>
        <v>738</v>
      </c>
      <c r="C326" s="102" t="str">
        <f>$C$125</f>
        <v>15% FBS R1</v>
      </c>
      <c r="D326" s="91" t="s">
        <v>65</v>
      </c>
      <c r="E326" s="5">
        <v>201</v>
      </c>
      <c r="F326" s="5">
        <v>242</v>
      </c>
      <c r="G326" s="5">
        <v>197</v>
      </c>
      <c r="H326" s="5">
        <v>186</v>
      </c>
      <c r="I326" s="17">
        <f t="shared" si="1"/>
        <v>206.5</v>
      </c>
      <c r="J326" s="2">
        <f>I326*2*10000</f>
        <v>4130000</v>
      </c>
      <c r="K326" s="2">
        <f>$K$125</f>
        <v>3000000</v>
      </c>
      <c r="L326" s="2">
        <f>J326*5</f>
        <v>20650000</v>
      </c>
      <c r="M326" s="3">
        <f>I326/(I326+I327)*100</f>
        <v>92.393736017897083</v>
      </c>
      <c r="N326" s="22">
        <f>I328/I326*100</f>
        <v>0</v>
      </c>
      <c r="O326" s="4">
        <f>3.32*(LOG(L326)-LOG(K326))</f>
        <v>2.7814920202255524</v>
      </c>
      <c r="P326" s="4">
        <f>IF(O326&lt;0,P323,P323+O326)</f>
        <v>189.53894241477764</v>
      </c>
    </row>
    <row r="327" spans="1:16" ht="15.75" customHeight="1" x14ac:dyDescent="0.35">
      <c r="A327" s="2"/>
      <c r="B327" s="109"/>
      <c r="C327" s="102"/>
      <c r="D327" s="92" t="s">
        <v>66</v>
      </c>
      <c r="E327" s="5">
        <v>16</v>
      </c>
      <c r="F327" s="5">
        <v>25</v>
      </c>
      <c r="G327" s="5">
        <v>14</v>
      </c>
      <c r="H327" s="5">
        <v>13</v>
      </c>
      <c r="I327" s="17">
        <f t="shared" si="1"/>
        <v>17</v>
      </c>
      <c r="J327" s="2"/>
      <c r="K327" s="2"/>
      <c r="L327" s="2"/>
      <c r="M327" s="2"/>
      <c r="N327" s="20"/>
      <c r="O327" s="2"/>
      <c r="P327" s="2"/>
    </row>
    <row r="328" spans="1:16" ht="15.75" customHeight="1" x14ac:dyDescent="0.35">
      <c r="A328" s="2"/>
      <c r="B328" s="109"/>
      <c r="C328" s="102"/>
      <c r="D328" s="92" t="s">
        <v>67</v>
      </c>
      <c r="E328" s="5">
        <v>0</v>
      </c>
      <c r="F328" s="5">
        <v>0</v>
      </c>
      <c r="G328" s="5">
        <v>0</v>
      </c>
      <c r="H328" s="5">
        <v>0</v>
      </c>
      <c r="I328" s="17">
        <f t="shared" si="1"/>
        <v>0</v>
      </c>
      <c r="J328" s="2"/>
      <c r="K328" s="2"/>
      <c r="L328" s="2"/>
      <c r="M328" s="2"/>
      <c r="N328" s="20"/>
      <c r="O328" s="2"/>
      <c r="P328" s="2"/>
    </row>
    <row r="329" spans="1:16" ht="15.75" customHeight="1" x14ac:dyDescent="0.35">
      <c r="A329" s="13">
        <f t="shared" ref="A329:B329" si="27">A326+7</f>
        <v>45096</v>
      </c>
      <c r="B329" s="109">
        <f t="shared" si="27"/>
        <v>745</v>
      </c>
      <c r="C329" s="102" t="str">
        <f>$C$125</f>
        <v>15% FBS R1</v>
      </c>
      <c r="D329" s="91" t="s">
        <v>65</v>
      </c>
      <c r="E329" s="5">
        <v>164</v>
      </c>
      <c r="F329" s="5">
        <v>173</v>
      </c>
      <c r="G329" s="5">
        <v>165</v>
      </c>
      <c r="H329" s="5">
        <v>156</v>
      </c>
      <c r="I329" s="17">
        <f t="shared" si="1"/>
        <v>164.5</v>
      </c>
      <c r="J329" s="2">
        <f>I329*2*10000</f>
        <v>3290000</v>
      </c>
      <c r="K329" s="2">
        <f>$K$125</f>
        <v>3000000</v>
      </c>
      <c r="L329" s="2">
        <f>J329*5</f>
        <v>16450000</v>
      </c>
      <c r="M329" s="3">
        <f>I329/(I329+I330)*100</f>
        <v>92.415730337078656</v>
      </c>
      <c r="N329" s="22">
        <f>I331/I329*100</f>
        <v>0</v>
      </c>
      <c r="O329" s="4">
        <f>3.32*(LOG(L329)-LOG(K329))</f>
        <v>2.4536282299202159</v>
      </c>
      <c r="P329" s="4">
        <f>IF(O329&lt;0,P326,P326+O329)</f>
        <v>191.99257064469785</v>
      </c>
    </row>
    <row r="330" spans="1:16" ht="15.75" customHeight="1" x14ac:dyDescent="0.35">
      <c r="A330" s="2"/>
      <c r="B330" s="109"/>
      <c r="C330" s="102"/>
      <c r="D330" s="92" t="s">
        <v>66</v>
      </c>
      <c r="E330" s="5">
        <v>12</v>
      </c>
      <c r="F330" s="5">
        <v>13</v>
      </c>
      <c r="G330" s="5">
        <v>11</v>
      </c>
      <c r="H330" s="5">
        <v>18</v>
      </c>
      <c r="I330" s="17">
        <f t="shared" si="1"/>
        <v>13.5</v>
      </c>
      <c r="J330" s="2"/>
      <c r="K330" s="2"/>
      <c r="L330" s="2"/>
      <c r="M330" s="2"/>
      <c r="N330" s="20"/>
      <c r="O330" s="2"/>
      <c r="P330" s="2"/>
    </row>
    <row r="331" spans="1:16" ht="15.75" customHeight="1" x14ac:dyDescent="0.35">
      <c r="A331" s="2"/>
      <c r="B331" s="109"/>
      <c r="C331" s="102"/>
      <c r="D331" s="92" t="s">
        <v>67</v>
      </c>
      <c r="E331" s="5">
        <v>0</v>
      </c>
      <c r="F331" s="5">
        <v>0</v>
      </c>
      <c r="G331" s="5">
        <v>0</v>
      </c>
      <c r="H331" s="5">
        <v>0</v>
      </c>
      <c r="I331" s="17">
        <f t="shared" si="1"/>
        <v>0</v>
      </c>
      <c r="J331" s="2"/>
      <c r="K331" s="2"/>
      <c r="L331" s="2"/>
      <c r="M331" s="2"/>
      <c r="N331" s="20"/>
      <c r="O331" s="2"/>
      <c r="P331" s="2"/>
    </row>
    <row r="332" spans="1:16" ht="15.75" customHeight="1" x14ac:dyDescent="0.35">
      <c r="A332" s="13">
        <f t="shared" ref="A332:B332" si="28">A329+7</f>
        <v>45103</v>
      </c>
      <c r="B332" s="109">
        <f t="shared" si="28"/>
        <v>752</v>
      </c>
      <c r="C332" s="102" t="str">
        <f>$C$125</f>
        <v>15% FBS R1</v>
      </c>
      <c r="D332" s="91" t="s">
        <v>65</v>
      </c>
      <c r="E332" s="5">
        <v>162</v>
      </c>
      <c r="F332" s="5">
        <v>138</v>
      </c>
      <c r="G332" s="5">
        <v>160</v>
      </c>
      <c r="H332" s="5">
        <v>157</v>
      </c>
      <c r="I332" s="17">
        <f t="shared" si="1"/>
        <v>154.25</v>
      </c>
      <c r="J332" s="2">
        <f>I332*2*10000</f>
        <v>3085000</v>
      </c>
      <c r="K332" s="2">
        <f>$K$125</f>
        <v>3000000</v>
      </c>
      <c r="L332" s="2">
        <f>J332*5</f>
        <v>15425000</v>
      </c>
      <c r="M332" s="3">
        <f>I332/(I332+I333)*100</f>
        <v>93.343419062027237</v>
      </c>
      <c r="N332" s="22">
        <f>I334/I332*100</f>
        <v>0</v>
      </c>
      <c r="O332" s="4">
        <f>3.32*(LOG(L332)-LOG(K332))</f>
        <v>2.3608650077122482</v>
      </c>
      <c r="P332" s="4">
        <f>IF(O332&lt;0,P329,P329+O332)</f>
        <v>194.3534356524101</v>
      </c>
    </row>
    <row r="333" spans="1:16" ht="15.75" customHeight="1" x14ac:dyDescent="0.35">
      <c r="A333" s="2"/>
      <c r="B333" s="109"/>
      <c r="C333" s="102"/>
      <c r="D333" s="92" t="s">
        <v>66</v>
      </c>
      <c r="E333" s="5">
        <v>12</v>
      </c>
      <c r="F333" s="5">
        <v>8</v>
      </c>
      <c r="G333" s="5">
        <v>9</v>
      </c>
      <c r="H333" s="5">
        <v>15</v>
      </c>
      <c r="I333" s="17">
        <f t="shared" si="1"/>
        <v>11</v>
      </c>
      <c r="J333" s="2"/>
      <c r="K333" s="2"/>
      <c r="L333" s="2"/>
      <c r="M333" s="2"/>
      <c r="N333" s="20"/>
      <c r="O333" s="2"/>
      <c r="P333" s="2"/>
    </row>
    <row r="334" spans="1:16" ht="15.75" customHeight="1" x14ac:dyDescent="0.35">
      <c r="A334" s="2"/>
      <c r="B334" s="109"/>
      <c r="C334" s="102"/>
      <c r="D334" s="92" t="s">
        <v>67</v>
      </c>
      <c r="E334" s="5">
        <v>0</v>
      </c>
      <c r="F334" s="5">
        <v>0</v>
      </c>
      <c r="G334" s="5">
        <v>0</v>
      </c>
      <c r="H334" s="5">
        <v>0</v>
      </c>
      <c r="I334" s="17">
        <f t="shared" si="1"/>
        <v>0</v>
      </c>
      <c r="J334" s="2"/>
      <c r="K334" s="2"/>
      <c r="L334" s="2"/>
      <c r="M334" s="2"/>
      <c r="N334" s="20"/>
      <c r="O334" s="2"/>
      <c r="P334" s="2"/>
    </row>
    <row r="335" spans="1:16" ht="15.75" customHeight="1" x14ac:dyDescent="0.35">
      <c r="A335" s="13">
        <f>A332+9</f>
        <v>45112</v>
      </c>
      <c r="B335" s="109">
        <f>B332+9</f>
        <v>761</v>
      </c>
      <c r="C335" s="102" t="str">
        <f>$C$125</f>
        <v>15% FBS R1</v>
      </c>
      <c r="D335" s="91" t="s">
        <v>65</v>
      </c>
      <c r="E335" s="5">
        <v>67</v>
      </c>
      <c r="F335" s="5">
        <v>88</v>
      </c>
      <c r="G335" s="5">
        <v>95</v>
      </c>
      <c r="H335" s="5">
        <v>86</v>
      </c>
      <c r="I335" s="17">
        <f t="shared" si="1"/>
        <v>84</v>
      </c>
      <c r="J335" s="2">
        <f>I335*4*10000</f>
        <v>3360000</v>
      </c>
      <c r="K335" s="2">
        <f>$K$125</f>
        <v>3000000</v>
      </c>
      <c r="L335" s="2">
        <f>J335*5</f>
        <v>16800000</v>
      </c>
      <c r="M335" s="3">
        <f>I335/(I335+I336)*100</f>
        <v>95.184135977337121</v>
      </c>
      <c r="N335" s="22">
        <f>I337/I335*100</f>
        <v>0</v>
      </c>
      <c r="O335" s="4">
        <f>3.32*(LOG(L335)-LOG(K335))</f>
        <v>2.483984249660586</v>
      </c>
      <c r="P335" s="4">
        <f>IF(O335&lt;0,P332,P332+O335)</f>
        <v>196.83741990207068</v>
      </c>
    </row>
    <row r="336" spans="1:16" ht="15.75" customHeight="1" x14ac:dyDescent="0.35">
      <c r="A336" s="2"/>
      <c r="B336" s="109"/>
      <c r="C336" s="102"/>
      <c r="D336" s="92" t="s">
        <v>66</v>
      </c>
      <c r="E336" s="5">
        <v>3</v>
      </c>
      <c r="F336" s="5">
        <v>4</v>
      </c>
      <c r="G336" s="5">
        <v>6</v>
      </c>
      <c r="H336" s="5">
        <v>4</v>
      </c>
      <c r="I336" s="17">
        <f t="shared" si="1"/>
        <v>4.25</v>
      </c>
      <c r="J336" s="2"/>
      <c r="K336" s="2"/>
      <c r="L336" s="2"/>
      <c r="M336" s="2"/>
      <c r="N336" s="20"/>
      <c r="O336" s="2"/>
      <c r="P336" s="2"/>
    </row>
    <row r="337" spans="1:16" ht="15.75" customHeight="1" x14ac:dyDescent="0.35">
      <c r="A337" s="2"/>
      <c r="B337" s="109"/>
      <c r="C337" s="102"/>
      <c r="D337" s="92" t="s">
        <v>67</v>
      </c>
      <c r="E337" s="5">
        <v>0</v>
      </c>
      <c r="F337" s="5">
        <v>0</v>
      </c>
      <c r="G337" s="5">
        <v>0</v>
      </c>
      <c r="H337" s="5">
        <v>0</v>
      </c>
      <c r="I337" s="17">
        <f t="shared" si="1"/>
        <v>0</v>
      </c>
      <c r="J337" s="2"/>
      <c r="K337" s="2"/>
      <c r="L337" s="2"/>
      <c r="M337" s="2"/>
      <c r="N337" s="20"/>
      <c r="O337" s="2"/>
      <c r="P337" s="2"/>
    </row>
    <row r="338" spans="1:16" ht="15.75" customHeight="1" x14ac:dyDescent="0.35">
      <c r="A338" s="13">
        <f>A335+5</f>
        <v>45117</v>
      </c>
      <c r="B338" s="109">
        <f>B335+5</f>
        <v>766</v>
      </c>
      <c r="C338" s="102" t="str">
        <f>$C$125</f>
        <v>15% FBS R1</v>
      </c>
      <c r="D338" s="91" t="s">
        <v>65</v>
      </c>
      <c r="E338" s="5">
        <v>86</v>
      </c>
      <c r="F338" s="5">
        <v>67</v>
      </c>
      <c r="G338" s="5">
        <v>94</v>
      </c>
      <c r="H338" s="5">
        <v>80</v>
      </c>
      <c r="I338" s="17">
        <f t="shared" si="1"/>
        <v>81.75</v>
      </c>
      <c r="J338" s="2">
        <f>I338*4*10000</f>
        <v>3270000</v>
      </c>
      <c r="K338" s="2">
        <f>$K$125</f>
        <v>3000000</v>
      </c>
      <c r="L338" s="2">
        <f>J338*5</f>
        <v>16350000</v>
      </c>
      <c r="M338" s="3">
        <f>I338/(I338+I339)*100</f>
        <v>94.782608695652172</v>
      </c>
      <c r="N338" s="22">
        <f>I340/I338*100</f>
        <v>0</v>
      </c>
      <c r="O338" s="4">
        <f>3.32*(LOG(L338)-LOG(K338))</f>
        <v>2.4448363875584533</v>
      </c>
      <c r="P338" s="4">
        <f>IF(O338&lt;0,P335,P335+O338)</f>
        <v>199.28225628962912</v>
      </c>
    </row>
    <row r="339" spans="1:16" ht="15.75" customHeight="1" x14ac:dyDescent="0.35">
      <c r="A339" s="2"/>
      <c r="B339" s="109"/>
      <c r="C339" s="102"/>
      <c r="D339" s="92" t="s">
        <v>66</v>
      </c>
      <c r="E339" s="5">
        <v>4</v>
      </c>
      <c r="F339" s="5">
        <v>3</v>
      </c>
      <c r="G339" s="5">
        <v>5</v>
      </c>
      <c r="H339" s="5">
        <v>6</v>
      </c>
      <c r="I339" s="17">
        <f t="shared" si="1"/>
        <v>4.5</v>
      </c>
      <c r="J339" s="2"/>
      <c r="K339" s="2"/>
      <c r="L339" s="2"/>
      <c r="M339" s="2"/>
      <c r="N339" s="20"/>
      <c r="O339" s="2"/>
      <c r="P339" s="2"/>
    </row>
    <row r="340" spans="1:16" ht="15.75" customHeight="1" x14ac:dyDescent="0.35">
      <c r="A340" s="2"/>
      <c r="B340" s="109"/>
      <c r="C340" s="102"/>
      <c r="D340" s="92" t="s">
        <v>67</v>
      </c>
      <c r="E340" s="5">
        <v>0</v>
      </c>
      <c r="F340" s="5">
        <v>0</v>
      </c>
      <c r="G340" s="5">
        <v>0</v>
      </c>
      <c r="H340" s="5">
        <v>0</v>
      </c>
      <c r="I340" s="17">
        <f t="shared" si="1"/>
        <v>0</v>
      </c>
      <c r="J340" s="2"/>
      <c r="K340" s="2"/>
      <c r="L340" s="2"/>
      <c r="M340" s="2"/>
      <c r="N340" s="20"/>
      <c r="O340" s="2"/>
      <c r="P340" s="2"/>
    </row>
    <row r="341" spans="1:16" ht="15.75" customHeight="1" x14ac:dyDescent="0.35">
      <c r="A341" s="13">
        <f t="shared" ref="A341:B341" si="29">A338+7</f>
        <v>45124</v>
      </c>
      <c r="B341" s="109">
        <f t="shared" si="29"/>
        <v>773</v>
      </c>
      <c r="C341" s="102" t="str">
        <f>$C$125</f>
        <v>15% FBS R1</v>
      </c>
      <c r="D341" s="91" t="s">
        <v>65</v>
      </c>
      <c r="E341" s="5">
        <v>228</v>
      </c>
      <c r="F341" s="5">
        <v>232</v>
      </c>
      <c r="G341" s="5">
        <v>203</v>
      </c>
      <c r="H341" s="5">
        <v>230</v>
      </c>
      <c r="I341" s="17">
        <f t="shared" si="1"/>
        <v>223.25</v>
      </c>
      <c r="J341" s="2">
        <f>I341*4*10000</f>
        <v>8930000</v>
      </c>
      <c r="K341" s="2">
        <f>$K$125</f>
        <v>3000000</v>
      </c>
      <c r="L341" s="2">
        <f>J341*5</f>
        <v>44650000</v>
      </c>
      <c r="M341" s="3">
        <f>I341/(I341+I342)*100</f>
        <v>95.610278372591011</v>
      </c>
      <c r="N341" s="22">
        <f>I343/I341*100</f>
        <v>0</v>
      </c>
      <c r="O341" s="4">
        <f>3.32*(LOG(L341)-LOG(K341))</f>
        <v>3.8933646922362777</v>
      </c>
      <c r="P341" s="4">
        <f>IF(O341&lt;0,P338,P338+O341)</f>
        <v>203.17562098186539</v>
      </c>
    </row>
    <row r="342" spans="1:16" ht="15.75" customHeight="1" x14ac:dyDescent="0.35">
      <c r="A342" s="2"/>
      <c r="B342" s="109"/>
      <c r="C342" s="102"/>
      <c r="D342" s="92" t="s">
        <v>66</v>
      </c>
      <c r="E342" s="5">
        <v>12</v>
      </c>
      <c r="F342" s="5">
        <v>10</v>
      </c>
      <c r="G342" s="5">
        <v>9</v>
      </c>
      <c r="H342" s="5">
        <v>10</v>
      </c>
      <c r="I342" s="17">
        <f t="shared" si="1"/>
        <v>10.25</v>
      </c>
      <c r="J342" s="2"/>
      <c r="K342" s="2"/>
      <c r="L342" s="2"/>
      <c r="M342" s="2"/>
      <c r="N342" s="20"/>
      <c r="O342" s="2"/>
      <c r="P342" s="2"/>
    </row>
    <row r="343" spans="1:16" ht="15.75" customHeight="1" x14ac:dyDescent="0.35">
      <c r="A343" s="2"/>
      <c r="B343" s="109"/>
      <c r="C343" s="102"/>
      <c r="D343" s="92" t="s">
        <v>67</v>
      </c>
      <c r="E343" s="5">
        <v>0</v>
      </c>
      <c r="F343" s="5">
        <v>0</v>
      </c>
      <c r="G343" s="5">
        <v>0</v>
      </c>
      <c r="H343" s="5">
        <v>0</v>
      </c>
      <c r="I343" s="17">
        <f t="shared" si="1"/>
        <v>0</v>
      </c>
      <c r="J343" s="2"/>
      <c r="K343" s="2"/>
      <c r="L343" s="2"/>
      <c r="M343" s="2"/>
      <c r="N343" s="20"/>
      <c r="O343" s="2"/>
      <c r="P343" s="2"/>
    </row>
    <row r="344" spans="1:16" ht="15.75" customHeight="1" x14ac:dyDescent="0.35">
      <c r="A344" s="13">
        <f t="shared" ref="A344:B344" si="30">A341+7</f>
        <v>45131</v>
      </c>
      <c r="B344" s="109">
        <f t="shared" si="30"/>
        <v>780</v>
      </c>
      <c r="C344" s="102" t="str">
        <f t="shared" ref="C344" si="31">$C$125</f>
        <v>15% FBS R1</v>
      </c>
      <c r="D344" s="91" t="s">
        <v>65</v>
      </c>
      <c r="E344" s="5">
        <v>134</v>
      </c>
      <c r="F344" s="5">
        <v>145</v>
      </c>
      <c r="G344" s="5">
        <v>156</v>
      </c>
      <c r="H344" s="5">
        <v>145</v>
      </c>
      <c r="I344" s="17">
        <f t="shared" ref="I344:I352" si="32">AVERAGE(E344:H344)</f>
        <v>145</v>
      </c>
      <c r="J344" s="2">
        <f>I344*4*10000</f>
        <v>5800000</v>
      </c>
      <c r="K344" s="2">
        <f t="shared" ref="K344" si="33">$K$125</f>
        <v>3000000</v>
      </c>
      <c r="L344" s="2">
        <f t="shared" ref="L344" si="34">J344*5</f>
        <v>29000000</v>
      </c>
      <c r="M344" s="3">
        <f t="shared" ref="M344" si="35">I344/(I344+I345)*100</f>
        <v>90.342679127725859</v>
      </c>
      <c r="N344" s="22">
        <f>I346/I344*100</f>
        <v>0</v>
      </c>
      <c r="O344" s="4">
        <f t="shared" ref="O344" si="36">3.32*(LOG(L344)-LOG(K344))</f>
        <v>3.2711187873552556</v>
      </c>
      <c r="P344" s="4">
        <f t="shared" ref="P344" si="37">IF(O344&lt;0,P341,P341+O344)</f>
        <v>206.44673976922064</v>
      </c>
    </row>
    <row r="345" spans="1:16" ht="15.75" customHeight="1" x14ac:dyDescent="0.35">
      <c r="A345" s="2"/>
      <c r="B345" s="109"/>
      <c r="C345" s="102"/>
      <c r="D345" s="92" t="s">
        <v>66</v>
      </c>
      <c r="E345" s="5">
        <v>13</v>
      </c>
      <c r="F345" s="5">
        <v>15</v>
      </c>
      <c r="G345" s="5">
        <v>18</v>
      </c>
      <c r="H345" s="5">
        <v>16</v>
      </c>
      <c r="I345" s="17">
        <f t="shared" si="32"/>
        <v>15.5</v>
      </c>
      <c r="J345" s="2"/>
      <c r="K345" s="2"/>
      <c r="L345" s="2"/>
      <c r="M345" s="2"/>
      <c r="N345" s="20"/>
      <c r="O345" s="2"/>
      <c r="P345" s="2"/>
    </row>
    <row r="346" spans="1:16" ht="15.75" customHeight="1" x14ac:dyDescent="0.35">
      <c r="A346" s="2"/>
      <c r="B346" s="109"/>
      <c r="C346" s="102"/>
      <c r="D346" s="92" t="s">
        <v>67</v>
      </c>
      <c r="E346" s="5">
        <v>0</v>
      </c>
      <c r="F346" s="5">
        <v>0</v>
      </c>
      <c r="G346" s="5">
        <v>0</v>
      </c>
      <c r="H346" s="5">
        <v>0</v>
      </c>
      <c r="I346" s="17">
        <f t="shared" si="32"/>
        <v>0</v>
      </c>
      <c r="J346" s="2"/>
      <c r="K346" s="2"/>
      <c r="L346" s="2"/>
      <c r="M346" s="2"/>
      <c r="N346" s="20"/>
      <c r="O346" s="2"/>
      <c r="P346" s="2"/>
    </row>
    <row r="347" spans="1:16" ht="15.75" customHeight="1" x14ac:dyDescent="0.35">
      <c r="A347" s="13">
        <f t="shared" ref="A347:B347" si="38">A344+7</f>
        <v>45138</v>
      </c>
      <c r="B347" s="109">
        <f t="shared" si="38"/>
        <v>787</v>
      </c>
      <c r="C347" s="102" t="str">
        <f t="shared" ref="C347" si="39">$C$125</f>
        <v>15% FBS R1</v>
      </c>
      <c r="D347" s="91" t="s">
        <v>65</v>
      </c>
      <c r="E347" s="5">
        <v>100</v>
      </c>
      <c r="F347" s="5">
        <v>105</v>
      </c>
      <c r="G347" s="5">
        <v>106</v>
      </c>
      <c r="H347" s="5">
        <v>93</v>
      </c>
      <c r="I347" s="17">
        <f t="shared" si="32"/>
        <v>101</v>
      </c>
      <c r="J347" s="79">
        <f>I347*4*10000</f>
        <v>4040000</v>
      </c>
      <c r="K347" s="2">
        <f t="shared" ref="K347" si="40">$K$125</f>
        <v>3000000</v>
      </c>
      <c r="L347" s="2">
        <f t="shared" ref="L347" si="41">J347*5</f>
        <v>20200000</v>
      </c>
      <c r="M347" s="3">
        <f t="shared" ref="M347" si="42">I347/(I347+I348)*100</f>
        <v>89.380530973451329</v>
      </c>
      <c r="N347" s="22">
        <f>I349/I347*100</f>
        <v>0</v>
      </c>
      <c r="O347" s="4">
        <f t="shared" ref="O347" si="43">3.32*(LOG(L347)-LOG(K347))</f>
        <v>2.7497239808935099</v>
      </c>
      <c r="P347" s="4">
        <f t="shared" ref="P347" si="44">IF(O347&lt;0,P344,P344+O347)</f>
        <v>209.19646375011416</v>
      </c>
    </row>
    <row r="348" spans="1:16" ht="15.75" customHeight="1" x14ac:dyDescent="0.35">
      <c r="A348" s="2"/>
      <c r="B348" s="109"/>
      <c r="C348" s="102"/>
      <c r="D348" s="92" t="s">
        <v>66</v>
      </c>
      <c r="E348" s="5">
        <v>14</v>
      </c>
      <c r="F348" s="5">
        <v>14</v>
      </c>
      <c r="G348" s="5">
        <v>11</v>
      </c>
      <c r="H348" s="5">
        <v>9</v>
      </c>
      <c r="I348" s="17">
        <f t="shared" si="32"/>
        <v>12</v>
      </c>
      <c r="J348" s="2"/>
      <c r="K348" s="2"/>
      <c r="L348" s="2"/>
      <c r="M348" s="2"/>
      <c r="N348" s="20"/>
      <c r="O348" s="2"/>
      <c r="P348" s="2"/>
    </row>
    <row r="349" spans="1:16" ht="15.75" customHeight="1" x14ac:dyDescent="0.35">
      <c r="A349" s="2"/>
      <c r="B349" s="109"/>
      <c r="C349" s="102"/>
      <c r="D349" s="92" t="s">
        <v>67</v>
      </c>
      <c r="E349" s="5">
        <v>0</v>
      </c>
      <c r="F349" s="5">
        <v>0</v>
      </c>
      <c r="G349" s="5">
        <v>0</v>
      </c>
      <c r="H349" s="5">
        <v>0</v>
      </c>
      <c r="I349" s="17">
        <f t="shared" si="32"/>
        <v>0</v>
      </c>
      <c r="J349" s="2"/>
      <c r="K349" s="2"/>
      <c r="L349" s="2"/>
      <c r="M349" s="2"/>
      <c r="N349" s="20"/>
      <c r="O349" s="2"/>
      <c r="P349" s="2"/>
    </row>
    <row r="350" spans="1:16" ht="15.75" customHeight="1" x14ac:dyDescent="0.35">
      <c r="A350" s="13">
        <f t="shared" ref="A350:B350" si="45">A347+7</f>
        <v>45145</v>
      </c>
      <c r="B350" s="109">
        <f t="shared" si="45"/>
        <v>794</v>
      </c>
      <c r="C350" s="102" t="str">
        <f t="shared" ref="C350" si="46">$C$125</f>
        <v>15% FBS R1</v>
      </c>
      <c r="D350" s="91" t="s">
        <v>65</v>
      </c>
      <c r="E350" s="5">
        <v>116</v>
      </c>
      <c r="F350" s="5">
        <v>92</v>
      </c>
      <c r="G350" s="5">
        <v>102</v>
      </c>
      <c r="H350" s="5">
        <v>91</v>
      </c>
      <c r="I350" s="17">
        <f t="shared" si="32"/>
        <v>100.25</v>
      </c>
      <c r="J350" s="2">
        <f>I350*4*10000</f>
        <v>4010000</v>
      </c>
      <c r="K350" s="2">
        <f t="shared" ref="K350" si="47">$K$125</f>
        <v>3000000</v>
      </c>
      <c r="L350" s="2">
        <f t="shared" ref="L350" si="48">J350*5</f>
        <v>20050000</v>
      </c>
      <c r="M350" s="3">
        <f t="shared" ref="M350" si="49">I350/(I350+I351)*100</f>
        <v>83.02277432712215</v>
      </c>
      <c r="N350" s="22">
        <f>I352/I350*100</f>
        <v>0</v>
      </c>
      <c r="O350" s="4">
        <f t="shared" ref="O350" si="50">3.32*(LOG(L350)-LOG(K350))</f>
        <v>2.738977165825307</v>
      </c>
      <c r="P350" s="4">
        <f t="shared" ref="P350" si="51">IF(O350&lt;0,P347,P347+O350)</f>
        <v>211.93544091593947</v>
      </c>
    </row>
    <row r="351" spans="1:16" ht="15.75" customHeight="1" x14ac:dyDescent="0.35">
      <c r="A351" s="2"/>
      <c r="B351" s="109"/>
      <c r="C351" s="102"/>
      <c r="D351" s="92" t="s">
        <v>66</v>
      </c>
      <c r="E351" s="5">
        <v>15</v>
      </c>
      <c r="F351" s="5">
        <v>26</v>
      </c>
      <c r="G351" s="5">
        <v>15</v>
      </c>
      <c r="H351" s="5">
        <v>26</v>
      </c>
      <c r="I351" s="17">
        <f t="shared" si="32"/>
        <v>20.5</v>
      </c>
      <c r="J351" s="2"/>
      <c r="K351" s="2"/>
      <c r="L351" s="2"/>
      <c r="M351" s="2"/>
      <c r="N351" s="20"/>
      <c r="O351" s="2"/>
      <c r="P351" s="2"/>
    </row>
    <row r="352" spans="1:16" ht="15.75" customHeight="1" x14ac:dyDescent="0.35">
      <c r="A352" s="2"/>
      <c r="B352" s="109"/>
      <c r="C352" s="102"/>
      <c r="D352" s="92" t="s">
        <v>67</v>
      </c>
      <c r="E352" s="5">
        <v>0</v>
      </c>
      <c r="F352" s="5">
        <v>0</v>
      </c>
      <c r="G352" s="5">
        <v>0</v>
      </c>
      <c r="H352" s="5">
        <v>0</v>
      </c>
      <c r="I352" s="17">
        <f t="shared" si="32"/>
        <v>0</v>
      </c>
      <c r="J352" s="2"/>
      <c r="K352" s="2"/>
      <c r="L352" s="2"/>
      <c r="M352" s="2"/>
      <c r="N352" s="20"/>
      <c r="O352" s="2"/>
      <c r="P352" s="2"/>
    </row>
    <row r="353" spans="1:16" ht="15.75" customHeight="1" x14ac:dyDescent="0.35">
      <c r="A353" s="13">
        <f t="shared" ref="A353:B353" si="52">A350+7</f>
        <v>45152</v>
      </c>
      <c r="B353" s="109">
        <f t="shared" si="52"/>
        <v>801</v>
      </c>
      <c r="C353" s="102" t="str">
        <f t="shared" ref="C353:C362" si="53">$C$125</f>
        <v>15% FBS R1</v>
      </c>
      <c r="D353" s="91" t="s">
        <v>65</v>
      </c>
      <c r="E353" s="5">
        <v>92</v>
      </c>
      <c r="F353" s="5">
        <v>77</v>
      </c>
      <c r="G353" s="5">
        <v>81</v>
      </c>
      <c r="H353" s="5">
        <v>114</v>
      </c>
      <c r="I353" s="17">
        <f t="shared" ref="I353:I364" si="54">AVERAGE(E353:H353)</f>
        <v>91</v>
      </c>
      <c r="J353" s="2">
        <f t="shared" ref="J353" si="55">I353*4*10000</f>
        <v>3640000</v>
      </c>
      <c r="K353" s="2">
        <f t="shared" ref="K353:K362" si="56">$K$125</f>
        <v>3000000</v>
      </c>
      <c r="L353" s="2">
        <f t="shared" ref="L353" si="57">J353*5</f>
        <v>18200000</v>
      </c>
      <c r="M353" s="3">
        <f t="shared" ref="M353" si="58">I353/(I353+I354)*100</f>
        <v>88.997555012224936</v>
      </c>
      <c r="N353" s="22">
        <f>I355/I353*100</f>
        <v>0</v>
      </c>
      <c r="O353" s="4">
        <f t="shared" ref="O353" si="59">3.32*(LOG(L353)-LOG(K353))</f>
        <v>2.5993944424411692</v>
      </c>
      <c r="P353" s="4">
        <f t="shared" ref="P353" si="60">IF(O353&lt;0,P350,P350+O353)</f>
        <v>214.53483535838063</v>
      </c>
    </row>
    <row r="354" spans="1:16" ht="15.75" customHeight="1" x14ac:dyDescent="0.35">
      <c r="A354" s="2"/>
      <c r="B354" s="109"/>
      <c r="C354" s="102"/>
      <c r="D354" s="92" t="s">
        <v>66</v>
      </c>
      <c r="E354" s="5">
        <v>9</v>
      </c>
      <c r="F354" s="5">
        <v>11</v>
      </c>
      <c r="G354" s="5">
        <v>11</v>
      </c>
      <c r="H354" s="5">
        <v>14</v>
      </c>
      <c r="I354" s="17">
        <f t="shared" si="54"/>
        <v>11.25</v>
      </c>
      <c r="J354" s="2"/>
      <c r="K354" s="2"/>
      <c r="L354" s="2"/>
      <c r="M354" s="2"/>
      <c r="N354" s="20"/>
      <c r="O354" s="2"/>
      <c r="P354" s="2"/>
    </row>
    <row r="355" spans="1:16" ht="15.75" customHeight="1" x14ac:dyDescent="0.35">
      <c r="A355" s="2"/>
      <c r="B355" s="109"/>
      <c r="C355" s="102"/>
      <c r="D355" s="92" t="s">
        <v>67</v>
      </c>
      <c r="E355" s="5">
        <v>0</v>
      </c>
      <c r="F355" s="5">
        <v>0</v>
      </c>
      <c r="G355" s="5">
        <v>0</v>
      </c>
      <c r="H355" s="5">
        <v>0</v>
      </c>
      <c r="I355" s="17">
        <f t="shared" si="54"/>
        <v>0</v>
      </c>
      <c r="J355" s="2"/>
      <c r="K355" s="2"/>
      <c r="L355" s="2"/>
      <c r="M355" s="2"/>
      <c r="N355" s="20"/>
      <c r="O355" s="2"/>
      <c r="P355" s="2"/>
    </row>
    <row r="356" spans="1:16" ht="15.75" customHeight="1" x14ac:dyDescent="0.35">
      <c r="A356" s="13">
        <f t="shared" ref="A356:B356" si="61">A353+7</f>
        <v>45159</v>
      </c>
      <c r="B356" s="109">
        <f t="shared" si="61"/>
        <v>808</v>
      </c>
      <c r="C356" s="102" t="str">
        <f t="shared" si="53"/>
        <v>15% FBS R1</v>
      </c>
      <c r="D356" s="91" t="s">
        <v>65</v>
      </c>
      <c r="E356" s="5">
        <v>99</v>
      </c>
      <c r="F356" s="5">
        <v>83</v>
      </c>
      <c r="G356" s="5">
        <v>103</v>
      </c>
      <c r="H356" s="5">
        <v>99</v>
      </c>
      <c r="I356" s="17">
        <f t="shared" si="54"/>
        <v>96</v>
      </c>
      <c r="J356" s="2">
        <f t="shared" ref="J356" si="62">I356*4*10000</f>
        <v>3840000</v>
      </c>
      <c r="K356" s="2">
        <f t="shared" si="56"/>
        <v>3000000</v>
      </c>
      <c r="L356" s="2">
        <f t="shared" ref="L356" si="63">J356*5</f>
        <v>19200000</v>
      </c>
      <c r="M356" s="3">
        <f t="shared" ref="M356" si="64">I356/(I356+I357)*100</f>
        <v>86.681715575620771</v>
      </c>
      <c r="N356" s="22">
        <f>I358/I356*100</f>
        <v>0</v>
      </c>
      <c r="O356" s="4">
        <f t="shared" ref="O356" si="65">3.32*(LOG(L356)-LOG(K356))</f>
        <v>2.6765175136265036</v>
      </c>
      <c r="P356" s="4">
        <f t="shared" ref="P356" si="66">IF(O356&lt;0,P353,P353+O356)</f>
        <v>217.21135287200713</v>
      </c>
    </row>
    <row r="357" spans="1:16" ht="15.75" customHeight="1" x14ac:dyDescent="0.35">
      <c r="A357" s="2"/>
      <c r="B357" s="109"/>
      <c r="C357" s="102"/>
      <c r="D357" s="92" t="s">
        <v>66</v>
      </c>
      <c r="E357" s="5">
        <v>9</v>
      </c>
      <c r="F357" s="5">
        <v>17</v>
      </c>
      <c r="G357" s="5">
        <v>17</v>
      </c>
      <c r="H357" s="5">
        <v>16</v>
      </c>
      <c r="I357" s="17">
        <f t="shared" si="54"/>
        <v>14.75</v>
      </c>
      <c r="J357" s="2"/>
      <c r="K357" s="2"/>
      <c r="L357" s="2"/>
      <c r="M357" s="2"/>
      <c r="N357" s="20"/>
      <c r="O357" s="2"/>
      <c r="P357" s="2"/>
    </row>
    <row r="358" spans="1:16" ht="15.75" customHeight="1" x14ac:dyDescent="0.35">
      <c r="A358" s="2"/>
      <c r="B358" s="109"/>
      <c r="C358" s="102"/>
      <c r="D358" s="92" t="s">
        <v>67</v>
      </c>
      <c r="E358" s="5">
        <v>0</v>
      </c>
      <c r="F358" s="5">
        <v>0</v>
      </c>
      <c r="G358" s="5">
        <v>0</v>
      </c>
      <c r="H358" s="5">
        <v>0</v>
      </c>
      <c r="I358" s="17">
        <f t="shared" si="54"/>
        <v>0</v>
      </c>
      <c r="J358" s="2"/>
      <c r="K358" s="2"/>
      <c r="L358" s="2"/>
      <c r="M358" s="2"/>
      <c r="N358" s="20"/>
      <c r="O358" s="2"/>
      <c r="P358" s="2"/>
    </row>
    <row r="359" spans="1:16" ht="15.75" customHeight="1" x14ac:dyDescent="0.35">
      <c r="A359" s="13">
        <f t="shared" ref="A359:B359" si="67">A356+7</f>
        <v>45166</v>
      </c>
      <c r="B359" s="109">
        <f t="shared" si="67"/>
        <v>815</v>
      </c>
      <c r="C359" s="102" t="str">
        <f t="shared" si="53"/>
        <v>15% FBS R1</v>
      </c>
      <c r="D359" s="91" t="s">
        <v>65</v>
      </c>
      <c r="E359" s="5">
        <v>121</v>
      </c>
      <c r="F359" s="5">
        <v>150</v>
      </c>
      <c r="G359" s="5">
        <v>158</v>
      </c>
      <c r="H359" s="5">
        <v>138</v>
      </c>
      <c r="I359" s="17">
        <f t="shared" si="54"/>
        <v>141.75</v>
      </c>
      <c r="J359" s="2">
        <f t="shared" ref="J359" si="68">I359*4*10000</f>
        <v>5670000</v>
      </c>
      <c r="K359" s="2">
        <f t="shared" si="56"/>
        <v>3000000</v>
      </c>
      <c r="L359" s="2">
        <f t="shared" ref="L359" si="69">J359*5</f>
        <v>28350000</v>
      </c>
      <c r="M359" s="3">
        <f t="shared" ref="M359" si="70">I359/(I359+I360)*100</f>
        <v>90.575079872204483</v>
      </c>
      <c r="N359" s="22">
        <f>I361/I359*100</f>
        <v>0</v>
      </c>
      <c r="O359" s="4">
        <f>3.32*(LOG(L359)-LOG(K359))</f>
        <v>3.2384336042507518</v>
      </c>
      <c r="P359" s="4">
        <f t="shared" ref="P359" si="71">IF(O359&lt;0,P356,P356+O359)</f>
        <v>220.44978647625788</v>
      </c>
    </row>
    <row r="360" spans="1:16" ht="15.75" customHeight="1" x14ac:dyDescent="0.35">
      <c r="A360" s="2"/>
      <c r="B360" s="109"/>
      <c r="C360" s="102"/>
      <c r="D360" s="92" t="s">
        <v>66</v>
      </c>
      <c r="E360" s="5">
        <v>10</v>
      </c>
      <c r="F360" s="5">
        <v>14</v>
      </c>
      <c r="G360" s="5">
        <v>23</v>
      </c>
      <c r="H360" s="5">
        <v>12</v>
      </c>
      <c r="I360" s="17">
        <f t="shared" si="54"/>
        <v>14.75</v>
      </c>
      <c r="J360" s="2"/>
      <c r="K360" s="2"/>
      <c r="L360" s="2"/>
      <c r="M360" s="2"/>
      <c r="N360" s="20"/>
      <c r="O360" s="4"/>
      <c r="P360" s="2"/>
    </row>
    <row r="361" spans="1:16" ht="15.75" customHeight="1" x14ac:dyDescent="0.35">
      <c r="A361" s="2"/>
      <c r="B361" s="109"/>
      <c r="C361" s="102"/>
      <c r="D361" s="92" t="s">
        <v>67</v>
      </c>
      <c r="E361" s="5">
        <v>0</v>
      </c>
      <c r="F361" s="5">
        <v>0</v>
      </c>
      <c r="G361" s="5">
        <v>0</v>
      </c>
      <c r="H361" s="5">
        <v>0</v>
      </c>
      <c r="I361" s="17">
        <f t="shared" si="54"/>
        <v>0</v>
      </c>
      <c r="J361" s="2"/>
      <c r="K361" s="2"/>
      <c r="L361" s="2"/>
      <c r="M361" s="2"/>
      <c r="N361" s="20"/>
      <c r="O361" s="2"/>
      <c r="P361" s="2"/>
    </row>
    <row r="362" spans="1:16" ht="15.75" customHeight="1" x14ac:dyDescent="0.35">
      <c r="A362" s="13">
        <f>A359+8</f>
        <v>45174</v>
      </c>
      <c r="B362" s="109">
        <f>B359+8</f>
        <v>823</v>
      </c>
      <c r="C362" s="102" t="str">
        <f t="shared" si="53"/>
        <v>15% FBS R1</v>
      </c>
      <c r="D362" s="91" t="s">
        <v>65</v>
      </c>
      <c r="E362" s="5">
        <v>174</v>
      </c>
      <c r="F362" s="5">
        <v>164</v>
      </c>
      <c r="G362" s="5">
        <v>155</v>
      </c>
      <c r="H362" s="5">
        <v>176</v>
      </c>
      <c r="I362" s="17">
        <f t="shared" si="54"/>
        <v>167.25</v>
      </c>
      <c r="J362" s="2">
        <f t="shared" ref="J362" si="72">I362*4*10000</f>
        <v>6690000</v>
      </c>
      <c r="K362" s="2">
        <f t="shared" si="56"/>
        <v>3000000</v>
      </c>
      <c r="L362" s="2">
        <f t="shared" ref="L362" si="73">J362*5</f>
        <v>33450000</v>
      </c>
      <c r="M362" s="3">
        <f t="shared" ref="M362" si="74">I362/(I362+I363)*100</f>
        <v>89.678284182305632</v>
      </c>
      <c r="N362" s="22">
        <f>I364/I362*100</f>
        <v>0</v>
      </c>
      <c r="O362" s="4">
        <f t="shared" ref="O362" si="75">3.32*(LOG(L362)-LOG(K362))</f>
        <v>3.4769525597154756</v>
      </c>
      <c r="P362" s="4">
        <f t="shared" ref="P362" si="76">IF(O362&lt;0,P359,P359+O362)</f>
        <v>223.92673903597336</v>
      </c>
    </row>
    <row r="363" spans="1:16" ht="15.75" customHeight="1" x14ac:dyDescent="0.35">
      <c r="A363" s="2"/>
      <c r="B363" s="109"/>
      <c r="C363" s="102"/>
      <c r="D363" s="92" t="s">
        <v>66</v>
      </c>
      <c r="E363" s="5">
        <v>13</v>
      </c>
      <c r="F363" s="5">
        <v>23</v>
      </c>
      <c r="G363" s="5">
        <v>20</v>
      </c>
      <c r="H363" s="5">
        <v>21</v>
      </c>
      <c r="I363" s="17">
        <f t="shared" si="54"/>
        <v>19.25</v>
      </c>
      <c r="J363" s="2"/>
      <c r="K363" s="2"/>
      <c r="L363" s="2"/>
      <c r="M363" s="2"/>
      <c r="N363" s="20"/>
      <c r="O363" s="2"/>
      <c r="P363" s="2"/>
    </row>
    <row r="364" spans="1:16" ht="15.75" customHeight="1" x14ac:dyDescent="0.35">
      <c r="A364" s="2"/>
      <c r="B364" s="109"/>
      <c r="C364" s="102"/>
      <c r="D364" s="92" t="s">
        <v>67</v>
      </c>
      <c r="E364" s="5">
        <v>0</v>
      </c>
      <c r="F364" s="5">
        <v>0</v>
      </c>
      <c r="G364" s="5">
        <v>0</v>
      </c>
      <c r="H364" s="5">
        <v>0</v>
      </c>
      <c r="I364" s="17">
        <f t="shared" si="54"/>
        <v>0</v>
      </c>
      <c r="J364" s="2"/>
      <c r="K364" s="2"/>
      <c r="L364" s="2"/>
      <c r="M364" s="2"/>
      <c r="N364" s="20"/>
      <c r="O364" s="2"/>
      <c r="P364" s="2"/>
    </row>
    <row r="365" spans="1:16" ht="15.75" customHeight="1" x14ac:dyDescent="0.35">
      <c r="A365" s="13">
        <f>A362+6</f>
        <v>45180</v>
      </c>
      <c r="B365" s="109">
        <f>B362+6</f>
        <v>829</v>
      </c>
      <c r="C365" s="102" t="str">
        <f t="shared" ref="C365:C371" si="77">$C$125</f>
        <v>15% FBS R1</v>
      </c>
      <c r="D365" s="91" t="s">
        <v>65</v>
      </c>
      <c r="E365" s="5">
        <v>128</v>
      </c>
      <c r="F365" s="5">
        <v>117</v>
      </c>
      <c r="G365" s="5">
        <v>111</v>
      </c>
      <c r="H365" s="5">
        <v>117</v>
      </c>
      <c r="I365" s="17">
        <f t="shared" ref="I365:I376" si="78">AVERAGE(E365:H365)</f>
        <v>118.25</v>
      </c>
      <c r="J365" s="2">
        <f t="shared" ref="J365" si="79">I365*4*10000</f>
        <v>4730000</v>
      </c>
      <c r="K365" s="2">
        <f t="shared" ref="K365:K371" si="80">$K$125</f>
        <v>3000000</v>
      </c>
      <c r="L365" s="2">
        <f t="shared" ref="L365" si="81">J365*5</f>
        <v>23650000</v>
      </c>
      <c r="M365" s="3">
        <f t="shared" ref="M365" si="82">I365/(I365+I366)*100</f>
        <v>93.110236220472444</v>
      </c>
      <c r="N365" s="22">
        <f>I367/I365*100</f>
        <v>0</v>
      </c>
      <c r="O365" s="4">
        <f t="shared" ref="O365" si="83">3.32*(LOG(L365)-LOG(K365))</f>
        <v>2.9770768359758368</v>
      </c>
      <c r="P365" s="4">
        <f t="shared" ref="P365" si="84">IF(O365&lt;0,P362,P362+O365)</f>
        <v>226.90381587194921</v>
      </c>
    </row>
    <row r="366" spans="1:16" ht="15.75" customHeight="1" x14ac:dyDescent="0.35">
      <c r="A366" s="2"/>
      <c r="B366" s="109"/>
      <c r="C366" s="102"/>
      <c r="D366" s="92" t="s">
        <v>66</v>
      </c>
      <c r="E366" s="5">
        <v>8</v>
      </c>
      <c r="F366" s="5">
        <v>7</v>
      </c>
      <c r="G366" s="5">
        <v>7</v>
      </c>
      <c r="H366" s="5">
        <v>13</v>
      </c>
      <c r="I366" s="17">
        <f t="shared" si="78"/>
        <v>8.75</v>
      </c>
      <c r="J366" s="2"/>
      <c r="K366" s="2"/>
      <c r="L366" s="2"/>
      <c r="M366" s="2"/>
      <c r="N366" s="20"/>
      <c r="O366" s="2"/>
      <c r="P366" s="2"/>
    </row>
    <row r="367" spans="1:16" ht="15.75" customHeight="1" x14ac:dyDescent="0.35">
      <c r="A367" s="2"/>
      <c r="B367" s="109"/>
      <c r="C367" s="102"/>
      <c r="D367" s="92" t="s">
        <v>67</v>
      </c>
      <c r="E367" s="5">
        <v>0</v>
      </c>
      <c r="F367" s="5">
        <v>0</v>
      </c>
      <c r="G367" s="5">
        <v>0</v>
      </c>
      <c r="H367" s="5">
        <v>0</v>
      </c>
      <c r="I367" s="17">
        <f t="shared" si="78"/>
        <v>0</v>
      </c>
      <c r="J367" s="2"/>
      <c r="K367" s="2"/>
      <c r="L367" s="2"/>
      <c r="M367" s="2"/>
      <c r="N367" s="20"/>
      <c r="O367" s="2"/>
      <c r="P367" s="2"/>
    </row>
    <row r="368" spans="1:16" ht="15.75" customHeight="1" x14ac:dyDescent="0.35">
      <c r="A368" s="13">
        <f t="shared" ref="A368:B368" si="85">A365+7</f>
        <v>45187</v>
      </c>
      <c r="B368" s="109">
        <f t="shared" si="85"/>
        <v>836</v>
      </c>
      <c r="C368" s="102" t="str">
        <f t="shared" si="77"/>
        <v>15% FBS R1</v>
      </c>
      <c r="D368" s="91" t="s">
        <v>65</v>
      </c>
      <c r="E368" s="5">
        <v>130</v>
      </c>
      <c r="F368" s="5">
        <v>125</v>
      </c>
      <c r="G368" s="5">
        <v>115</v>
      </c>
      <c r="H368" s="5">
        <v>120</v>
      </c>
      <c r="I368" s="17">
        <f t="shared" si="78"/>
        <v>122.5</v>
      </c>
      <c r="J368" s="2">
        <f t="shared" ref="J368" si="86">I368*4*10000</f>
        <v>4900000</v>
      </c>
      <c r="K368" s="2">
        <f t="shared" si="80"/>
        <v>3000000</v>
      </c>
      <c r="L368" s="2">
        <f t="shared" ref="L368" si="87">J368*5</f>
        <v>24500000</v>
      </c>
      <c r="M368" s="3">
        <f t="shared" ref="M368" si="88">I368/(I368+I369)*100</f>
        <v>95.516569200779728</v>
      </c>
      <c r="N368" s="22">
        <f>I370/I368*100</f>
        <v>0</v>
      </c>
      <c r="O368" s="4">
        <f t="shared" ref="O368" si="89">3.32*(LOG(L368)-LOG(K368))</f>
        <v>3.0279888344209684</v>
      </c>
      <c r="P368" s="4">
        <f t="shared" ref="P368" si="90">IF(O368&lt;0,P365,P365+O368)</f>
        <v>229.93180470637017</v>
      </c>
    </row>
    <row r="369" spans="1:16" ht="15.75" customHeight="1" x14ac:dyDescent="0.35">
      <c r="A369" s="2"/>
      <c r="B369" s="109"/>
      <c r="C369" s="102"/>
      <c r="D369" s="92" t="s">
        <v>66</v>
      </c>
      <c r="E369" s="5">
        <v>5</v>
      </c>
      <c r="F369" s="5">
        <v>5</v>
      </c>
      <c r="G369" s="5">
        <v>6</v>
      </c>
      <c r="H369" s="5">
        <v>7</v>
      </c>
      <c r="I369" s="17">
        <f t="shared" si="78"/>
        <v>5.75</v>
      </c>
      <c r="J369" s="2"/>
      <c r="K369" s="2"/>
      <c r="L369" s="2"/>
      <c r="M369" s="2"/>
      <c r="N369" s="20"/>
      <c r="O369" s="2"/>
      <c r="P369" s="2"/>
    </row>
    <row r="370" spans="1:16" ht="15.75" customHeight="1" x14ac:dyDescent="0.35">
      <c r="A370" s="2"/>
      <c r="B370" s="109"/>
      <c r="C370" s="102"/>
      <c r="D370" s="92" t="s">
        <v>67</v>
      </c>
      <c r="E370" s="5">
        <v>0</v>
      </c>
      <c r="F370" s="5">
        <v>0</v>
      </c>
      <c r="G370" s="5">
        <v>0</v>
      </c>
      <c r="H370" s="5">
        <v>0</v>
      </c>
      <c r="I370" s="17">
        <f t="shared" si="78"/>
        <v>0</v>
      </c>
      <c r="J370" s="2"/>
      <c r="K370" s="2"/>
      <c r="L370" s="2"/>
      <c r="M370" s="2"/>
      <c r="N370" s="20"/>
      <c r="O370" s="2"/>
      <c r="P370" s="2"/>
    </row>
    <row r="371" spans="1:16" ht="15.75" customHeight="1" x14ac:dyDescent="0.35">
      <c r="A371" s="13">
        <f t="shared" ref="A371:B371" si="91">A368+7</f>
        <v>45194</v>
      </c>
      <c r="B371" s="109">
        <f t="shared" si="91"/>
        <v>843</v>
      </c>
      <c r="C371" s="102" t="str">
        <f t="shared" si="77"/>
        <v>15% FBS R1</v>
      </c>
      <c r="D371" s="91" t="s">
        <v>65</v>
      </c>
      <c r="E371" s="5">
        <v>129</v>
      </c>
      <c r="F371" s="5">
        <v>128</v>
      </c>
      <c r="G371" s="5">
        <v>134</v>
      </c>
      <c r="H371" s="5">
        <v>131</v>
      </c>
      <c r="I371" s="17">
        <f t="shared" si="78"/>
        <v>130.5</v>
      </c>
      <c r="J371" s="2">
        <f>I371*2*10000</f>
        <v>2610000</v>
      </c>
      <c r="K371" s="2">
        <f t="shared" si="80"/>
        <v>3000000</v>
      </c>
      <c r="L371" s="2">
        <f t="shared" ref="L371" si="92">J371*5</f>
        <v>13050000</v>
      </c>
      <c r="M371" s="3">
        <f t="shared" ref="M371" si="93">I371/(I371+I372)*100</f>
        <v>94.054054054054063</v>
      </c>
      <c r="N371" s="22">
        <f>I373/I371*100</f>
        <v>0</v>
      </c>
      <c r="O371" s="4">
        <f t="shared" ref="O371" si="94">3.32*(LOG(L371)-LOG(K371))</f>
        <v>2.1197843330893948</v>
      </c>
      <c r="P371" s="4">
        <f t="shared" ref="P371" si="95">IF(O371&lt;0,P368,P368+O371)</f>
        <v>232.05158903945957</v>
      </c>
    </row>
    <row r="372" spans="1:16" ht="15.75" customHeight="1" x14ac:dyDescent="0.35">
      <c r="A372" s="2"/>
      <c r="B372" s="109"/>
      <c r="C372" s="102"/>
      <c r="D372" s="92" t="s">
        <v>66</v>
      </c>
      <c r="E372" s="5">
        <v>6</v>
      </c>
      <c r="F372" s="5">
        <v>5</v>
      </c>
      <c r="G372" s="5">
        <v>13</v>
      </c>
      <c r="H372" s="5">
        <v>9</v>
      </c>
      <c r="I372" s="17">
        <f t="shared" si="78"/>
        <v>8.25</v>
      </c>
      <c r="J372" s="2"/>
      <c r="K372" s="2"/>
      <c r="L372" s="2"/>
      <c r="M372" s="2"/>
      <c r="N372" s="20"/>
      <c r="O372" s="2"/>
      <c r="P372" s="2"/>
    </row>
    <row r="373" spans="1:16" ht="15.75" customHeight="1" x14ac:dyDescent="0.35">
      <c r="A373" s="2"/>
      <c r="B373" s="109"/>
      <c r="C373" s="102"/>
      <c r="D373" s="92" t="s">
        <v>67</v>
      </c>
      <c r="E373" s="5">
        <v>0</v>
      </c>
      <c r="F373" s="5">
        <v>0</v>
      </c>
      <c r="G373" s="5">
        <v>0</v>
      </c>
      <c r="H373" s="5">
        <v>0</v>
      </c>
      <c r="I373" s="17">
        <f t="shared" si="78"/>
        <v>0</v>
      </c>
      <c r="J373" s="2"/>
      <c r="K373" s="2"/>
      <c r="L373" s="2"/>
      <c r="M373" s="2"/>
      <c r="N373" s="20"/>
      <c r="O373" s="2"/>
      <c r="P373" s="2"/>
    </row>
    <row r="374" spans="1:16" ht="15.75" customHeight="1" x14ac:dyDescent="0.35">
      <c r="A374" s="13">
        <f t="shared" ref="A374:B374" si="96">A371+7</f>
        <v>45201</v>
      </c>
      <c r="B374" s="109">
        <f t="shared" si="96"/>
        <v>850</v>
      </c>
      <c r="C374" s="102" t="str">
        <f t="shared" ref="C374" si="97">$C$125</f>
        <v>15% FBS R1</v>
      </c>
      <c r="D374" s="91" t="s">
        <v>65</v>
      </c>
      <c r="E374" s="5">
        <v>122</v>
      </c>
      <c r="F374" s="5">
        <v>100</v>
      </c>
      <c r="G374" s="5">
        <v>129</v>
      </c>
      <c r="H374" s="5">
        <v>125</v>
      </c>
      <c r="I374" s="17">
        <f t="shared" si="78"/>
        <v>119</v>
      </c>
      <c r="J374" s="2">
        <f>I374*2*10000</f>
        <v>2380000</v>
      </c>
      <c r="K374" s="2">
        <f t="shared" ref="K374" si="98">$K$125</f>
        <v>3000000</v>
      </c>
      <c r="L374" s="2">
        <f t="shared" ref="L374" si="99">J374*5</f>
        <v>11900000</v>
      </c>
      <c r="M374" s="3">
        <f t="shared" ref="M374" si="100">I374/(I374+I375)*100</f>
        <v>95.582329317269071</v>
      </c>
      <c r="N374" s="22">
        <f>I376/I374*100</f>
        <v>0</v>
      </c>
      <c r="O374" s="4">
        <f t="shared" ref="O374" si="101">3.32*(LOG(L374)-LOG(K374))</f>
        <v>1.986773346153923</v>
      </c>
      <c r="P374" s="4">
        <f t="shared" ref="P374" si="102">IF(O374&lt;0,P371,P371+O374)</f>
        <v>234.03836238561348</v>
      </c>
    </row>
    <row r="375" spans="1:16" ht="15.75" customHeight="1" x14ac:dyDescent="0.35">
      <c r="A375" s="2"/>
      <c r="B375" s="109"/>
      <c r="C375" s="102"/>
      <c r="D375" s="92" t="s">
        <v>66</v>
      </c>
      <c r="E375" s="5">
        <v>4</v>
      </c>
      <c r="F375" s="5">
        <v>6</v>
      </c>
      <c r="G375" s="5">
        <v>6</v>
      </c>
      <c r="H375" s="5">
        <v>6</v>
      </c>
      <c r="I375" s="17">
        <f t="shared" si="78"/>
        <v>5.5</v>
      </c>
      <c r="J375" s="2"/>
      <c r="K375" s="2"/>
      <c r="L375" s="2"/>
      <c r="M375" s="2"/>
      <c r="N375" s="20"/>
      <c r="O375" s="2"/>
      <c r="P375" s="2"/>
    </row>
    <row r="376" spans="1:16" ht="15.75" customHeight="1" x14ac:dyDescent="0.35">
      <c r="A376" s="2"/>
      <c r="B376" s="109"/>
      <c r="C376" s="102"/>
      <c r="D376" s="92" t="s">
        <v>67</v>
      </c>
      <c r="E376" s="5">
        <v>0</v>
      </c>
      <c r="F376" s="5">
        <v>0</v>
      </c>
      <c r="G376" s="5">
        <v>0</v>
      </c>
      <c r="H376" s="5">
        <v>0</v>
      </c>
      <c r="I376" s="17">
        <f t="shared" si="78"/>
        <v>0</v>
      </c>
      <c r="J376" s="2"/>
      <c r="K376" s="2"/>
      <c r="L376" s="2"/>
      <c r="M376" s="2"/>
      <c r="N376" s="20"/>
      <c r="O376" s="2"/>
      <c r="P376" s="2"/>
    </row>
    <row r="377" spans="1:16" ht="15.75" customHeight="1" x14ac:dyDescent="0.35">
      <c r="A377" s="13">
        <f t="shared" ref="A377:B377" si="103">A374+7</f>
        <v>45208</v>
      </c>
      <c r="B377" s="109">
        <f t="shared" si="103"/>
        <v>857</v>
      </c>
      <c r="C377" s="102" t="str">
        <f t="shared" ref="C377" si="104">$C$125</f>
        <v>15% FBS R1</v>
      </c>
      <c r="D377" s="91" t="s">
        <v>65</v>
      </c>
      <c r="E377" s="5">
        <v>73</v>
      </c>
      <c r="F377" s="5">
        <v>72</v>
      </c>
      <c r="G377" s="5">
        <v>66</v>
      </c>
      <c r="H377" s="5">
        <v>75</v>
      </c>
      <c r="I377" s="17">
        <f t="shared" ref="I377:I379" si="105">AVERAGE(E377:H377)</f>
        <v>71.5</v>
      </c>
      <c r="J377" s="2">
        <f>I377*2*10000</f>
        <v>1430000</v>
      </c>
      <c r="K377" s="2">
        <f t="shared" ref="K377" si="106">$K$125</f>
        <v>3000000</v>
      </c>
      <c r="L377" s="2">
        <f t="shared" ref="L377" si="107">J377*5</f>
        <v>7150000</v>
      </c>
      <c r="M377" s="3">
        <f t="shared" ref="M377" si="108">I377/(I377+I378)*100</f>
        <v>96.949152542372886</v>
      </c>
      <c r="N377" s="22">
        <f>I379/I377*100</f>
        <v>0</v>
      </c>
      <c r="O377" s="4">
        <f t="shared" ref="O377" si="109">3.32*(LOG(L377)-LOG(K377))</f>
        <v>1.2522534931103091</v>
      </c>
      <c r="P377" s="4">
        <f t="shared" ref="P377" si="110">IF(O377&lt;0,P374,P374+O377)</f>
        <v>235.2906158787238</v>
      </c>
    </row>
    <row r="378" spans="1:16" ht="15.75" customHeight="1" x14ac:dyDescent="0.35">
      <c r="A378" s="2"/>
      <c r="B378" s="109"/>
      <c r="C378" s="102"/>
      <c r="D378" s="92" t="s">
        <v>66</v>
      </c>
      <c r="E378" s="5">
        <v>3</v>
      </c>
      <c r="F378" s="5">
        <v>1</v>
      </c>
      <c r="G378" s="5">
        <v>2</v>
      </c>
      <c r="H378" s="5">
        <v>3</v>
      </c>
      <c r="I378" s="17">
        <f t="shared" si="105"/>
        <v>2.25</v>
      </c>
      <c r="J378" s="2"/>
      <c r="K378" s="2"/>
      <c r="L378" s="2"/>
      <c r="M378" s="2"/>
      <c r="N378" s="20"/>
      <c r="O378" s="2"/>
      <c r="P378" s="2"/>
    </row>
    <row r="379" spans="1:16" ht="15.75" customHeight="1" x14ac:dyDescent="0.35">
      <c r="A379" s="2"/>
      <c r="B379" s="109"/>
      <c r="C379" s="102"/>
      <c r="D379" s="92" t="s">
        <v>67</v>
      </c>
      <c r="E379" s="5">
        <v>0</v>
      </c>
      <c r="F379" s="5">
        <v>0</v>
      </c>
      <c r="G379" s="5">
        <v>0</v>
      </c>
      <c r="H379" s="5">
        <v>0</v>
      </c>
      <c r="I379" s="17">
        <f t="shared" si="105"/>
        <v>0</v>
      </c>
      <c r="J379" s="2"/>
      <c r="K379" s="2"/>
      <c r="L379" s="2"/>
      <c r="M379" s="2"/>
      <c r="N379" s="20"/>
      <c r="O379" s="2"/>
      <c r="P379" s="2"/>
    </row>
    <row r="380" spans="1:16" ht="15.75" customHeight="1" x14ac:dyDescent="0.35">
      <c r="A380" s="13">
        <f t="shared" ref="A380:B380" si="111">A377+7</f>
        <v>45215</v>
      </c>
      <c r="B380" s="109">
        <f t="shared" si="111"/>
        <v>864</v>
      </c>
      <c r="C380" s="102" t="str">
        <f t="shared" ref="C380:C395" si="112">$C$125</f>
        <v>15% FBS R1</v>
      </c>
      <c r="D380" s="91" t="s">
        <v>65</v>
      </c>
      <c r="E380" s="5">
        <v>111</v>
      </c>
      <c r="F380" s="5">
        <v>116</v>
      </c>
      <c r="G380" s="5">
        <v>104</v>
      </c>
      <c r="H380" s="5">
        <v>120</v>
      </c>
      <c r="I380" s="17">
        <f t="shared" ref="I380:I388" si="113">AVERAGE(E380:H380)</f>
        <v>112.75</v>
      </c>
      <c r="J380" s="2">
        <f>I380*2*10000</f>
        <v>2255000</v>
      </c>
      <c r="K380" s="2">
        <f t="shared" ref="K380:K395" si="114">$K$125</f>
        <v>3000000</v>
      </c>
      <c r="L380" s="2">
        <f t="shared" ref="L380" si="115">J380*5</f>
        <v>11275000</v>
      </c>
      <c r="M380" s="3">
        <f t="shared" ref="M380" si="116">I380/(I380+I381)*100</f>
        <v>95.550847457627114</v>
      </c>
      <c r="N380" s="22">
        <f>I382/I380*100</f>
        <v>0</v>
      </c>
      <c r="O380" s="4">
        <f t="shared" ref="O380" si="117">3.32*(LOG(L380)-LOG(K380))</f>
        <v>1.9089843821567145</v>
      </c>
      <c r="P380" s="4">
        <f t="shared" ref="P380" si="118">IF(O380&lt;0,P377,P377+O380)</f>
        <v>237.19960026088052</v>
      </c>
    </row>
    <row r="381" spans="1:16" ht="15.75" customHeight="1" x14ac:dyDescent="0.35">
      <c r="A381" s="2"/>
      <c r="B381" s="109"/>
      <c r="C381" s="102"/>
      <c r="D381" s="92" t="s">
        <v>66</v>
      </c>
      <c r="E381" s="5">
        <v>9</v>
      </c>
      <c r="F381" s="5">
        <v>4</v>
      </c>
      <c r="G381" s="5">
        <v>6</v>
      </c>
      <c r="H381" s="5">
        <v>2</v>
      </c>
      <c r="I381" s="17">
        <f t="shared" si="113"/>
        <v>5.25</v>
      </c>
      <c r="J381" s="2"/>
      <c r="K381" s="2"/>
      <c r="L381" s="2"/>
      <c r="M381" s="2"/>
      <c r="N381" s="20"/>
      <c r="O381" s="2"/>
      <c r="P381" s="2"/>
    </row>
    <row r="382" spans="1:16" ht="15.75" customHeight="1" x14ac:dyDescent="0.35">
      <c r="A382" s="2"/>
      <c r="B382" s="109"/>
      <c r="C382" s="102"/>
      <c r="D382" s="92" t="s">
        <v>67</v>
      </c>
      <c r="E382" s="5">
        <v>0</v>
      </c>
      <c r="F382" s="5">
        <v>0</v>
      </c>
      <c r="G382" s="5">
        <v>0</v>
      </c>
      <c r="H382" s="5">
        <v>0</v>
      </c>
      <c r="I382" s="17">
        <f t="shared" si="113"/>
        <v>0</v>
      </c>
      <c r="J382" s="2"/>
      <c r="K382" s="2"/>
      <c r="L382" s="2"/>
      <c r="M382" s="2"/>
      <c r="N382" s="20"/>
      <c r="O382" s="2"/>
      <c r="P382" s="2"/>
    </row>
    <row r="383" spans="1:16" ht="15.75" customHeight="1" x14ac:dyDescent="0.35">
      <c r="A383" s="13">
        <f t="shared" ref="A383:B383" si="119">A380+7</f>
        <v>45222</v>
      </c>
      <c r="B383" s="109">
        <f t="shared" si="119"/>
        <v>871</v>
      </c>
      <c r="C383" s="102" t="str">
        <f t="shared" si="112"/>
        <v>15% FBS R1</v>
      </c>
      <c r="D383" s="91" t="s">
        <v>65</v>
      </c>
      <c r="E383" s="5">
        <v>204</v>
      </c>
      <c r="F383" s="5">
        <v>211</v>
      </c>
      <c r="G383" s="5">
        <v>189</v>
      </c>
      <c r="H383" s="5">
        <v>201</v>
      </c>
      <c r="I383" s="17">
        <f t="shared" si="113"/>
        <v>201.25</v>
      </c>
      <c r="J383" s="2">
        <f>I383*2*10000</f>
        <v>4025000</v>
      </c>
      <c r="K383" s="2">
        <f t="shared" si="114"/>
        <v>3000000</v>
      </c>
      <c r="L383" s="2">
        <f t="shared" ref="L383" si="120">J383*5</f>
        <v>20125000</v>
      </c>
      <c r="M383" s="3">
        <f t="shared" ref="M383" si="121">I383/(I383+I384)*100</f>
        <v>98.531211750305999</v>
      </c>
      <c r="N383" s="22">
        <f>I385/I383*100</f>
        <v>0</v>
      </c>
      <c r="O383" s="4">
        <f t="shared" ref="O383" si="122">3.32*(LOG(L383)-LOG(K383))</f>
        <v>2.7443605859432085</v>
      </c>
      <c r="P383" s="4">
        <f t="shared" ref="P383" si="123">IF(O383&lt;0,P380,P380+O383)</f>
        <v>239.94396084682373</v>
      </c>
    </row>
    <row r="384" spans="1:16" ht="15.75" customHeight="1" x14ac:dyDescent="0.35">
      <c r="A384" s="2"/>
      <c r="B384" s="109"/>
      <c r="C384" s="102"/>
      <c r="D384" s="92" t="s">
        <v>66</v>
      </c>
      <c r="E384" s="5">
        <v>3</v>
      </c>
      <c r="F384" s="5">
        <v>3</v>
      </c>
      <c r="G384" s="5">
        <v>4</v>
      </c>
      <c r="H384" s="5">
        <v>2</v>
      </c>
      <c r="I384" s="17">
        <f t="shared" si="113"/>
        <v>3</v>
      </c>
      <c r="J384" s="2"/>
      <c r="K384" s="2"/>
      <c r="L384" s="2"/>
      <c r="M384" s="2"/>
      <c r="N384" s="20"/>
      <c r="O384" s="2"/>
      <c r="P384" s="2"/>
    </row>
    <row r="385" spans="1:16" ht="15.75" customHeight="1" x14ac:dyDescent="0.35">
      <c r="A385" s="2"/>
      <c r="B385" s="109"/>
      <c r="C385" s="102"/>
      <c r="D385" s="92" t="s">
        <v>67</v>
      </c>
      <c r="E385" s="5">
        <v>0</v>
      </c>
      <c r="F385" s="5">
        <v>0</v>
      </c>
      <c r="G385" s="5">
        <v>0</v>
      </c>
      <c r="H385" s="5">
        <v>0</v>
      </c>
      <c r="I385" s="17">
        <f t="shared" si="113"/>
        <v>0</v>
      </c>
      <c r="J385" s="2"/>
      <c r="K385" s="2"/>
      <c r="L385" s="2"/>
      <c r="M385" s="2"/>
      <c r="N385" s="20"/>
      <c r="O385" s="2"/>
      <c r="P385" s="2"/>
    </row>
    <row r="386" spans="1:16" ht="15.75" customHeight="1" x14ac:dyDescent="0.35">
      <c r="A386" s="13">
        <f t="shared" ref="A386:B386" si="124">A383+7</f>
        <v>45229</v>
      </c>
      <c r="B386" s="109">
        <f t="shared" si="124"/>
        <v>878</v>
      </c>
      <c r="C386" s="102" t="str">
        <f t="shared" si="112"/>
        <v>15% FBS R1</v>
      </c>
      <c r="D386" s="91" t="s">
        <v>65</v>
      </c>
      <c r="E386" s="5">
        <v>121</v>
      </c>
      <c r="F386" s="5">
        <v>131</v>
      </c>
      <c r="G386" s="5">
        <v>112</v>
      </c>
      <c r="H386" s="5">
        <v>109</v>
      </c>
      <c r="I386" s="17">
        <f t="shared" si="113"/>
        <v>118.25</v>
      </c>
      <c r="J386" s="2">
        <f>I386*2*10000</f>
        <v>2365000</v>
      </c>
      <c r="K386" s="2">
        <f t="shared" si="114"/>
        <v>3000000</v>
      </c>
      <c r="L386" s="2">
        <f t="shared" ref="L386" si="125">J386*5</f>
        <v>11825000</v>
      </c>
      <c r="M386" s="3">
        <f t="shared" ref="M386" si="126">I386/(I386+I387)*100</f>
        <v>95.943204868154154</v>
      </c>
      <c r="N386" s="22">
        <f>I388/I386*100</f>
        <v>0</v>
      </c>
      <c r="O386" s="4">
        <f t="shared" ref="O386" si="127">3.32*(LOG(L386)-LOG(K386))</f>
        <v>1.9776572503714189</v>
      </c>
      <c r="P386" s="4">
        <f t="shared" ref="P386" si="128">IF(O386&lt;0,P383,P383+O386)</f>
        <v>241.92161809719514</v>
      </c>
    </row>
    <row r="387" spans="1:16" ht="15.75" customHeight="1" x14ac:dyDescent="0.35">
      <c r="A387" s="2"/>
      <c r="B387" s="109"/>
      <c r="C387" s="102"/>
      <c r="D387" s="92" t="s">
        <v>66</v>
      </c>
      <c r="E387" s="5">
        <v>8</v>
      </c>
      <c r="F387" s="5">
        <v>6</v>
      </c>
      <c r="G387" s="5">
        <v>2</v>
      </c>
      <c r="H387" s="5">
        <v>4</v>
      </c>
      <c r="I387" s="17">
        <f t="shared" si="113"/>
        <v>5</v>
      </c>
      <c r="J387" s="2"/>
      <c r="K387" s="2"/>
      <c r="L387" s="2"/>
      <c r="M387" s="2"/>
      <c r="N387" s="20"/>
      <c r="O387" s="2"/>
      <c r="P387" s="2"/>
    </row>
    <row r="388" spans="1:16" ht="15.75" customHeight="1" x14ac:dyDescent="0.35">
      <c r="A388" s="2"/>
      <c r="B388" s="109"/>
      <c r="C388" s="102"/>
      <c r="D388" s="92" t="s">
        <v>67</v>
      </c>
      <c r="E388" s="5">
        <v>0</v>
      </c>
      <c r="F388" s="5">
        <v>0</v>
      </c>
      <c r="G388" s="5">
        <v>0</v>
      </c>
      <c r="H388" s="5">
        <v>0</v>
      </c>
      <c r="I388" s="17">
        <f t="shared" si="113"/>
        <v>0</v>
      </c>
      <c r="J388" s="2"/>
      <c r="K388" s="2"/>
      <c r="L388" s="2"/>
      <c r="M388" s="2"/>
      <c r="N388" s="20"/>
      <c r="O388" s="2"/>
      <c r="P388" s="2"/>
    </row>
    <row r="389" spans="1:16" ht="15.75" customHeight="1" x14ac:dyDescent="0.35">
      <c r="A389" s="13">
        <f t="shared" ref="A389:B389" si="129">A386+7</f>
        <v>45236</v>
      </c>
      <c r="B389" s="109">
        <f t="shared" si="129"/>
        <v>885</v>
      </c>
      <c r="C389" s="102" t="str">
        <f t="shared" si="112"/>
        <v>15% FBS R1</v>
      </c>
      <c r="D389" s="91" t="s">
        <v>65</v>
      </c>
      <c r="E389" s="5">
        <v>142</v>
      </c>
      <c r="F389" s="5">
        <v>133</v>
      </c>
      <c r="G389" s="5">
        <v>108</v>
      </c>
      <c r="H389" s="5">
        <v>123</v>
      </c>
      <c r="I389" s="17">
        <f t="shared" ref="I389:I397" si="130">AVERAGE(E389:H389)</f>
        <v>126.5</v>
      </c>
      <c r="J389" s="2">
        <f>I389*2*10000</f>
        <v>2530000</v>
      </c>
      <c r="K389" s="2">
        <f t="shared" si="114"/>
        <v>3000000</v>
      </c>
      <c r="L389" s="2">
        <f t="shared" ref="L389" si="131">J389*5</f>
        <v>12650000</v>
      </c>
      <c r="M389" s="3">
        <f t="shared" ref="M389" si="132">I389/(I389+I390)*100</f>
        <v>96.934865900383144</v>
      </c>
      <c r="N389" s="22">
        <f>I391/I389*100</f>
        <v>0</v>
      </c>
      <c r="O389" s="4">
        <f t="shared" ref="O389" si="133">3.32*(LOG(L389)-LOG(K389))</f>
        <v>2.0748979790300166</v>
      </c>
      <c r="P389" s="4">
        <f t="shared" ref="P389" si="134">IF(O389&lt;0,P386,P386+O389)</f>
        <v>243.99651607622516</v>
      </c>
    </row>
    <row r="390" spans="1:16" ht="15.75" customHeight="1" x14ac:dyDescent="0.35">
      <c r="A390" s="2"/>
      <c r="B390" s="109"/>
      <c r="C390" s="102"/>
      <c r="D390" s="92" t="s">
        <v>66</v>
      </c>
      <c r="E390" s="5">
        <v>6</v>
      </c>
      <c r="F390" s="5">
        <v>4</v>
      </c>
      <c r="G390" s="5">
        <v>4</v>
      </c>
      <c r="H390" s="5">
        <v>2</v>
      </c>
      <c r="I390" s="17">
        <f t="shared" si="130"/>
        <v>4</v>
      </c>
      <c r="J390" s="2"/>
      <c r="K390" s="2"/>
      <c r="L390" s="2"/>
      <c r="M390" s="2"/>
      <c r="N390" s="20"/>
      <c r="O390" s="2"/>
      <c r="P390" s="2"/>
    </row>
    <row r="391" spans="1:16" ht="15.75" customHeight="1" x14ac:dyDescent="0.35">
      <c r="A391" s="2"/>
      <c r="B391" s="109"/>
      <c r="C391" s="102"/>
      <c r="D391" s="92" t="s">
        <v>67</v>
      </c>
      <c r="E391" s="5">
        <v>0</v>
      </c>
      <c r="F391" s="5">
        <v>0</v>
      </c>
      <c r="G391" s="5">
        <v>0</v>
      </c>
      <c r="H391" s="5">
        <v>0</v>
      </c>
      <c r="I391" s="17">
        <f t="shared" si="130"/>
        <v>0</v>
      </c>
      <c r="J391" s="2"/>
      <c r="K391" s="2"/>
      <c r="L391" s="2"/>
      <c r="M391" s="2"/>
      <c r="N391" s="20"/>
      <c r="O391" s="2"/>
      <c r="P391" s="2"/>
    </row>
    <row r="392" spans="1:16" ht="15.75" customHeight="1" x14ac:dyDescent="0.35">
      <c r="A392" s="13">
        <f t="shared" ref="A392:B392" si="135">A389+7</f>
        <v>45243</v>
      </c>
      <c r="B392" s="109">
        <f t="shared" si="135"/>
        <v>892</v>
      </c>
      <c r="C392" s="102" t="str">
        <f t="shared" si="112"/>
        <v>15% FBS R1</v>
      </c>
      <c r="D392" s="91" t="s">
        <v>65</v>
      </c>
      <c r="E392" s="5">
        <v>198</v>
      </c>
      <c r="F392" s="5">
        <v>153</v>
      </c>
      <c r="G392" s="5">
        <v>163</v>
      </c>
      <c r="H392" s="5">
        <v>168</v>
      </c>
      <c r="I392" s="17">
        <f t="shared" si="130"/>
        <v>170.5</v>
      </c>
      <c r="J392" s="2">
        <f>I392*2*10000</f>
        <v>3410000</v>
      </c>
      <c r="K392" s="2">
        <f t="shared" si="114"/>
        <v>3000000</v>
      </c>
      <c r="L392" s="2">
        <f t="shared" ref="L392" si="136">J392*5</f>
        <v>17050000</v>
      </c>
      <c r="M392" s="3">
        <f t="shared" ref="M392" si="137">I392/(I392+I393)*100</f>
        <v>97.012802275960169</v>
      </c>
      <c r="N392" s="22">
        <f>I394/I392*100</f>
        <v>0</v>
      </c>
      <c r="O392" s="4">
        <f t="shared" ref="O392" si="138">3.32*(LOG(L392)-LOG(K392))</f>
        <v>2.5052823869813943</v>
      </c>
      <c r="P392" s="4">
        <f t="shared" ref="P392" si="139">IF(O392&lt;0,P389,P389+O392)</f>
        <v>246.50179846320657</v>
      </c>
    </row>
    <row r="393" spans="1:16" ht="15.75" customHeight="1" x14ac:dyDescent="0.35">
      <c r="A393" s="2"/>
      <c r="B393" s="109"/>
      <c r="C393" s="102"/>
      <c r="D393" s="92" t="s">
        <v>66</v>
      </c>
      <c r="E393" s="5">
        <v>4</v>
      </c>
      <c r="F393" s="5">
        <v>6</v>
      </c>
      <c r="G393" s="5">
        <v>8</v>
      </c>
      <c r="H393" s="5">
        <v>3</v>
      </c>
      <c r="I393" s="17">
        <f t="shared" si="130"/>
        <v>5.25</v>
      </c>
      <c r="J393" s="2"/>
      <c r="K393" s="2"/>
      <c r="L393" s="2"/>
      <c r="M393" s="2"/>
      <c r="N393" s="20"/>
      <c r="O393" s="2"/>
      <c r="P393" s="2"/>
    </row>
    <row r="394" spans="1:16" ht="15.75" customHeight="1" x14ac:dyDescent="0.35">
      <c r="A394" s="2"/>
      <c r="B394" s="109"/>
      <c r="C394" s="102"/>
      <c r="D394" s="92" t="s">
        <v>67</v>
      </c>
      <c r="E394" s="5">
        <v>0</v>
      </c>
      <c r="F394" s="5">
        <v>0</v>
      </c>
      <c r="G394" s="5">
        <v>0</v>
      </c>
      <c r="H394" s="5">
        <v>0</v>
      </c>
      <c r="I394" s="17">
        <f t="shared" si="130"/>
        <v>0</v>
      </c>
      <c r="J394" s="2"/>
      <c r="K394" s="2"/>
      <c r="L394" s="2"/>
      <c r="M394" s="2"/>
      <c r="N394" s="20"/>
      <c r="O394" s="2"/>
      <c r="P394" s="2"/>
    </row>
    <row r="395" spans="1:16" ht="15.75" customHeight="1" x14ac:dyDescent="0.35">
      <c r="A395" s="13">
        <f t="shared" ref="A395:B395" si="140">A392+7</f>
        <v>45250</v>
      </c>
      <c r="B395" s="109">
        <f t="shared" si="140"/>
        <v>899</v>
      </c>
      <c r="C395" s="102" t="str">
        <f t="shared" si="112"/>
        <v>15% FBS R1</v>
      </c>
      <c r="D395" s="91" t="s">
        <v>65</v>
      </c>
      <c r="E395" s="5">
        <v>127</v>
      </c>
      <c r="F395" s="5">
        <v>135</v>
      </c>
      <c r="G395" s="5">
        <v>142</v>
      </c>
      <c r="H395" s="5">
        <v>129</v>
      </c>
      <c r="I395" s="17">
        <f t="shared" si="130"/>
        <v>133.25</v>
      </c>
      <c r="J395" s="2">
        <f>I395*2*10000</f>
        <v>2665000</v>
      </c>
      <c r="K395" s="2">
        <f t="shared" si="114"/>
        <v>3000000</v>
      </c>
      <c r="L395" s="2">
        <f t="shared" ref="L395" si="141">J395*5</f>
        <v>13325000</v>
      </c>
      <c r="M395" s="3">
        <f t="shared" ref="M395" si="142">I395/(I395+I396)*100</f>
        <v>97.97794117647058</v>
      </c>
      <c r="N395" s="22">
        <f>I397/I395*100</f>
        <v>0</v>
      </c>
      <c r="O395" s="4">
        <f t="shared" ref="O395" si="143">3.32*(LOG(L395)-LOG(K395))</f>
        <v>2.149852597090105</v>
      </c>
      <c r="P395" s="4">
        <f t="shared" ref="P395" si="144">IF(O395&lt;0,P392,P392+O395)</f>
        <v>248.65165106029667</v>
      </c>
    </row>
    <row r="396" spans="1:16" ht="15.75" customHeight="1" x14ac:dyDescent="0.35">
      <c r="A396" s="2"/>
      <c r="B396" s="109"/>
      <c r="C396" s="102"/>
      <c r="D396" s="92" t="s">
        <v>66</v>
      </c>
      <c r="E396" s="5">
        <v>4</v>
      </c>
      <c r="F396" s="5">
        <v>2</v>
      </c>
      <c r="G396" s="5">
        <v>2</v>
      </c>
      <c r="H396" s="5">
        <v>3</v>
      </c>
      <c r="I396" s="17">
        <f t="shared" si="130"/>
        <v>2.75</v>
      </c>
      <c r="J396" s="2"/>
      <c r="K396" s="2"/>
      <c r="L396" s="2"/>
      <c r="M396" s="2"/>
      <c r="N396" s="20"/>
      <c r="O396" s="2"/>
      <c r="P396" s="2"/>
    </row>
    <row r="397" spans="1:16" ht="15.75" customHeight="1" x14ac:dyDescent="0.35">
      <c r="A397" s="2"/>
      <c r="B397" s="109"/>
      <c r="C397" s="102"/>
      <c r="D397" s="92" t="s">
        <v>67</v>
      </c>
      <c r="E397" s="5">
        <v>0</v>
      </c>
      <c r="F397" s="5">
        <v>0</v>
      </c>
      <c r="G397" s="5">
        <v>0</v>
      </c>
      <c r="H397" s="5">
        <v>0</v>
      </c>
      <c r="I397" s="17">
        <f t="shared" si="130"/>
        <v>0</v>
      </c>
      <c r="J397" s="2"/>
      <c r="K397" s="2"/>
      <c r="L397" s="2"/>
      <c r="M397" s="2"/>
      <c r="N397" s="20"/>
      <c r="O397" s="2"/>
      <c r="P397" s="2"/>
    </row>
    <row r="398" spans="1:16" ht="15.75" customHeight="1" x14ac:dyDescent="0.35">
      <c r="A398" s="13">
        <f t="shared" ref="A398:B398" si="145">A395+7</f>
        <v>45257</v>
      </c>
      <c r="B398" s="109">
        <f t="shared" si="145"/>
        <v>906</v>
      </c>
      <c r="C398" s="102" t="str">
        <f t="shared" ref="C398:C404" si="146">$C$125</f>
        <v>15% FBS R1</v>
      </c>
      <c r="D398" s="91" t="s">
        <v>65</v>
      </c>
      <c r="E398" s="5">
        <v>89</v>
      </c>
      <c r="F398" s="5">
        <v>891</v>
      </c>
      <c r="G398" s="5">
        <v>102</v>
      </c>
      <c r="H398" s="5">
        <v>97</v>
      </c>
      <c r="I398" s="17">
        <f t="shared" ref="I398:I406" si="147">AVERAGE(E398:H398)</f>
        <v>294.75</v>
      </c>
      <c r="J398" s="2">
        <f>I398*2*10000</f>
        <v>5895000</v>
      </c>
      <c r="K398" s="2">
        <f t="shared" ref="K398:K404" si="148">$K$125</f>
        <v>3000000</v>
      </c>
      <c r="L398" s="2">
        <f t="shared" ref="L398" si="149">J398*5</f>
        <v>29475000</v>
      </c>
      <c r="M398" s="3">
        <f t="shared" ref="M398" si="150">I398/(I398+I399)*100</f>
        <v>98.578595317725743</v>
      </c>
      <c r="N398" s="22">
        <f>I400/I398*100</f>
        <v>0</v>
      </c>
      <c r="O398" s="4">
        <f t="shared" ref="O398" si="151">3.32*(LOG(L398)-LOG(K398))</f>
        <v>3.294544096037582</v>
      </c>
      <c r="P398" s="4">
        <f t="shared" ref="P398" si="152">IF(O398&lt;0,P395,P395+O398)</f>
        <v>251.94619515633426</v>
      </c>
    </row>
    <row r="399" spans="1:16" ht="15.75" customHeight="1" x14ac:dyDescent="0.35">
      <c r="A399" s="2"/>
      <c r="B399" s="109"/>
      <c r="C399" s="102"/>
      <c r="D399" s="92" t="s">
        <v>66</v>
      </c>
      <c r="E399" s="5">
        <v>2</v>
      </c>
      <c r="F399" s="5">
        <v>3</v>
      </c>
      <c r="G399" s="5">
        <v>8</v>
      </c>
      <c r="H399" s="5">
        <v>4</v>
      </c>
      <c r="I399" s="17">
        <f t="shared" si="147"/>
        <v>4.25</v>
      </c>
      <c r="J399" s="2"/>
      <c r="K399" s="2"/>
      <c r="L399" s="2"/>
      <c r="M399" s="2"/>
      <c r="N399" s="20"/>
      <c r="O399" s="2"/>
      <c r="P399" s="2"/>
    </row>
    <row r="400" spans="1:16" ht="15.75" customHeight="1" x14ac:dyDescent="0.35">
      <c r="A400" s="2"/>
      <c r="B400" s="109"/>
      <c r="C400" s="102"/>
      <c r="D400" s="92" t="s">
        <v>67</v>
      </c>
      <c r="E400" s="5">
        <v>0</v>
      </c>
      <c r="F400" s="5">
        <v>0</v>
      </c>
      <c r="G400" s="5">
        <v>0</v>
      </c>
      <c r="H400" s="5">
        <v>0</v>
      </c>
      <c r="I400" s="17">
        <f t="shared" si="147"/>
        <v>0</v>
      </c>
      <c r="J400" s="2"/>
      <c r="K400" s="2"/>
      <c r="L400" s="2"/>
      <c r="M400" s="2"/>
      <c r="N400" s="20"/>
      <c r="O400" s="2"/>
      <c r="P400" s="2"/>
    </row>
    <row r="401" spans="1:16" ht="15.75" customHeight="1" x14ac:dyDescent="0.35">
      <c r="A401" s="13">
        <f>A398+8</f>
        <v>45265</v>
      </c>
      <c r="B401" s="109">
        <f>B398+8</f>
        <v>914</v>
      </c>
      <c r="C401" s="102" t="str">
        <f t="shared" si="146"/>
        <v>15% FBS R1</v>
      </c>
      <c r="D401" s="91" t="s">
        <v>65</v>
      </c>
      <c r="E401" s="5">
        <v>223</v>
      </c>
      <c r="F401" s="5">
        <v>194</v>
      </c>
      <c r="G401" s="5">
        <v>210</v>
      </c>
      <c r="H401" s="5">
        <v>221</v>
      </c>
      <c r="I401" s="17">
        <f t="shared" si="147"/>
        <v>212</v>
      </c>
      <c r="J401" s="2">
        <f>I401*2*10000</f>
        <v>4240000</v>
      </c>
      <c r="K401" s="2">
        <f t="shared" si="148"/>
        <v>3000000</v>
      </c>
      <c r="L401" s="2">
        <f t="shared" ref="L401" si="153">J401*5</f>
        <v>21200000</v>
      </c>
      <c r="M401" s="3">
        <f t="shared" ref="M401" si="154">I401/(I401+I402)*100</f>
        <v>97.583429228998853</v>
      </c>
      <c r="N401" s="22">
        <f>I403/I401*100</f>
        <v>0</v>
      </c>
      <c r="O401" s="4">
        <f t="shared" ref="O401" si="155">3.32*(LOG(L401)-LOG(K401))</f>
        <v>2.8193924926141753</v>
      </c>
      <c r="P401" s="4">
        <f t="shared" ref="P401" si="156">IF(O401&lt;0,P398,P398+O401)</f>
        <v>254.76558764894844</v>
      </c>
    </row>
    <row r="402" spans="1:16" ht="15.75" customHeight="1" x14ac:dyDescent="0.35">
      <c r="A402" s="2"/>
      <c r="B402" s="109"/>
      <c r="C402" s="102"/>
      <c r="D402" s="92" t="s">
        <v>66</v>
      </c>
      <c r="E402" s="5">
        <v>3</v>
      </c>
      <c r="F402" s="5">
        <v>5</v>
      </c>
      <c r="G402" s="5">
        <v>8</v>
      </c>
      <c r="H402" s="5">
        <v>5</v>
      </c>
      <c r="I402" s="17">
        <f t="shared" si="147"/>
        <v>5.25</v>
      </c>
      <c r="J402" s="2"/>
      <c r="K402" s="2"/>
      <c r="L402" s="2"/>
      <c r="M402" s="2"/>
      <c r="N402" s="20"/>
      <c r="O402" s="2"/>
      <c r="P402" s="2"/>
    </row>
    <row r="403" spans="1:16" ht="15.75" customHeight="1" x14ac:dyDescent="0.35">
      <c r="A403" s="2"/>
      <c r="B403" s="109"/>
      <c r="C403" s="102"/>
      <c r="D403" s="92" t="s">
        <v>67</v>
      </c>
      <c r="E403" s="5">
        <v>0</v>
      </c>
      <c r="F403" s="5">
        <v>0</v>
      </c>
      <c r="G403" s="5">
        <v>0</v>
      </c>
      <c r="H403" s="5">
        <v>0</v>
      </c>
      <c r="I403" s="17">
        <f t="shared" si="147"/>
        <v>0</v>
      </c>
      <c r="J403" s="2"/>
      <c r="K403" s="2"/>
      <c r="L403" s="2"/>
      <c r="M403" s="2"/>
      <c r="N403" s="20"/>
      <c r="O403" s="2"/>
      <c r="P403" s="2"/>
    </row>
    <row r="404" spans="1:16" ht="15.75" customHeight="1" x14ac:dyDescent="0.35">
      <c r="A404" s="13">
        <f t="shared" ref="A404:B404" si="157">A401+7</f>
        <v>45272</v>
      </c>
      <c r="B404" s="109">
        <f t="shared" si="157"/>
        <v>921</v>
      </c>
      <c r="C404" s="102" t="str">
        <f t="shared" si="146"/>
        <v>15% FBS R1</v>
      </c>
      <c r="D404" s="91" t="s">
        <v>65</v>
      </c>
      <c r="E404" s="5">
        <v>206</v>
      </c>
      <c r="F404" s="5">
        <v>197</v>
      </c>
      <c r="G404" s="5">
        <v>187</v>
      </c>
      <c r="H404" s="5">
        <v>202</v>
      </c>
      <c r="I404" s="17">
        <f t="shared" si="147"/>
        <v>198</v>
      </c>
      <c r="J404" s="2">
        <f>I404*2*10000</f>
        <v>3960000</v>
      </c>
      <c r="K404" s="2">
        <f t="shared" si="148"/>
        <v>3000000</v>
      </c>
      <c r="L404" s="2">
        <f t="shared" ref="L404" si="158">J404*5</f>
        <v>19800000</v>
      </c>
      <c r="M404" s="3">
        <f t="shared" ref="M404" si="159">I404/(I404+I405)*100</f>
        <v>93.17647058823529</v>
      </c>
      <c r="N404" s="22">
        <f>I406/I404*100</f>
        <v>0</v>
      </c>
      <c r="O404" s="4">
        <f t="shared" ref="O404" si="160">3.32*(LOG(L404)-LOG(K404))</f>
        <v>2.7208858659990027</v>
      </c>
      <c r="P404" s="4">
        <f t="shared" ref="P404" si="161">IF(O404&lt;0,P401,P401+O404)</f>
        <v>257.48647351494742</v>
      </c>
    </row>
    <row r="405" spans="1:16" ht="15.75" customHeight="1" x14ac:dyDescent="0.35">
      <c r="A405" s="2"/>
      <c r="B405" s="109"/>
      <c r="C405" s="102"/>
      <c r="D405" s="92" t="s">
        <v>66</v>
      </c>
      <c r="E405" s="5">
        <v>16</v>
      </c>
      <c r="F405" s="5">
        <v>14</v>
      </c>
      <c r="G405" s="5">
        <v>12</v>
      </c>
      <c r="H405" s="5">
        <v>16</v>
      </c>
      <c r="I405" s="17">
        <f t="shared" si="147"/>
        <v>14.5</v>
      </c>
      <c r="J405" s="2"/>
      <c r="K405" s="2"/>
      <c r="L405" s="2"/>
      <c r="M405" s="2"/>
      <c r="N405" s="20"/>
      <c r="O405" s="2"/>
      <c r="P405" s="2"/>
    </row>
    <row r="406" spans="1:16" ht="15.75" customHeight="1" x14ac:dyDescent="0.35">
      <c r="A406" s="2"/>
      <c r="B406" s="109"/>
      <c r="C406" s="102"/>
      <c r="D406" s="92" t="s">
        <v>67</v>
      </c>
      <c r="E406" s="5">
        <v>0</v>
      </c>
      <c r="F406" s="5">
        <v>0</v>
      </c>
      <c r="G406" s="5">
        <v>0</v>
      </c>
      <c r="H406" s="5">
        <v>0</v>
      </c>
      <c r="I406" s="17">
        <f t="shared" si="147"/>
        <v>0</v>
      </c>
      <c r="J406" s="2"/>
      <c r="K406" s="2"/>
      <c r="L406" s="2"/>
      <c r="M406" s="2"/>
      <c r="N406" s="20"/>
      <c r="O406" s="2"/>
      <c r="P406" s="2"/>
    </row>
    <row r="407" spans="1:16" ht="15.75" customHeight="1" x14ac:dyDescent="0.35">
      <c r="A407" s="13">
        <f>A404+7</f>
        <v>45279</v>
      </c>
      <c r="B407" s="109">
        <f>B404+7</f>
        <v>928</v>
      </c>
      <c r="C407" s="102" t="str">
        <f t="shared" ref="C407:C413" si="162">$C$125</f>
        <v>15% FBS R1</v>
      </c>
      <c r="D407" s="91" t="s">
        <v>65</v>
      </c>
      <c r="E407" s="5">
        <v>148</v>
      </c>
      <c r="F407" s="5">
        <v>138</v>
      </c>
      <c r="G407" s="5">
        <v>121</v>
      </c>
      <c r="H407" s="5">
        <v>129</v>
      </c>
      <c r="I407" s="17">
        <f t="shared" ref="I407:I415" si="163">AVERAGE(E407:H407)</f>
        <v>134</v>
      </c>
      <c r="J407" s="2">
        <f>I407*2*10000</f>
        <v>2680000</v>
      </c>
      <c r="K407" s="2">
        <f t="shared" ref="K407:K413" si="164">$K$125</f>
        <v>3000000</v>
      </c>
      <c r="L407" s="2">
        <f t="shared" ref="L407" si="165">J407*5</f>
        <v>13400000</v>
      </c>
      <c r="M407" s="3">
        <f t="shared" ref="M407" si="166">I407/(I407+I408)*100</f>
        <v>86.451612903225808</v>
      </c>
      <c r="N407" s="22">
        <f>I409/I407*100</f>
        <v>0</v>
      </c>
      <c r="O407" s="4">
        <f t="shared" ref="O407" si="167">3.32*(LOG(L407)-LOG(K407))</f>
        <v>2.15794536490188</v>
      </c>
      <c r="P407" s="4">
        <f t="shared" ref="P407" si="168">IF(O407&lt;0,P404,P404+O407)</f>
        <v>259.6444188798493</v>
      </c>
    </row>
    <row r="408" spans="1:16" ht="15.75" customHeight="1" x14ac:dyDescent="0.35">
      <c r="A408" s="2"/>
      <c r="B408" s="109"/>
      <c r="C408" s="102"/>
      <c r="D408" s="92" t="s">
        <v>66</v>
      </c>
      <c r="E408" s="5">
        <v>25</v>
      </c>
      <c r="F408" s="5">
        <v>12</v>
      </c>
      <c r="G408" s="5">
        <v>30</v>
      </c>
      <c r="H408" s="5">
        <v>17</v>
      </c>
      <c r="I408" s="17">
        <f t="shared" si="163"/>
        <v>21</v>
      </c>
      <c r="J408" s="2"/>
      <c r="K408" s="2"/>
      <c r="L408" s="2"/>
      <c r="M408" s="2"/>
      <c r="N408" s="20"/>
      <c r="O408" s="2"/>
      <c r="P408" s="2"/>
    </row>
    <row r="409" spans="1:16" ht="15.75" customHeight="1" x14ac:dyDescent="0.35">
      <c r="A409" s="2"/>
      <c r="B409" s="109"/>
      <c r="C409" s="102"/>
      <c r="D409" s="92" t="s">
        <v>67</v>
      </c>
      <c r="E409" s="5">
        <v>0</v>
      </c>
      <c r="F409" s="5">
        <v>0</v>
      </c>
      <c r="G409" s="5">
        <v>0</v>
      </c>
      <c r="H409" s="5">
        <v>0</v>
      </c>
      <c r="I409" s="17">
        <f t="shared" si="163"/>
        <v>0</v>
      </c>
      <c r="J409" s="2"/>
      <c r="K409" s="2"/>
      <c r="L409" s="2"/>
      <c r="M409" s="2"/>
      <c r="N409" s="20"/>
      <c r="O409" s="2"/>
      <c r="P409" s="2"/>
    </row>
    <row r="410" spans="1:16" ht="15.75" customHeight="1" x14ac:dyDescent="0.35">
      <c r="A410" s="13">
        <f t="shared" ref="A410:B410" si="169">A407+7</f>
        <v>45286</v>
      </c>
      <c r="B410" s="109">
        <f t="shared" si="169"/>
        <v>935</v>
      </c>
      <c r="C410" s="102" t="str">
        <f t="shared" si="162"/>
        <v>15% FBS R1</v>
      </c>
      <c r="D410" s="91" t="s">
        <v>65</v>
      </c>
      <c r="E410" s="5">
        <v>153</v>
      </c>
      <c r="F410" s="5">
        <v>119</v>
      </c>
      <c r="G410" s="5">
        <v>125</v>
      </c>
      <c r="H410" s="5">
        <v>135</v>
      </c>
      <c r="I410" s="17">
        <f t="shared" si="163"/>
        <v>133</v>
      </c>
      <c r="J410" s="2">
        <f>I410*2*10000</f>
        <v>2660000</v>
      </c>
      <c r="K410" s="2">
        <f t="shared" si="164"/>
        <v>3000000</v>
      </c>
      <c r="L410" s="2">
        <f t="shared" ref="L410" si="170">J410*5</f>
        <v>13300000</v>
      </c>
      <c r="M410" s="3">
        <f t="shared" ref="M410" si="171">I410/(I410+I411)*100</f>
        <v>75.675675675675677</v>
      </c>
      <c r="N410" s="22">
        <f>I412/I410*100</f>
        <v>0</v>
      </c>
      <c r="O410" s="4">
        <f t="shared" ref="O410" si="172">3.32*(LOG(L410)-LOG(K410))</f>
        <v>2.1471448823414447</v>
      </c>
      <c r="P410" s="4">
        <f t="shared" ref="P410" si="173">IF(O410&lt;0,P407,P407+O410)</f>
        <v>261.79156376219072</v>
      </c>
    </row>
    <row r="411" spans="1:16" ht="15.75" customHeight="1" x14ac:dyDescent="0.35">
      <c r="A411" s="2"/>
      <c r="B411" s="109"/>
      <c r="C411" s="102"/>
      <c r="D411" s="92" t="s">
        <v>66</v>
      </c>
      <c r="E411" s="5">
        <v>48</v>
      </c>
      <c r="F411" s="5">
        <v>42</v>
      </c>
      <c r="G411" s="5">
        <v>42</v>
      </c>
      <c r="H411" s="5">
        <v>39</v>
      </c>
      <c r="I411" s="17">
        <f t="shared" si="163"/>
        <v>42.75</v>
      </c>
      <c r="J411" s="2"/>
      <c r="K411" s="2"/>
      <c r="L411" s="2"/>
      <c r="M411" s="2"/>
      <c r="N411" s="20"/>
      <c r="O411" s="2"/>
      <c r="P411" s="2"/>
    </row>
    <row r="412" spans="1:16" ht="15.75" customHeight="1" x14ac:dyDescent="0.35">
      <c r="A412" s="2"/>
      <c r="B412" s="109"/>
      <c r="C412" s="102"/>
      <c r="D412" s="92" t="s">
        <v>67</v>
      </c>
      <c r="E412" s="5">
        <v>0</v>
      </c>
      <c r="F412" s="5">
        <v>0</v>
      </c>
      <c r="G412" s="5">
        <v>0</v>
      </c>
      <c r="H412" s="5">
        <v>0</v>
      </c>
      <c r="I412" s="17">
        <f t="shared" si="163"/>
        <v>0</v>
      </c>
      <c r="J412" s="2"/>
      <c r="K412" s="2"/>
      <c r="L412" s="2"/>
      <c r="M412" s="2"/>
      <c r="N412" s="20"/>
      <c r="O412" s="2"/>
      <c r="P412" s="2"/>
    </row>
    <row r="413" spans="1:16" ht="15.75" customHeight="1" x14ac:dyDescent="0.35">
      <c r="A413" s="13">
        <f t="shared" ref="A413:B413" si="174">A410+7</f>
        <v>45293</v>
      </c>
      <c r="B413" s="109">
        <f t="shared" si="174"/>
        <v>942</v>
      </c>
      <c r="C413" s="102" t="str">
        <f t="shared" si="162"/>
        <v>15% FBS R1</v>
      </c>
      <c r="D413" s="91" t="s">
        <v>65</v>
      </c>
      <c r="E413" s="5">
        <v>113</v>
      </c>
      <c r="F413" s="5">
        <v>134</v>
      </c>
      <c r="G413" s="5">
        <v>152</v>
      </c>
      <c r="H413" s="5">
        <v>128</v>
      </c>
      <c r="I413" s="17">
        <f t="shared" si="163"/>
        <v>131.75</v>
      </c>
      <c r="J413" s="2">
        <f>I413*2*10000</f>
        <v>2635000</v>
      </c>
      <c r="K413" s="2">
        <f t="shared" si="164"/>
        <v>3000000</v>
      </c>
      <c r="L413" s="2">
        <f t="shared" ref="L413" si="175">J413*5</f>
        <v>13175000</v>
      </c>
      <c r="M413" s="3">
        <f t="shared" ref="M413" si="176">I413/(I413+I414)*100</f>
        <v>86.963696369636963</v>
      </c>
      <c r="N413" s="22">
        <f>I415/I413*100</f>
        <v>0</v>
      </c>
      <c r="O413" s="4">
        <f t="shared" ref="O413" si="177">3.32*(LOG(L413)-LOG(K413))</f>
        <v>2.1335295056275383</v>
      </c>
      <c r="P413" s="4">
        <f t="shared" ref="P413" si="178">IF(O413&lt;0,P410,P410+O413)</f>
        <v>263.92509326781828</v>
      </c>
    </row>
    <row r="414" spans="1:16" ht="15.75" customHeight="1" x14ac:dyDescent="0.35">
      <c r="A414" s="2"/>
      <c r="B414" s="109"/>
      <c r="C414" s="102"/>
      <c r="D414" s="92" t="s">
        <v>66</v>
      </c>
      <c r="E414" s="5">
        <v>21</v>
      </c>
      <c r="F414" s="5">
        <v>22</v>
      </c>
      <c r="G414" s="5">
        <v>15</v>
      </c>
      <c r="H414" s="5">
        <v>21</v>
      </c>
      <c r="I414" s="17">
        <f t="shared" si="163"/>
        <v>19.75</v>
      </c>
      <c r="J414" s="2"/>
      <c r="K414" s="2"/>
      <c r="L414" s="2"/>
      <c r="M414" s="2"/>
      <c r="N414" s="20"/>
      <c r="O414" s="2"/>
      <c r="P414" s="2"/>
    </row>
    <row r="415" spans="1:16" ht="15.75" customHeight="1" x14ac:dyDescent="0.35">
      <c r="A415" s="2"/>
      <c r="B415" s="109"/>
      <c r="C415" s="102"/>
      <c r="D415" s="92" t="s">
        <v>67</v>
      </c>
      <c r="E415" s="5">
        <v>0</v>
      </c>
      <c r="F415" s="5">
        <v>0</v>
      </c>
      <c r="G415" s="5">
        <v>0</v>
      </c>
      <c r="H415" s="5">
        <v>0</v>
      </c>
      <c r="I415" s="17">
        <f t="shared" si="163"/>
        <v>0</v>
      </c>
      <c r="J415" s="2"/>
      <c r="K415" s="2"/>
      <c r="L415" s="2"/>
      <c r="M415" s="2"/>
      <c r="N415" s="20"/>
      <c r="O415" s="2"/>
      <c r="P415" s="2"/>
    </row>
    <row r="416" spans="1:16" ht="15.75" customHeight="1" x14ac:dyDescent="0.35">
      <c r="A416" s="13">
        <f t="shared" ref="A416:B416" si="179">A413+7</f>
        <v>45300</v>
      </c>
      <c r="B416" s="109">
        <f t="shared" si="179"/>
        <v>949</v>
      </c>
      <c r="C416" s="102" t="str">
        <f t="shared" ref="C416:C422" si="180">$C$125</f>
        <v>15% FBS R1</v>
      </c>
      <c r="D416" s="91" t="s">
        <v>65</v>
      </c>
      <c r="E416" s="5">
        <v>194</v>
      </c>
      <c r="F416" s="5">
        <v>153</v>
      </c>
      <c r="G416" s="5">
        <v>180</v>
      </c>
      <c r="H416" s="5">
        <v>176</v>
      </c>
      <c r="I416" s="17">
        <f t="shared" ref="I416:I424" si="181">AVERAGE(E416:H416)</f>
        <v>175.75</v>
      </c>
      <c r="J416" s="2">
        <f>I416*2*10000</f>
        <v>3515000</v>
      </c>
      <c r="K416" s="2">
        <f t="shared" ref="K416:K422" si="182">$K$125</f>
        <v>3000000</v>
      </c>
      <c r="L416" s="2">
        <f t="shared" ref="L416" si="183">J416*5</f>
        <v>17575000</v>
      </c>
      <c r="M416" s="3">
        <f t="shared" ref="M416" si="184">I416/(I416+I417)*100</f>
        <v>92.621870882740438</v>
      </c>
      <c r="N416" s="22">
        <f>I418/I416*100</f>
        <v>0</v>
      </c>
      <c r="O416" s="4">
        <f t="shared" ref="O416" si="185">3.32*(LOG(L416)-LOG(K416))</f>
        <v>2.5490099421876997</v>
      </c>
      <c r="P416" s="4">
        <f t="shared" ref="P416" si="186">IF(O416&lt;0,P413,P413+O416)</f>
        <v>266.47410321000598</v>
      </c>
    </row>
    <row r="417" spans="1:16" ht="15.75" customHeight="1" x14ac:dyDescent="0.35">
      <c r="A417" s="2"/>
      <c r="B417" s="109"/>
      <c r="C417" s="102"/>
      <c r="D417" s="92" t="s">
        <v>66</v>
      </c>
      <c r="E417" s="5">
        <v>15</v>
      </c>
      <c r="F417" s="5">
        <v>10</v>
      </c>
      <c r="G417" s="5">
        <v>19</v>
      </c>
      <c r="H417" s="5">
        <v>12</v>
      </c>
      <c r="I417" s="17">
        <f t="shared" si="181"/>
        <v>14</v>
      </c>
      <c r="J417" s="2"/>
      <c r="K417" s="2"/>
      <c r="L417" s="2"/>
      <c r="M417" s="2"/>
      <c r="N417" s="20"/>
      <c r="O417" s="2"/>
      <c r="P417" s="2"/>
    </row>
    <row r="418" spans="1:16" ht="15.75" customHeight="1" x14ac:dyDescent="0.35">
      <c r="A418" s="2"/>
      <c r="B418" s="109"/>
      <c r="C418" s="102"/>
      <c r="D418" s="92" t="s">
        <v>67</v>
      </c>
      <c r="E418" s="5">
        <v>0</v>
      </c>
      <c r="F418" s="5">
        <v>0</v>
      </c>
      <c r="G418" s="5">
        <v>0</v>
      </c>
      <c r="H418" s="5">
        <v>0</v>
      </c>
      <c r="I418" s="17">
        <f t="shared" si="181"/>
        <v>0</v>
      </c>
      <c r="J418" s="2"/>
      <c r="K418" s="2"/>
      <c r="L418" s="2"/>
      <c r="M418" s="2"/>
      <c r="N418" s="20"/>
      <c r="O418" s="2"/>
      <c r="P418" s="2"/>
    </row>
    <row r="419" spans="1:16" ht="15.75" customHeight="1" x14ac:dyDescent="0.35">
      <c r="A419" s="13">
        <f t="shared" ref="A419:B419" si="187">A416+7</f>
        <v>45307</v>
      </c>
      <c r="B419" s="109">
        <f t="shared" si="187"/>
        <v>956</v>
      </c>
      <c r="C419" s="102" t="str">
        <f t="shared" si="180"/>
        <v>15% FBS R1</v>
      </c>
      <c r="D419" s="91" t="s">
        <v>65</v>
      </c>
      <c r="E419" s="5">
        <v>203</v>
      </c>
      <c r="F419" s="5">
        <v>198</v>
      </c>
      <c r="G419" s="5">
        <v>214</v>
      </c>
      <c r="H419" s="5">
        <v>205</v>
      </c>
      <c r="I419" s="17">
        <f t="shared" si="181"/>
        <v>205</v>
      </c>
      <c r="J419" s="2">
        <f>I419*2*10000</f>
        <v>4100000</v>
      </c>
      <c r="K419" s="2">
        <f t="shared" si="182"/>
        <v>3000000</v>
      </c>
      <c r="L419" s="2">
        <f t="shared" ref="L419" si="188">J419*5</f>
        <v>20500000</v>
      </c>
      <c r="M419" s="3">
        <f t="shared" ref="M419" si="189">I419/(I419+I420)*100</f>
        <v>93.607305936073061</v>
      </c>
      <c r="N419" s="22">
        <f>I421/I419*100</f>
        <v>0</v>
      </c>
      <c r="O419" s="4">
        <f t="shared" ref="O419" si="190">3.32*(LOG(L419)-LOG(K419))</f>
        <v>2.7709802530358241</v>
      </c>
      <c r="P419" s="4">
        <f t="shared" ref="P419" si="191">IF(O419&lt;0,P416,P416+O419)</f>
        <v>269.24508346304179</v>
      </c>
    </row>
    <row r="420" spans="1:16" ht="15.75" customHeight="1" x14ac:dyDescent="0.35">
      <c r="A420" s="2"/>
      <c r="B420" s="109"/>
      <c r="C420" s="102"/>
      <c r="D420" s="92" t="s">
        <v>66</v>
      </c>
      <c r="E420" s="5">
        <v>12</v>
      </c>
      <c r="F420" s="5">
        <v>15</v>
      </c>
      <c r="G420" s="5">
        <v>15</v>
      </c>
      <c r="H420" s="5">
        <v>14</v>
      </c>
      <c r="I420" s="17">
        <f t="shared" si="181"/>
        <v>14</v>
      </c>
      <c r="J420" s="2"/>
      <c r="K420" s="2"/>
      <c r="L420" s="2"/>
      <c r="M420" s="2"/>
      <c r="N420" s="20"/>
      <c r="O420" s="2"/>
      <c r="P420" s="2"/>
    </row>
    <row r="421" spans="1:16" ht="15.75" customHeight="1" x14ac:dyDescent="0.35">
      <c r="A421" s="2"/>
      <c r="B421" s="109"/>
      <c r="C421" s="102"/>
      <c r="D421" s="92" t="s">
        <v>67</v>
      </c>
      <c r="E421" s="5">
        <v>0</v>
      </c>
      <c r="F421" s="5">
        <v>0</v>
      </c>
      <c r="G421" s="5">
        <v>0</v>
      </c>
      <c r="H421" s="5">
        <v>0</v>
      </c>
      <c r="I421" s="17">
        <f t="shared" si="181"/>
        <v>0</v>
      </c>
      <c r="J421" s="2"/>
      <c r="K421" s="2"/>
      <c r="L421" s="2"/>
      <c r="M421" s="2"/>
      <c r="N421" s="20"/>
      <c r="O421" s="2"/>
      <c r="P421" s="2"/>
    </row>
    <row r="422" spans="1:16" ht="15.75" customHeight="1" x14ac:dyDescent="0.35">
      <c r="A422" s="13">
        <f t="shared" ref="A422:B422" si="192">A419+7</f>
        <v>45314</v>
      </c>
      <c r="B422" s="109">
        <f t="shared" si="192"/>
        <v>963</v>
      </c>
      <c r="C422" s="102" t="str">
        <f t="shared" si="180"/>
        <v>15% FBS R1</v>
      </c>
      <c r="D422" s="91" t="s">
        <v>65</v>
      </c>
      <c r="E422" s="5">
        <v>224</v>
      </c>
      <c r="F422" s="5">
        <v>196</v>
      </c>
      <c r="G422" s="5">
        <v>217</v>
      </c>
      <c r="H422" s="5">
        <v>210</v>
      </c>
      <c r="I422" s="17">
        <f t="shared" si="181"/>
        <v>211.75</v>
      </c>
      <c r="J422" s="2">
        <f>I422*2*10000</f>
        <v>4235000</v>
      </c>
      <c r="K422" s="2">
        <f t="shared" si="182"/>
        <v>3000000</v>
      </c>
      <c r="L422" s="2">
        <f t="shared" ref="L422" si="193">J422*5</f>
        <v>21175000</v>
      </c>
      <c r="M422" s="3">
        <f t="shared" ref="M422" si="194">I422/(I422+I423)*100</f>
        <v>92.467248908296938</v>
      </c>
      <c r="N422" s="22">
        <f>I424/I422*100</f>
        <v>0</v>
      </c>
      <c r="O422" s="4">
        <f t="shared" ref="O422" si="195">3.32*(LOG(L422)-LOG(K422))</f>
        <v>2.817691185419831</v>
      </c>
      <c r="P422" s="4">
        <f t="shared" ref="P422" si="196">IF(O422&lt;0,P419,P419+O422)</f>
        <v>272.06277464846164</v>
      </c>
    </row>
    <row r="423" spans="1:16" ht="15.75" customHeight="1" x14ac:dyDescent="0.35">
      <c r="A423" s="2"/>
      <c r="B423" s="109"/>
      <c r="C423" s="102"/>
      <c r="D423" s="92" t="s">
        <v>66</v>
      </c>
      <c r="E423" s="5">
        <v>17</v>
      </c>
      <c r="F423" s="5">
        <v>14</v>
      </c>
      <c r="G423" s="5">
        <v>20</v>
      </c>
      <c r="H423" s="5">
        <v>18</v>
      </c>
      <c r="I423" s="17">
        <f t="shared" si="181"/>
        <v>17.25</v>
      </c>
      <c r="J423" s="2"/>
      <c r="K423" s="2"/>
      <c r="L423" s="2"/>
      <c r="M423" s="2"/>
      <c r="N423" s="20"/>
      <c r="O423" s="2"/>
      <c r="P423" s="2"/>
    </row>
    <row r="424" spans="1:16" ht="15.75" customHeight="1" x14ac:dyDescent="0.35">
      <c r="A424" s="2"/>
      <c r="B424" s="109"/>
      <c r="C424" s="102"/>
      <c r="D424" s="92" t="s">
        <v>67</v>
      </c>
      <c r="E424" s="5">
        <v>0</v>
      </c>
      <c r="F424" s="5">
        <v>0</v>
      </c>
      <c r="G424" s="5">
        <v>0</v>
      </c>
      <c r="H424" s="5">
        <v>0</v>
      </c>
      <c r="I424" s="17">
        <f t="shared" si="181"/>
        <v>0</v>
      </c>
      <c r="J424" s="2"/>
      <c r="K424" s="2"/>
      <c r="L424" s="2"/>
      <c r="M424" s="2"/>
      <c r="N424" s="20"/>
      <c r="O424" s="2"/>
      <c r="P424" s="2"/>
    </row>
    <row r="425" spans="1:16" ht="15.75" customHeight="1" x14ac:dyDescent="0.35">
      <c r="A425" s="13">
        <f t="shared" ref="A425:B425" si="197">A422+7</f>
        <v>45321</v>
      </c>
      <c r="B425" s="109">
        <f t="shared" si="197"/>
        <v>970</v>
      </c>
      <c r="C425" s="102" t="str">
        <f t="shared" ref="C425:C431" si="198">$C$125</f>
        <v>15% FBS R1</v>
      </c>
      <c r="D425" s="91" t="s">
        <v>65</v>
      </c>
      <c r="E425" s="5">
        <v>154</v>
      </c>
      <c r="F425" s="5">
        <v>157</v>
      </c>
      <c r="G425" s="5">
        <v>170</v>
      </c>
      <c r="H425" s="5">
        <v>162</v>
      </c>
      <c r="I425" s="17">
        <f t="shared" ref="I425:I433" si="199">AVERAGE(E425:H425)</f>
        <v>160.75</v>
      </c>
      <c r="J425" s="2">
        <f>I425*2*10000</f>
        <v>3215000</v>
      </c>
      <c r="K425" s="2">
        <f t="shared" ref="K425:K431" si="200">$K$125</f>
        <v>3000000</v>
      </c>
      <c r="L425" s="2">
        <f t="shared" ref="L425" si="201">J425*5</f>
        <v>16075000</v>
      </c>
      <c r="M425" s="3">
        <f t="shared" ref="M425" si="202">I425/(I425+I426)*100</f>
        <v>91.988555078683831</v>
      </c>
      <c r="N425" s="22">
        <f>I427/I425*100</f>
        <v>0</v>
      </c>
      <c r="O425" s="4">
        <f t="shared" ref="O425" si="203">3.32*(LOG(L425)-LOG(K425))</f>
        <v>2.4203786932303015</v>
      </c>
      <c r="P425" s="4">
        <f t="shared" ref="P425" si="204">IF(O425&lt;0,P422,P422+O425)</f>
        <v>274.48315334169195</v>
      </c>
    </row>
    <row r="426" spans="1:16" ht="15.75" customHeight="1" x14ac:dyDescent="0.35">
      <c r="A426" s="2"/>
      <c r="B426" s="109"/>
      <c r="C426" s="102"/>
      <c r="D426" s="92" t="s">
        <v>66</v>
      </c>
      <c r="E426" s="5">
        <v>10</v>
      </c>
      <c r="F426" s="5">
        <v>15</v>
      </c>
      <c r="G426" s="5">
        <v>14</v>
      </c>
      <c r="H426" s="5">
        <v>17</v>
      </c>
      <c r="I426" s="17">
        <f t="shared" si="199"/>
        <v>14</v>
      </c>
      <c r="J426" s="2"/>
      <c r="K426" s="2"/>
      <c r="L426" s="2"/>
      <c r="M426" s="2"/>
      <c r="N426" s="20"/>
      <c r="O426" s="2"/>
      <c r="P426" s="2"/>
    </row>
    <row r="427" spans="1:16" ht="15.75" customHeight="1" x14ac:dyDescent="0.35">
      <c r="A427" s="2"/>
      <c r="B427" s="109"/>
      <c r="C427" s="102"/>
      <c r="D427" s="92" t="s">
        <v>67</v>
      </c>
      <c r="E427" s="5">
        <v>0</v>
      </c>
      <c r="F427" s="5">
        <v>0</v>
      </c>
      <c r="G427" s="5">
        <v>0</v>
      </c>
      <c r="H427" s="5">
        <v>0</v>
      </c>
      <c r="I427" s="17">
        <f t="shared" si="199"/>
        <v>0</v>
      </c>
      <c r="J427" s="2"/>
      <c r="K427" s="2"/>
      <c r="L427" s="2"/>
      <c r="M427" s="2"/>
      <c r="N427" s="20"/>
      <c r="O427" s="2"/>
      <c r="P427" s="2"/>
    </row>
    <row r="428" spans="1:16" ht="15.75" customHeight="1" x14ac:dyDescent="0.35">
      <c r="A428" s="13">
        <f t="shared" ref="A428:B428" si="205">A425+7</f>
        <v>45328</v>
      </c>
      <c r="B428" s="109">
        <f t="shared" si="205"/>
        <v>977</v>
      </c>
      <c r="C428" s="102" t="str">
        <f t="shared" si="198"/>
        <v>15% FBS R1</v>
      </c>
      <c r="D428" s="91" t="s">
        <v>65</v>
      </c>
      <c r="E428" s="5">
        <v>187</v>
      </c>
      <c r="F428" s="5">
        <v>210</v>
      </c>
      <c r="G428" s="5">
        <v>216</v>
      </c>
      <c r="H428" s="5">
        <v>205</v>
      </c>
      <c r="I428" s="17">
        <f t="shared" si="199"/>
        <v>204.5</v>
      </c>
      <c r="J428" s="2">
        <f>I428*2*10000</f>
        <v>4090000</v>
      </c>
      <c r="K428" s="2">
        <f t="shared" si="200"/>
        <v>3000000</v>
      </c>
      <c r="L428" s="2">
        <f t="shared" ref="L428" si="206">J428*5</f>
        <v>20450000</v>
      </c>
      <c r="M428" s="3">
        <f t="shared" ref="M428" si="207">I428/(I428+I429)*100</f>
        <v>93.378995433789953</v>
      </c>
      <c r="N428" s="22">
        <f>I430/I428*100</f>
        <v>0</v>
      </c>
      <c r="O428" s="4">
        <f t="shared" ref="O428" si="208">3.32*(LOG(L428)-LOG(K428))</f>
        <v>2.7674592313106774</v>
      </c>
      <c r="P428" s="4">
        <f t="shared" ref="P428" si="209">IF(O428&lt;0,P425,P425+O428)</f>
        <v>277.25061257300263</v>
      </c>
    </row>
    <row r="429" spans="1:16" ht="15.75" customHeight="1" x14ac:dyDescent="0.35">
      <c r="A429" s="2"/>
      <c r="B429" s="109"/>
      <c r="C429" s="102"/>
      <c r="D429" s="92" t="s">
        <v>66</v>
      </c>
      <c r="E429" s="5">
        <v>14</v>
      </c>
      <c r="F429" s="5">
        <v>17</v>
      </c>
      <c r="G429" s="5">
        <v>12</v>
      </c>
      <c r="H429" s="5">
        <v>15</v>
      </c>
      <c r="I429" s="17">
        <f t="shared" si="199"/>
        <v>14.5</v>
      </c>
      <c r="J429" s="2"/>
      <c r="K429" s="2"/>
      <c r="L429" s="2"/>
      <c r="M429" s="2"/>
      <c r="N429" s="20"/>
      <c r="O429" s="2"/>
      <c r="P429" s="2"/>
    </row>
    <row r="430" spans="1:16" ht="15.75" customHeight="1" x14ac:dyDescent="0.35">
      <c r="A430" s="2"/>
      <c r="B430" s="109"/>
      <c r="C430" s="102"/>
      <c r="D430" s="92" t="s">
        <v>67</v>
      </c>
      <c r="E430" s="5">
        <v>0</v>
      </c>
      <c r="F430" s="5">
        <v>0</v>
      </c>
      <c r="G430" s="5">
        <v>0</v>
      </c>
      <c r="H430" s="5">
        <v>0</v>
      </c>
      <c r="I430" s="17">
        <f t="shared" si="199"/>
        <v>0</v>
      </c>
      <c r="J430" s="2"/>
      <c r="K430" s="2"/>
      <c r="L430" s="2"/>
      <c r="M430" s="2"/>
      <c r="N430" s="20"/>
      <c r="O430" s="2"/>
      <c r="P430" s="2"/>
    </row>
    <row r="431" spans="1:16" ht="15.75" customHeight="1" x14ac:dyDescent="0.35">
      <c r="A431" s="13">
        <f t="shared" ref="A431:B431" si="210">A428+7</f>
        <v>45335</v>
      </c>
      <c r="B431" s="109">
        <f t="shared" si="210"/>
        <v>984</v>
      </c>
      <c r="C431" s="102" t="str">
        <f t="shared" si="198"/>
        <v>15% FBS R1</v>
      </c>
      <c r="D431" s="91" t="s">
        <v>65</v>
      </c>
      <c r="E431" s="5">
        <v>214</v>
      </c>
      <c r="F431" s="5">
        <v>189</v>
      </c>
      <c r="G431" s="5">
        <v>209</v>
      </c>
      <c r="H431" s="5">
        <v>221</v>
      </c>
      <c r="I431" s="17">
        <f t="shared" si="199"/>
        <v>208.25</v>
      </c>
      <c r="J431" s="2">
        <f>I431*2*10000</f>
        <v>4165000</v>
      </c>
      <c r="K431" s="2">
        <f t="shared" si="200"/>
        <v>3000000</v>
      </c>
      <c r="L431" s="2">
        <f t="shared" ref="L431" si="211">J431*5</f>
        <v>20825000</v>
      </c>
      <c r="M431" s="3">
        <f t="shared" ref="M431" si="212">I431/(I431+I432)*100</f>
        <v>93.912063134160093</v>
      </c>
      <c r="N431" s="22">
        <f>I433/I431*100</f>
        <v>0</v>
      </c>
      <c r="O431" s="4">
        <f t="shared" ref="O431" si="213">3.32*(LOG(L431)-LOG(K431))</f>
        <v>2.7936596677924204</v>
      </c>
      <c r="P431" s="4">
        <f t="shared" ref="P431" si="214">IF(O431&lt;0,P428,P428+O431)</f>
        <v>280.04427224079507</v>
      </c>
    </row>
    <row r="432" spans="1:16" ht="15.75" customHeight="1" x14ac:dyDescent="0.35">
      <c r="A432" s="2"/>
      <c r="B432" s="109"/>
      <c r="C432" s="102"/>
      <c r="D432" s="92" t="s">
        <v>66</v>
      </c>
      <c r="E432" s="5">
        <v>14</v>
      </c>
      <c r="F432" s="5">
        <v>17</v>
      </c>
      <c r="G432" s="5">
        <v>13</v>
      </c>
      <c r="H432" s="5">
        <v>10</v>
      </c>
      <c r="I432" s="17">
        <f t="shared" si="199"/>
        <v>13.5</v>
      </c>
      <c r="J432" s="2"/>
      <c r="K432" s="2"/>
      <c r="L432" s="2"/>
      <c r="M432" s="2"/>
      <c r="N432" s="20"/>
      <c r="O432" s="2"/>
      <c r="P432" s="2"/>
    </row>
    <row r="433" spans="1:21" ht="15.75" customHeight="1" x14ac:dyDescent="0.35">
      <c r="A433" s="2"/>
      <c r="B433" s="109"/>
      <c r="C433" s="102"/>
      <c r="D433" s="92" t="s">
        <v>67</v>
      </c>
      <c r="E433" s="5">
        <v>0</v>
      </c>
      <c r="F433" s="5">
        <v>0</v>
      </c>
      <c r="G433" s="5">
        <v>0</v>
      </c>
      <c r="H433" s="5">
        <v>0</v>
      </c>
      <c r="I433" s="17">
        <f t="shared" si="199"/>
        <v>0</v>
      </c>
      <c r="J433" s="2"/>
      <c r="K433" s="2"/>
      <c r="L433" s="2"/>
      <c r="M433" s="2"/>
      <c r="N433" s="20"/>
      <c r="O433" s="2"/>
      <c r="P433" s="2"/>
    </row>
    <row r="434" spans="1:21" ht="15.75" customHeight="1" x14ac:dyDescent="0.35">
      <c r="A434" s="13">
        <f t="shared" ref="A434:B434" si="215">A431+7</f>
        <v>45342</v>
      </c>
      <c r="B434" s="109">
        <f t="shared" si="215"/>
        <v>991</v>
      </c>
      <c r="C434" s="102" t="str">
        <f t="shared" ref="C434" si="216">$C$125</f>
        <v>15% FBS R1</v>
      </c>
      <c r="D434" s="91" t="s">
        <v>65</v>
      </c>
      <c r="E434" s="5">
        <v>201</v>
      </c>
      <c r="F434" s="5">
        <v>189</v>
      </c>
      <c r="G434" s="5">
        <v>176</v>
      </c>
      <c r="H434" s="5">
        <v>208</v>
      </c>
      <c r="I434" s="17">
        <f t="shared" ref="I434:I497" si="217">AVERAGE(E434:H434)</f>
        <v>193.5</v>
      </c>
      <c r="J434" s="2">
        <f>I434*2*10000</f>
        <v>3870000</v>
      </c>
      <c r="K434" s="2">
        <f t="shared" ref="K434" si="218">$K$125</f>
        <v>3000000</v>
      </c>
      <c r="L434" s="2">
        <f t="shared" ref="L434" si="219">J434*5</f>
        <v>19350000</v>
      </c>
      <c r="M434" s="83">
        <f t="shared" ref="M434" si="220">I434/(I434+I435)*100</f>
        <v>91.597633136094672</v>
      </c>
      <c r="N434" s="77">
        <f>I436/I434*100</f>
        <v>0</v>
      </c>
      <c r="O434" s="78">
        <f t="shared" ref="O434" si="221">3.32*(LOG(L434)-LOG(K434))</f>
        <v>2.6877382525890883</v>
      </c>
      <c r="P434" s="78">
        <f t="shared" ref="P434" si="222">IF(O434&lt;0,P431,P431+O434)</f>
        <v>282.73201049338417</v>
      </c>
    </row>
    <row r="435" spans="1:21" ht="15.75" customHeight="1" x14ac:dyDescent="0.35">
      <c r="A435" s="2"/>
      <c r="B435" s="109"/>
      <c r="C435" s="102"/>
      <c r="D435" s="92" t="s">
        <v>66</v>
      </c>
      <c r="E435" s="5">
        <v>12</v>
      </c>
      <c r="F435" s="5">
        <v>20</v>
      </c>
      <c r="G435" s="5">
        <v>26</v>
      </c>
      <c r="H435" s="5">
        <v>13</v>
      </c>
      <c r="I435" s="17">
        <f t="shared" si="217"/>
        <v>17.75</v>
      </c>
      <c r="J435" s="2"/>
      <c r="K435" s="2"/>
      <c r="L435" s="16"/>
      <c r="M435" s="20"/>
      <c r="N435" s="20"/>
      <c r="O435" s="20"/>
      <c r="P435" s="20"/>
    </row>
    <row r="436" spans="1:21" ht="15.75" customHeight="1" x14ac:dyDescent="0.35">
      <c r="A436" s="2"/>
      <c r="B436" s="109"/>
      <c r="C436" s="102"/>
      <c r="D436" s="92" t="s">
        <v>67</v>
      </c>
      <c r="E436" s="5">
        <v>0</v>
      </c>
      <c r="F436" s="5">
        <v>0</v>
      </c>
      <c r="G436" s="5">
        <v>0</v>
      </c>
      <c r="H436" s="5">
        <v>0</v>
      </c>
      <c r="I436" s="17">
        <f t="shared" si="217"/>
        <v>0</v>
      </c>
      <c r="J436" s="2"/>
      <c r="K436" s="2"/>
      <c r="L436" s="16"/>
      <c r="M436" s="20"/>
      <c r="N436" s="20"/>
      <c r="O436" s="20"/>
      <c r="P436" s="20"/>
      <c r="Q436" s="36"/>
      <c r="R436" s="36"/>
      <c r="S436" s="36"/>
      <c r="T436" s="36"/>
      <c r="U436" s="36"/>
    </row>
    <row r="437" spans="1:21" ht="15.75" customHeight="1" x14ac:dyDescent="0.35">
      <c r="A437" s="13">
        <f t="shared" ref="A437:B437" si="223">A434+7</f>
        <v>45349</v>
      </c>
      <c r="B437" s="109">
        <f t="shared" si="223"/>
        <v>998</v>
      </c>
      <c r="C437" s="102" t="str">
        <f t="shared" ref="C437" si="224">$C$155</f>
        <v>15% FBS R1</v>
      </c>
      <c r="D437" s="91" t="s">
        <v>65</v>
      </c>
      <c r="E437" s="58">
        <v>253</v>
      </c>
      <c r="F437" s="58">
        <v>312</v>
      </c>
      <c r="G437" s="58">
        <v>288</v>
      </c>
      <c r="H437" s="58">
        <v>294</v>
      </c>
      <c r="I437" s="17">
        <f t="shared" si="217"/>
        <v>286.75</v>
      </c>
      <c r="J437" s="2">
        <f>I437*2*10000</f>
        <v>5735000</v>
      </c>
      <c r="K437" s="2">
        <f t="shared" ref="K437" si="225">$K$155</f>
        <v>3000000</v>
      </c>
      <c r="L437" s="16">
        <f t="shared" ref="L437" si="226">J437*5</f>
        <v>28675000</v>
      </c>
      <c r="M437" s="84">
        <f>I437/(I437+I438)*100</f>
        <v>70.281862745098039</v>
      </c>
      <c r="N437" s="22">
        <f>I439/I437*100</f>
        <v>0</v>
      </c>
      <c r="O437" s="23">
        <f>3.32*(LOG(L437)-LOG(K437))</f>
        <v>3.2548688105540946</v>
      </c>
      <c r="P437" s="23">
        <f t="shared" ref="P437" si="227">IF(O437&lt;0,P434,P434+O437)</f>
        <v>285.98687930393828</v>
      </c>
      <c r="Q437" s="38"/>
      <c r="R437" s="38"/>
      <c r="S437" s="39"/>
      <c r="T437" s="38"/>
      <c r="U437" s="36"/>
    </row>
    <row r="438" spans="1:21" ht="15.75" customHeight="1" x14ac:dyDescent="0.35">
      <c r="A438" s="2"/>
      <c r="B438" s="109"/>
      <c r="C438" s="102"/>
      <c r="D438" s="92" t="s">
        <v>66</v>
      </c>
      <c r="E438" s="58">
        <v>119</v>
      </c>
      <c r="F438" s="58">
        <v>99</v>
      </c>
      <c r="G438" s="58">
        <v>117</v>
      </c>
      <c r="H438" s="58">
        <v>150</v>
      </c>
      <c r="I438" s="17">
        <f t="shared" si="217"/>
        <v>121.25</v>
      </c>
      <c r="J438" s="2"/>
      <c r="K438" s="2"/>
      <c r="L438" s="16"/>
      <c r="M438" s="20"/>
      <c r="N438" s="20"/>
      <c r="O438" s="20"/>
      <c r="P438" s="20"/>
      <c r="Q438" s="24"/>
      <c r="R438" s="24"/>
      <c r="S438" s="24"/>
      <c r="T438" s="67"/>
      <c r="U438" s="36"/>
    </row>
    <row r="439" spans="1:21" ht="15.75" customHeight="1" x14ac:dyDescent="0.35">
      <c r="A439" s="2"/>
      <c r="B439" s="109"/>
      <c r="C439" s="102"/>
      <c r="D439" s="92" t="s">
        <v>67</v>
      </c>
      <c r="E439" s="58">
        <v>0</v>
      </c>
      <c r="F439" s="58">
        <v>0</v>
      </c>
      <c r="G439" s="58">
        <v>0</v>
      </c>
      <c r="H439" s="58">
        <v>0</v>
      </c>
      <c r="I439" s="17">
        <f t="shared" si="217"/>
        <v>0</v>
      </c>
      <c r="J439" s="2"/>
      <c r="K439" s="2"/>
      <c r="L439" s="16"/>
      <c r="M439" s="20"/>
      <c r="N439" s="20"/>
      <c r="O439" s="20"/>
      <c r="P439" s="20"/>
      <c r="Q439" s="24"/>
      <c r="R439" s="24"/>
      <c r="S439" s="24"/>
      <c r="T439" s="67"/>
      <c r="U439" s="36"/>
    </row>
    <row r="440" spans="1:21" ht="15.75" customHeight="1" x14ac:dyDescent="0.35">
      <c r="A440" s="82">
        <f>A437+7</f>
        <v>45356</v>
      </c>
      <c r="B440" s="139">
        <f>B437+7</f>
        <v>1005</v>
      </c>
      <c r="C440" s="138" t="str">
        <f>$C$155</f>
        <v>15% FBS R1</v>
      </c>
      <c r="D440" s="91" t="s">
        <v>65</v>
      </c>
      <c r="E440" s="58">
        <v>165</v>
      </c>
      <c r="F440" s="58">
        <v>156</v>
      </c>
      <c r="G440" s="58">
        <v>159</v>
      </c>
      <c r="H440" s="58">
        <v>161</v>
      </c>
      <c r="I440" s="81">
        <f t="shared" si="217"/>
        <v>160.25</v>
      </c>
      <c r="J440" s="56">
        <f>I440*2*10000</f>
        <v>3205000</v>
      </c>
      <c r="K440" s="56">
        <f>$K$155</f>
        <v>3000000</v>
      </c>
      <c r="L440" s="57">
        <f>J440*5</f>
        <v>16025000</v>
      </c>
      <c r="M440" s="85">
        <f>I440/(I440+I441)*100</f>
        <v>89.275766016713092</v>
      </c>
      <c r="N440" s="22">
        <f>I442/I440*100</f>
        <v>0</v>
      </c>
      <c r="O440" s="66">
        <f>3.32*(LOG(L440)-LOG(K440))</f>
        <v>2.4158869211243594</v>
      </c>
      <c r="P440" s="66">
        <f>IF(O440&lt;0,P437,P437+O440)</f>
        <v>288.40276622506263</v>
      </c>
      <c r="Q440" s="68"/>
      <c r="R440" s="68"/>
      <c r="S440" s="69"/>
      <c r="T440" s="68"/>
      <c r="U440" s="36"/>
    </row>
    <row r="441" spans="1:21" ht="15.75" customHeight="1" x14ac:dyDescent="0.35">
      <c r="A441" s="80"/>
      <c r="B441" s="139"/>
      <c r="C441" s="138"/>
      <c r="D441" s="92" t="s">
        <v>66</v>
      </c>
      <c r="E441" s="58">
        <v>21</v>
      </c>
      <c r="F441" s="58">
        <v>20</v>
      </c>
      <c r="G441" s="58">
        <v>24</v>
      </c>
      <c r="H441" s="58">
        <v>12</v>
      </c>
      <c r="I441" s="81">
        <f t="shared" si="217"/>
        <v>19.25</v>
      </c>
      <c r="J441" s="56"/>
      <c r="K441" s="56"/>
      <c r="L441" s="57"/>
      <c r="M441" s="64"/>
      <c r="N441" s="20"/>
      <c r="O441" s="64"/>
      <c r="P441" s="64"/>
      <c r="Q441" s="70"/>
      <c r="R441" s="70"/>
      <c r="S441" s="70"/>
      <c r="T441" s="71"/>
      <c r="U441" s="36"/>
    </row>
    <row r="442" spans="1:21" ht="15.75" customHeight="1" x14ac:dyDescent="0.35">
      <c r="A442" s="80"/>
      <c r="B442" s="139"/>
      <c r="C442" s="138"/>
      <c r="D442" s="92" t="s">
        <v>67</v>
      </c>
      <c r="E442" s="58">
        <v>0</v>
      </c>
      <c r="F442" s="58">
        <v>0</v>
      </c>
      <c r="G442" s="58">
        <v>0</v>
      </c>
      <c r="H442" s="58">
        <v>0</v>
      </c>
      <c r="I442" s="81">
        <f t="shared" si="217"/>
        <v>0</v>
      </c>
      <c r="J442" s="56"/>
      <c r="K442" s="56"/>
      <c r="L442" s="57"/>
      <c r="M442" s="64"/>
      <c r="N442" s="20"/>
      <c r="O442" s="64"/>
      <c r="P442" s="64"/>
      <c r="Q442" s="70"/>
      <c r="R442" s="70"/>
      <c r="S442" s="70"/>
      <c r="T442" s="71"/>
      <c r="U442" s="36"/>
    </row>
    <row r="443" spans="1:21" ht="15.75" customHeight="1" x14ac:dyDescent="0.35">
      <c r="A443" s="82">
        <f>A440+7</f>
        <v>45363</v>
      </c>
      <c r="B443" s="139">
        <f>B440+7</f>
        <v>1012</v>
      </c>
      <c r="C443" s="138" t="str">
        <f>$C$155</f>
        <v>15% FBS R1</v>
      </c>
      <c r="D443" s="91" t="s">
        <v>65</v>
      </c>
      <c r="E443" s="58">
        <v>154</v>
      </c>
      <c r="F443" s="58">
        <v>171</v>
      </c>
      <c r="G443" s="58">
        <v>189</v>
      </c>
      <c r="H443" s="58">
        <v>150</v>
      </c>
      <c r="I443" s="81">
        <f t="shared" si="217"/>
        <v>166</v>
      </c>
      <c r="J443" s="56">
        <f>I443*2*10000</f>
        <v>3320000</v>
      </c>
      <c r="K443" s="56">
        <f>$K$155</f>
        <v>3000000</v>
      </c>
      <c r="L443" s="57">
        <f>J443*5</f>
        <v>16600000</v>
      </c>
      <c r="M443" s="85">
        <f>I443/(I443+I444)*100</f>
        <v>89.367429340511435</v>
      </c>
      <c r="N443" s="22">
        <f>I445/I443*100</f>
        <v>0</v>
      </c>
      <c r="O443" s="66">
        <f>3.32*(LOG(L443)-LOG(K443))</f>
        <v>2.4667162866237025</v>
      </c>
      <c r="P443" s="66">
        <f>IF(O443&lt;0,P440,P440+O443)</f>
        <v>290.86948251168633</v>
      </c>
      <c r="Q443" s="68"/>
      <c r="R443" s="68"/>
      <c r="S443" s="69"/>
      <c r="T443" s="68"/>
      <c r="U443" s="72"/>
    </row>
    <row r="444" spans="1:21" ht="15.75" customHeight="1" x14ac:dyDescent="0.35">
      <c r="A444" s="80"/>
      <c r="B444" s="139"/>
      <c r="C444" s="138"/>
      <c r="D444" s="92" t="s">
        <v>66</v>
      </c>
      <c r="E444" s="58">
        <v>21</v>
      </c>
      <c r="F444" s="58">
        <v>18</v>
      </c>
      <c r="G444" s="58">
        <v>25</v>
      </c>
      <c r="H444" s="58">
        <v>15</v>
      </c>
      <c r="I444" s="81">
        <f t="shared" si="217"/>
        <v>19.75</v>
      </c>
      <c r="J444" s="56"/>
      <c r="K444" s="56"/>
      <c r="L444" s="57"/>
      <c r="M444" s="64"/>
      <c r="N444" s="20"/>
      <c r="O444" s="64"/>
      <c r="P444" s="64"/>
      <c r="Q444" s="70"/>
      <c r="R444" s="70"/>
      <c r="S444" s="70"/>
      <c r="T444" s="71"/>
      <c r="U444" s="36"/>
    </row>
    <row r="445" spans="1:21" ht="15.75" customHeight="1" x14ac:dyDescent="0.35">
      <c r="A445" s="80"/>
      <c r="B445" s="139"/>
      <c r="C445" s="138"/>
      <c r="D445" s="92" t="s">
        <v>67</v>
      </c>
      <c r="E445" s="58">
        <v>0</v>
      </c>
      <c r="F445" s="58">
        <v>0</v>
      </c>
      <c r="G445" s="58">
        <v>0</v>
      </c>
      <c r="H445" s="58">
        <v>0</v>
      </c>
      <c r="I445" s="81">
        <f t="shared" si="217"/>
        <v>0</v>
      </c>
      <c r="J445" s="56"/>
      <c r="K445" s="56"/>
      <c r="L445" s="57"/>
      <c r="M445" s="64"/>
      <c r="N445" s="20"/>
      <c r="O445" s="64"/>
      <c r="P445" s="64"/>
      <c r="Q445" s="70"/>
      <c r="R445" s="70"/>
      <c r="S445" s="70"/>
      <c r="T445" s="71"/>
      <c r="U445" s="36"/>
    </row>
    <row r="446" spans="1:21" ht="15.75" customHeight="1" x14ac:dyDescent="0.35">
      <c r="A446" s="82">
        <f>A443+7</f>
        <v>45370</v>
      </c>
      <c r="B446" s="139">
        <f>B443+7</f>
        <v>1019</v>
      </c>
      <c r="C446" s="138" t="str">
        <f>$C$155</f>
        <v>15% FBS R1</v>
      </c>
      <c r="D446" s="91" t="s">
        <v>65</v>
      </c>
      <c r="E446" s="58">
        <v>182</v>
      </c>
      <c r="F446" s="58">
        <v>179</v>
      </c>
      <c r="G446" s="58">
        <v>187</v>
      </c>
      <c r="H446" s="58">
        <v>172</v>
      </c>
      <c r="I446" s="81">
        <f t="shared" si="217"/>
        <v>180</v>
      </c>
      <c r="J446" s="56">
        <f>I446*2*10000</f>
        <v>3600000</v>
      </c>
      <c r="K446" s="56">
        <f>$K$155</f>
        <v>3000000</v>
      </c>
      <c r="L446" s="57">
        <f>J446*5</f>
        <v>18000000</v>
      </c>
      <c r="M446" s="85">
        <f>I446/(I446+I447)*100</f>
        <v>93.14359637774902</v>
      </c>
      <c r="N446" s="22">
        <f>I448/I446*100</f>
        <v>0</v>
      </c>
      <c r="O446" s="66">
        <f>3.32*(LOG(L446)-LOG(K446))</f>
        <v>2.5834621512736975</v>
      </c>
      <c r="P446" s="66">
        <f>IF(O446&lt;0,P443,P443+O446)</f>
        <v>293.45294466296002</v>
      </c>
      <c r="Q446" s="68"/>
      <c r="R446" s="68"/>
      <c r="S446" s="69"/>
      <c r="T446" s="68"/>
      <c r="U446" s="36"/>
    </row>
    <row r="447" spans="1:21" ht="15.75" customHeight="1" x14ac:dyDescent="0.35">
      <c r="A447" s="80"/>
      <c r="B447" s="139"/>
      <c r="C447" s="138"/>
      <c r="D447" s="92" t="s">
        <v>66</v>
      </c>
      <c r="E447" s="58">
        <v>13</v>
      </c>
      <c r="F447" s="58">
        <v>15</v>
      </c>
      <c r="G447" s="58">
        <v>12</v>
      </c>
      <c r="H447" s="58">
        <v>13</v>
      </c>
      <c r="I447" s="81">
        <f t="shared" si="217"/>
        <v>13.25</v>
      </c>
      <c r="J447" s="56"/>
      <c r="K447" s="56"/>
      <c r="L447" s="57"/>
      <c r="M447" s="64"/>
      <c r="N447" s="20"/>
      <c r="O447" s="64"/>
      <c r="P447" s="64"/>
      <c r="Q447" s="70"/>
      <c r="R447" s="70"/>
      <c r="S447" s="70"/>
      <c r="T447" s="71"/>
      <c r="U447" s="36"/>
    </row>
    <row r="448" spans="1:21" ht="15.75" customHeight="1" x14ac:dyDescent="0.35">
      <c r="A448" s="80"/>
      <c r="B448" s="139"/>
      <c r="C448" s="138"/>
      <c r="D448" s="92" t="s">
        <v>67</v>
      </c>
      <c r="E448" s="58">
        <v>0</v>
      </c>
      <c r="F448" s="58">
        <v>0</v>
      </c>
      <c r="G448" s="58">
        <v>0</v>
      </c>
      <c r="H448" s="58">
        <v>0</v>
      </c>
      <c r="I448" s="81">
        <f t="shared" si="217"/>
        <v>0</v>
      </c>
      <c r="J448" s="56"/>
      <c r="K448" s="56"/>
      <c r="L448" s="57"/>
      <c r="M448" s="64"/>
      <c r="N448" s="20"/>
      <c r="O448" s="64"/>
      <c r="P448" s="64"/>
      <c r="Q448" s="70"/>
      <c r="R448" s="70"/>
      <c r="S448" s="70"/>
      <c r="T448" s="71"/>
      <c r="U448" s="36"/>
    </row>
    <row r="449" spans="1:21" ht="15.75" customHeight="1" x14ac:dyDescent="0.35">
      <c r="A449" s="82">
        <f t="shared" ref="A449:B449" si="228">A446+7</f>
        <v>45377</v>
      </c>
      <c r="B449" s="139">
        <f t="shared" si="228"/>
        <v>1026</v>
      </c>
      <c r="C449" s="138" t="str">
        <f t="shared" ref="C449" si="229">$C$155</f>
        <v>15% FBS R1</v>
      </c>
      <c r="D449" s="91" t="s">
        <v>65</v>
      </c>
      <c r="E449" s="58">
        <v>221</v>
      </c>
      <c r="F449" s="58">
        <v>220</v>
      </c>
      <c r="G449" s="58">
        <v>198</v>
      </c>
      <c r="H449" s="58">
        <v>210</v>
      </c>
      <c r="I449" s="81">
        <f t="shared" si="217"/>
        <v>212.25</v>
      </c>
      <c r="J449" s="56">
        <f t="shared" ref="J449" si="230">I449*2*10000</f>
        <v>4245000</v>
      </c>
      <c r="K449" s="56">
        <f t="shared" ref="K449" si="231">$K$155</f>
        <v>3000000</v>
      </c>
      <c r="L449" s="57">
        <f t="shared" ref="L449" si="232">J449*5</f>
        <v>21225000</v>
      </c>
      <c r="M449" s="85">
        <f>I449/(I449+I450)*100</f>
        <v>91.290322580645167</v>
      </c>
      <c r="N449" s="22">
        <f>I451/I449*100</f>
        <v>0</v>
      </c>
      <c r="O449" s="66">
        <f>3.32*(LOG(L449)-LOG(K449))</f>
        <v>2.8210917947318062</v>
      </c>
      <c r="P449" s="66">
        <f t="shared" ref="P449" si="233">IF(O449&lt;0,P446,P446+O449)</f>
        <v>296.27403645769181</v>
      </c>
      <c r="Q449" s="68"/>
      <c r="R449" s="68"/>
      <c r="S449" s="69"/>
      <c r="T449" s="68"/>
      <c r="U449" s="36"/>
    </row>
    <row r="450" spans="1:21" ht="15.75" customHeight="1" x14ac:dyDescent="0.35">
      <c r="A450" s="80"/>
      <c r="B450" s="139"/>
      <c r="C450" s="138"/>
      <c r="D450" s="92" t="s">
        <v>66</v>
      </c>
      <c r="E450" s="58">
        <v>21</v>
      </c>
      <c r="F450" s="58">
        <v>19</v>
      </c>
      <c r="G450" s="58">
        <v>25</v>
      </c>
      <c r="H450" s="58">
        <v>16</v>
      </c>
      <c r="I450" s="81">
        <f t="shared" si="217"/>
        <v>20.25</v>
      </c>
      <c r="J450" s="56"/>
      <c r="K450" s="56"/>
      <c r="L450" s="57"/>
      <c r="M450" s="64"/>
      <c r="N450" s="20"/>
      <c r="O450" s="64"/>
      <c r="P450" s="64"/>
      <c r="Q450" s="70"/>
      <c r="R450" s="70"/>
      <c r="S450" s="70"/>
      <c r="T450" s="71"/>
      <c r="U450" s="36"/>
    </row>
    <row r="451" spans="1:21" ht="15.75" customHeight="1" x14ac:dyDescent="0.35">
      <c r="A451" s="80"/>
      <c r="B451" s="139"/>
      <c r="C451" s="138"/>
      <c r="D451" s="92" t="s">
        <v>67</v>
      </c>
      <c r="E451" s="58">
        <v>0</v>
      </c>
      <c r="F451" s="58">
        <v>0</v>
      </c>
      <c r="G451" s="58">
        <v>0</v>
      </c>
      <c r="H451" s="58">
        <v>0</v>
      </c>
      <c r="I451" s="81">
        <f t="shared" si="217"/>
        <v>0</v>
      </c>
      <c r="J451" s="56"/>
      <c r="K451" s="56"/>
      <c r="L451" s="57"/>
      <c r="M451" s="64"/>
      <c r="N451" s="20"/>
      <c r="O451" s="64"/>
      <c r="P451" s="64"/>
      <c r="Q451" s="70"/>
      <c r="R451" s="70"/>
      <c r="S451" s="70"/>
      <c r="T451" s="71"/>
      <c r="U451" s="36"/>
    </row>
    <row r="452" spans="1:21" ht="15.75" customHeight="1" x14ac:dyDescent="0.35">
      <c r="A452" s="82">
        <f t="shared" ref="A452:B452" si="234">A449+7</f>
        <v>45384</v>
      </c>
      <c r="B452" s="139">
        <f t="shared" si="234"/>
        <v>1033</v>
      </c>
      <c r="C452" s="138" t="str">
        <f t="shared" ref="C452" si="235">$C$155</f>
        <v>15% FBS R1</v>
      </c>
      <c r="D452" s="91" t="s">
        <v>65</v>
      </c>
      <c r="E452" s="58">
        <v>237</v>
      </c>
      <c r="F452" s="58">
        <v>222</v>
      </c>
      <c r="G452" s="58">
        <v>230</v>
      </c>
      <c r="H452" s="58">
        <v>219</v>
      </c>
      <c r="I452" s="81">
        <f t="shared" si="217"/>
        <v>227</v>
      </c>
      <c r="J452" s="56">
        <f t="shared" ref="J452" si="236">I452*2*10000</f>
        <v>4540000</v>
      </c>
      <c r="K452" s="56">
        <f t="shared" ref="K452" si="237">$K$155</f>
        <v>3000000</v>
      </c>
      <c r="L452" s="57">
        <f t="shared" ref="L452" si="238">J452*5</f>
        <v>22700000</v>
      </c>
      <c r="M452" s="85">
        <f>I452/(I452+I453)*100</f>
        <v>91.902834008097173</v>
      </c>
      <c r="N452" s="22">
        <f>I454/I452*100</f>
        <v>0</v>
      </c>
      <c r="O452" s="66">
        <f>3.32*(LOG(L452)-LOG(K452))</f>
        <v>2.9179632802118869</v>
      </c>
      <c r="P452" s="66">
        <f t="shared" ref="P452" si="239">IF(O452&lt;0,P449,P449+O452)</f>
        <v>299.1919997379037</v>
      </c>
      <c r="Q452" s="68"/>
      <c r="R452" s="68"/>
      <c r="S452" s="69"/>
      <c r="T452" s="68"/>
      <c r="U452" s="36"/>
    </row>
    <row r="453" spans="1:21" ht="15.75" customHeight="1" x14ac:dyDescent="0.35">
      <c r="A453" s="80"/>
      <c r="B453" s="139"/>
      <c r="C453" s="138"/>
      <c r="D453" s="92" t="s">
        <v>66</v>
      </c>
      <c r="E453" s="58">
        <v>15</v>
      </c>
      <c r="F453" s="58">
        <v>23</v>
      </c>
      <c r="G453" s="58">
        <v>23</v>
      </c>
      <c r="H453" s="58">
        <v>19</v>
      </c>
      <c r="I453" s="81">
        <f t="shared" si="217"/>
        <v>20</v>
      </c>
      <c r="J453" s="56"/>
      <c r="K453" s="56"/>
      <c r="L453" s="57"/>
      <c r="M453" s="64"/>
      <c r="N453" s="20"/>
      <c r="O453" s="64"/>
      <c r="P453" s="64"/>
      <c r="Q453" s="70"/>
      <c r="R453" s="70"/>
      <c r="S453" s="70"/>
      <c r="T453" s="71"/>
      <c r="U453" s="36"/>
    </row>
    <row r="454" spans="1:21" ht="15.75" customHeight="1" x14ac:dyDescent="0.35">
      <c r="A454" s="80"/>
      <c r="B454" s="139"/>
      <c r="C454" s="138"/>
      <c r="D454" s="92" t="s">
        <v>67</v>
      </c>
      <c r="E454" s="58">
        <v>0</v>
      </c>
      <c r="F454" s="58">
        <v>0</v>
      </c>
      <c r="G454" s="58">
        <v>0</v>
      </c>
      <c r="H454" s="58">
        <v>0</v>
      </c>
      <c r="I454" s="81">
        <f t="shared" si="217"/>
        <v>0</v>
      </c>
      <c r="J454" s="56"/>
      <c r="K454" s="56"/>
      <c r="L454" s="57"/>
      <c r="M454" s="64"/>
      <c r="N454" s="20"/>
      <c r="O454" s="64"/>
      <c r="P454" s="64"/>
      <c r="Q454" s="70"/>
      <c r="R454" s="70"/>
      <c r="S454" s="70"/>
      <c r="T454" s="71"/>
      <c r="U454" s="36"/>
    </row>
    <row r="455" spans="1:21" ht="15.75" customHeight="1" x14ac:dyDescent="0.35">
      <c r="A455" s="82">
        <f t="shared" ref="A455:B455" si="240">A452+7</f>
        <v>45391</v>
      </c>
      <c r="B455" s="139">
        <f t="shared" si="240"/>
        <v>1040</v>
      </c>
      <c r="C455" s="138" t="str">
        <f t="shared" ref="C455" si="241">$C$155</f>
        <v>15% FBS R1</v>
      </c>
      <c r="D455" s="91" t="s">
        <v>65</v>
      </c>
      <c r="E455" s="58">
        <v>230</v>
      </c>
      <c r="F455" s="58">
        <v>224</v>
      </c>
      <c r="G455" s="58">
        <v>241</v>
      </c>
      <c r="H455" s="58">
        <v>238</v>
      </c>
      <c r="I455" s="81">
        <f t="shared" si="217"/>
        <v>233.25</v>
      </c>
      <c r="J455" s="56">
        <f t="shared" ref="J455" si="242">I455*2*10000</f>
        <v>4665000</v>
      </c>
      <c r="K455" s="56">
        <f t="shared" ref="K455" si="243">$K$155</f>
        <v>3000000</v>
      </c>
      <c r="L455" s="57">
        <f t="shared" ref="L455" si="244">J455*5</f>
        <v>23325000</v>
      </c>
      <c r="M455" s="85">
        <f>I455/(I455+I456)*100</f>
        <v>91.830708661417333</v>
      </c>
      <c r="N455" s="22">
        <f>I457/I455*100</f>
        <v>0</v>
      </c>
      <c r="O455" s="66">
        <f>3.32*(LOG(L455)-LOG(K455))</f>
        <v>2.9571253203602632</v>
      </c>
      <c r="P455" s="66">
        <f t="shared" ref="P455" si="245">IF(O455&lt;0,P452,P452+O455)</f>
        <v>302.14912505826396</v>
      </c>
      <c r="Q455" s="68"/>
      <c r="R455" s="68"/>
      <c r="S455" s="69"/>
      <c r="T455" s="68"/>
      <c r="U455" s="36"/>
    </row>
    <row r="456" spans="1:21" ht="15.75" customHeight="1" x14ac:dyDescent="0.35">
      <c r="A456" s="80"/>
      <c r="B456" s="139"/>
      <c r="C456" s="138"/>
      <c r="D456" s="92" t="s">
        <v>66</v>
      </c>
      <c r="E456" s="58">
        <v>24</v>
      </c>
      <c r="F456" s="58">
        <v>19</v>
      </c>
      <c r="G456" s="58">
        <v>22</v>
      </c>
      <c r="H456" s="58">
        <v>18</v>
      </c>
      <c r="I456" s="81">
        <f t="shared" si="217"/>
        <v>20.75</v>
      </c>
      <c r="J456" s="56"/>
      <c r="K456" s="56"/>
      <c r="L456" s="57"/>
      <c r="M456" s="64"/>
      <c r="N456" s="20"/>
      <c r="O456" s="64"/>
      <c r="P456" s="64"/>
      <c r="Q456" s="70"/>
      <c r="R456" s="70"/>
      <c r="S456" s="70"/>
      <c r="T456" s="71"/>
      <c r="U456" s="36"/>
    </row>
    <row r="457" spans="1:21" ht="15.75" customHeight="1" x14ac:dyDescent="0.35">
      <c r="A457" s="80"/>
      <c r="B457" s="139"/>
      <c r="C457" s="138"/>
      <c r="D457" s="92" t="s">
        <v>67</v>
      </c>
      <c r="E457" s="58">
        <v>0</v>
      </c>
      <c r="F457" s="58">
        <v>0</v>
      </c>
      <c r="G457" s="58">
        <v>0</v>
      </c>
      <c r="H457" s="58">
        <v>0</v>
      </c>
      <c r="I457" s="81">
        <f t="shared" si="217"/>
        <v>0</v>
      </c>
      <c r="J457" s="56"/>
      <c r="K457" s="56"/>
      <c r="L457" s="57"/>
      <c r="M457" s="64"/>
      <c r="N457" s="20"/>
      <c r="O457" s="64"/>
      <c r="P457" s="64"/>
      <c r="Q457" s="70"/>
      <c r="R457" s="70"/>
      <c r="S457" s="70"/>
      <c r="T457" s="71"/>
      <c r="U457" s="36"/>
    </row>
    <row r="458" spans="1:21" ht="15.75" customHeight="1" x14ac:dyDescent="0.35">
      <c r="A458" s="82">
        <f t="shared" ref="A458:B458" si="246">A455+7</f>
        <v>45398</v>
      </c>
      <c r="B458" s="139">
        <f t="shared" si="246"/>
        <v>1047</v>
      </c>
      <c r="C458" s="138" t="str">
        <f t="shared" ref="C458:C473" si="247">$C$155</f>
        <v>15% FBS R1</v>
      </c>
      <c r="D458" s="91" t="s">
        <v>65</v>
      </c>
      <c r="E458" s="58">
        <v>214</v>
      </c>
      <c r="F458" s="58">
        <v>220</v>
      </c>
      <c r="G458" s="58">
        <v>203</v>
      </c>
      <c r="H458" s="58">
        <v>212</v>
      </c>
      <c r="I458" s="81">
        <f t="shared" si="217"/>
        <v>212.25</v>
      </c>
      <c r="J458" s="56">
        <f t="shared" ref="J458" si="248">I458*2*10000</f>
        <v>4245000</v>
      </c>
      <c r="K458" s="56">
        <f t="shared" ref="K458:K473" si="249">$K$155</f>
        <v>3000000</v>
      </c>
      <c r="L458" s="57">
        <f t="shared" ref="L458" si="250">J458*5</f>
        <v>21225000</v>
      </c>
      <c r="M458" s="85">
        <f>I458/(I458+I459)*100</f>
        <v>92.182410423452765</v>
      </c>
      <c r="N458" s="77">
        <f>I460/I458*100</f>
        <v>0</v>
      </c>
      <c r="O458" s="66">
        <f>3.32*(LOG(L458)-LOG(K458))</f>
        <v>2.8210917947318062</v>
      </c>
      <c r="P458" s="66">
        <f t="shared" ref="P458" si="251">IF(O458&lt;0,P455,P455+O458)</f>
        <v>304.97021685299575</v>
      </c>
      <c r="Q458" s="68"/>
      <c r="R458" s="68"/>
      <c r="S458" s="69"/>
      <c r="T458" s="68"/>
      <c r="U458" s="36"/>
    </row>
    <row r="459" spans="1:21" ht="15.75" customHeight="1" x14ac:dyDescent="0.35">
      <c r="A459" s="80"/>
      <c r="B459" s="139"/>
      <c r="C459" s="138"/>
      <c r="D459" s="92" t="s">
        <v>66</v>
      </c>
      <c r="E459" s="58">
        <v>21</v>
      </c>
      <c r="F459" s="58">
        <v>19</v>
      </c>
      <c r="G459" s="58">
        <v>15</v>
      </c>
      <c r="H459" s="58">
        <v>17</v>
      </c>
      <c r="I459" s="81">
        <f t="shared" si="217"/>
        <v>18</v>
      </c>
      <c r="J459" s="56"/>
      <c r="K459" s="56"/>
      <c r="L459" s="57"/>
      <c r="M459" s="64"/>
      <c r="N459" s="20"/>
      <c r="O459" s="64"/>
      <c r="P459" s="64"/>
      <c r="Q459" s="70"/>
      <c r="R459" s="70"/>
      <c r="S459" s="70"/>
      <c r="T459" s="71"/>
      <c r="U459" s="36"/>
    </row>
    <row r="460" spans="1:21" ht="15.75" customHeight="1" x14ac:dyDescent="0.35">
      <c r="A460" s="80"/>
      <c r="B460" s="139"/>
      <c r="C460" s="138"/>
      <c r="D460" s="92" t="s">
        <v>67</v>
      </c>
      <c r="E460" s="58">
        <v>0</v>
      </c>
      <c r="F460" s="58">
        <v>0</v>
      </c>
      <c r="G460" s="58">
        <v>0</v>
      </c>
      <c r="H460" s="58">
        <v>0</v>
      </c>
      <c r="I460" s="81">
        <f t="shared" si="217"/>
        <v>0</v>
      </c>
      <c r="J460" s="56"/>
      <c r="K460" s="56"/>
      <c r="L460" s="57"/>
      <c r="M460" s="64"/>
      <c r="N460" s="20"/>
      <c r="O460" s="64"/>
      <c r="P460" s="64"/>
      <c r="Q460" s="70"/>
      <c r="R460" s="70"/>
      <c r="S460" s="70"/>
      <c r="T460" s="71"/>
      <c r="U460" s="36"/>
    </row>
    <row r="461" spans="1:21" ht="15.75" customHeight="1" x14ac:dyDescent="0.35">
      <c r="A461" s="82">
        <f t="shared" ref="A461:B461" si="252">A458+7</f>
        <v>45405</v>
      </c>
      <c r="B461" s="139">
        <f t="shared" si="252"/>
        <v>1054</v>
      </c>
      <c r="C461" s="138" t="str">
        <f t="shared" si="247"/>
        <v>15% FBS R1</v>
      </c>
      <c r="D461" s="91" t="s">
        <v>65</v>
      </c>
      <c r="E461" s="58">
        <v>124</v>
      </c>
      <c r="F461" s="58">
        <v>146</v>
      </c>
      <c r="G461" s="58">
        <v>134</v>
      </c>
      <c r="H461" s="58">
        <v>144</v>
      </c>
      <c r="I461" s="81">
        <f t="shared" si="217"/>
        <v>137</v>
      </c>
      <c r="J461" s="56">
        <f t="shared" ref="J461" si="253">I461*2*10000</f>
        <v>2740000</v>
      </c>
      <c r="K461" s="56">
        <f t="shared" si="249"/>
        <v>3000000</v>
      </c>
      <c r="L461" s="57">
        <f t="shared" ref="L461" si="254">J461*5</f>
        <v>13700000</v>
      </c>
      <c r="M461" s="85">
        <f>I461/(I461+I462)*100</f>
        <v>92.100840336134453</v>
      </c>
      <c r="N461" s="22">
        <f>I463/I461*100</f>
        <v>0</v>
      </c>
      <c r="O461" s="66">
        <f>3.32*(LOG(L461)-LOG(K461))</f>
        <v>2.1898697172899904</v>
      </c>
      <c r="P461" s="66">
        <f t="shared" ref="P461" si="255">IF(O461&lt;0,P458,P458+O461)</f>
        <v>307.16008657028573</v>
      </c>
      <c r="Q461" s="68"/>
      <c r="R461" s="68"/>
      <c r="S461" s="69"/>
      <c r="T461" s="68"/>
      <c r="U461" s="36"/>
    </row>
    <row r="462" spans="1:21" ht="15.75" customHeight="1" x14ac:dyDescent="0.35">
      <c r="A462" s="80"/>
      <c r="B462" s="139"/>
      <c r="C462" s="138"/>
      <c r="D462" s="92" t="s">
        <v>66</v>
      </c>
      <c r="E462" s="58">
        <v>11</v>
      </c>
      <c r="F462" s="58">
        <v>15</v>
      </c>
      <c r="G462" s="58">
        <v>13</v>
      </c>
      <c r="H462" s="58">
        <v>8</v>
      </c>
      <c r="I462" s="81">
        <f t="shared" si="217"/>
        <v>11.75</v>
      </c>
      <c r="J462" s="56"/>
      <c r="K462" s="56"/>
      <c r="L462" s="57"/>
      <c r="M462" s="64"/>
      <c r="N462" s="20"/>
      <c r="O462" s="64"/>
      <c r="P462" s="64"/>
      <c r="Q462" s="70"/>
      <c r="R462" s="70"/>
      <c r="S462" s="70"/>
      <c r="T462" s="71"/>
      <c r="U462" s="36"/>
    </row>
    <row r="463" spans="1:21" ht="15.75" customHeight="1" x14ac:dyDescent="0.35">
      <c r="A463" s="80"/>
      <c r="B463" s="139"/>
      <c r="C463" s="138"/>
      <c r="D463" s="92" t="s">
        <v>67</v>
      </c>
      <c r="E463" s="58">
        <v>0</v>
      </c>
      <c r="F463" s="58">
        <v>0</v>
      </c>
      <c r="G463" s="58">
        <v>0</v>
      </c>
      <c r="H463" s="58">
        <v>0</v>
      </c>
      <c r="I463" s="81">
        <f t="shared" si="217"/>
        <v>0</v>
      </c>
      <c r="J463" s="56"/>
      <c r="K463" s="56"/>
      <c r="L463" s="57"/>
      <c r="M463" s="64"/>
      <c r="N463" s="20"/>
      <c r="O463" s="64"/>
      <c r="P463" s="64"/>
      <c r="Q463" s="70"/>
      <c r="R463" s="70"/>
      <c r="S463" s="70"/>
      <c r="T463" s="71"/>
      <c r="U463" s="36"/>
    </row>
    <row r="464" spans="1:21" ht="15.75" customHeight="1" x14ac:dyDescent="0.35">
      <c r="A464" s="82">
        <f t="shared" ref="A464:B464" si="256">A461+7</f>
        <v>45412</v>
      </c>
      <c r="B464" s="139">
        <f t="shared" si="256"/>
        <v>1061</v>
      </c>
      <c r="C464" s="138" t="str">
        <f t="shared" si="247"/>
        <v>15% FBS R1</v>
      </c>
      <c r="D464" s="91" t="s">
        <v>65</v>
      </c>
      <c r="E464" s="58">
        <v>185</v>
      </c>
      <c r="F464" s="58">
        <v>187</v>
      </c>
      <c r="G464" s="58">
        <v>192</v>
      </c>
      <c r="H464" s="58">
        <v>183</v>
      </c>
      <c r="I464" s="81">
        <f t="shared" si="217"/>
        <v>186.75</v>
      </c>
      <c r="J464" s="56">
        <f t="shared" ref="J464" si="257">I464*2*10000</f>
        <v>3735000</v>
      </c>
      <c r="K464" s="56">
        <f t="shared" si="249"/>
        <v>3000000</v>
      </c>
      <c r="L464" s="57">
        <f t="shared" ref="L464" si="258">J464*5</f>
        <v>18675000</v>
      </c>
      <c r="M464" s="85">
        <f>I464/(I464+I465)*100</f>
        <v>91.769041769041763</v>
      </c>
      <c r="N464" s="22">
        <f>I466/I464*100</f>
        <v>0</v>
      </c>
      <c r="O464" s="66">
        <f>3.32*(LOG(L464)-LOG(K464))</f>
        <v>2.6365426611490088</v>
      </c>
      <c r="P464" s="66">
        <f t="shared" ref="P464" si="259">IF(O464&lt;0,P461,P461+O464)</f>
        <v>309.79662923143474</v>
      </c>
      <c r="Q464" s="68"/>
      <c r="R464" s="68"/>
      <c r="S464" s="69"/>
      <c r="T464" s="68"/>
      <c r="U464" s="36"/>
    </row>
    <row r="465" spans="1:21" ht="15.75" customHeight="1" x14ac:dyDescent="0.35">
      <c r="A465" s="80"/>
      <c r="B465" s="139"/>
      <c r="C465" s="138"/>
      <c r="D465" s="92" t="s">
        <v>66</v>
      </c>
      <c r="E465" s="58">
        <v>16</v>
      </c>
      <c r="F465" s="58">
        <v>17</v>
      </c>
      <c r="G465" s="58">
        <v>14</v>
      </c>
      <c r="H465" s="58">
        <v>20</v>
      </c>
      <c r="I465" s="81">
        <f t="shared" si="217"/>
        <v>16.75</v>
      </c>
      <c r="J465" s="56"/>
      <c r="K465" s="56"/>
      <c r="L465" s="57"/>
      <c r="M465" s="64"/>
      <c r="N465" s="20"/>
      <c r="O465" s="64"/>
      <c r="P465" s="64"/>
      <c r="Q465" s="70"/>
      <c r="R465" s="70"/>
      <c r="S465" s="70"/>
      <c r="T465" s="71"/>
      <c r="U465" s="36"/>
    </row>
    <row r="466" spans="1:21" ht="15.75" customHeight="1" x14ac:dyDescent="0.35">
      <c r="A466" s="80"/>
      <c r="B466" s="139"/>
      <c r="C466" s="138"/>
      <c r="D466" s="92" t="s">
        <v>67</v>
      </c>
      <c r="E466" s="58">
        <v>0</v>
      </c>
      <c r="F466" s="58">
        <v>0</v>
      </c>
      <c r="G466" s="58">
        <v>0</v>
      </c>
      <c r="H466" s="58">
        <v>0</v>
      </c>
      <c r="I466" s="81">
        <f t="shared" si="217"/>
        <v>0</v>
      </c>
      <c r="J466" s="56"/>
      <c r="K466" s="56"/>
      <c r="L466" s="57"/>
      <c r="M466" s="64"/>
      <c r="N466" s="20"/>
      <c r="O466" s="64"/>
      <c r="P466" s="64"/>
      <c r="Q466" s="70"/>
      <c r="R466" s="70"/>
      <c r="S466" s="70"/>
      <c r="T466" s="71"/>
      <c r="U466" s="36"/>
    </row>
    <row r="467" spans="1:21" ht="15.75" customHeight="1" x14ac:dyDescent="0.35">
      <c r="A467" s="82">
        <f t="shared" ref="A467:B467" si="260">A464+7</f>
        <v>45419</v>
      </c>
      <c r="B467" s="139">
        <f t="shared" si="260"/>
        <v>1068</v>
      </c>
      <c r="C467" s="138" t="str">
        <f t="shared" si="247"/>
        <v>15% FBS R1</v>
      </c>
      <c r="D467" s="91" t="s">
        <v>65</v>
      </c>
      <c r="E467" s="58">
        <v>195</v>
      </c>
      <c r="F467" s="58">
        <v>201</v>
      </c>
      <c r="G467" s="58">
        <v>189</v>
      </c>
      <c r="H467" s="58">
        <v>198</v>
      </c>
      <c r="I467" s="81">
        <f t="shared" si="217"/>
        <v>195.75</v>
      </c>
      <c r="J467" s="56">
        <f t="shared" ref="J467" si="261">I467*2*10000</f>
        <v>3915000</v>
      </c>
      <c r="K467" s="56">
        <f t="shared" si="249"/>
        <v>3000000</v>
      </c>
      <c r="L467" s="57">
        <f t="shared" ref="L467" si="262">J467*5</f>
        <v>19575000</v>
      </c>
      <c r="M467" s="85">
        <f>I467/(I467+I468)*100</f>
        <v>91.578947368421055</v>
      </c>
      <c r="N467" s="22">
        <f>I469/I467*100</f>
        <v>0</v>
      </c>
      <c r="O467" s="66">
        <f>3.32*(LOG(L467)-LOG(K467))</f>
        <v>2.7044073131542565</v>
      </c>
      <c r="P467" s="66">
        <f t="shared" ref="P467" si="263">IF(O467&lt;0,P464,P464+O467)</f>
        <v>312.501036544589</v>
      </c>
      <c r="Q467" s="68"/>
      <c r="R467" s="68"/>
      <c r="S467" s="69"/>
      <c r="T467" s="68"/>
      <c r="U467" s="36"/>
    </row>
    <row r="468" spans="1:21" ht="15.75" customHeight="1" x14ac:dyDescent="0.35">
      <c r="A468" s="80"/>
      <c r="B468" s="139"/>
      <c r="C468" s="138"/>
      <c r="D468" s="92" t="s">
        <v>66</v>
      </c>
      <c r="E468" s="58">
        <v>17</v>
      </c>
      <c r="F468" s="58">
        <v>18</v>
      </c>
      <c r="G468" s="58">
        <v>21</v>
      </c>
      <c r="H468" s="58">
        <v>16</v>
      </c>
      <c r="I468" s="81">
        <f t="shared" si="217"/>
        <v>18</v>
      </c>
      <c r="J468" s="56"/>
      <c r="K468" s="56"/>
      <c r="L468" s="57"/>
      <c r="M468" s="64"/>
      <c r="N468" s="20"/>
      <c r="O468" s="64"/>
      <c r="P468" s="64"/>
      <c r="Q468" s="70"/>
      <c r="R468" s="70"/>
      <c r="S468" s="70"/>
      <c r="T468" s="71"/>
      <c r="U468" s="36"/>
    </row>
    <row r="469" spans="1:21" ht="15.75" customHeight="1" x14ac:dyDescent="0.35">
      <c r="A469" s="80"/>
      <c r="B469" s="139"/>
      <c r="C469" s="138"/>
      <c r="D469" s="92" t="s">
        <v>67</v>
      </c>
      <c r="E469" s="58">
        <v>0</v>
      </c>
      <c r="F469" s="58">
        <v>0</v>
      </c>
      <c r="G469" s="58">
        <v>0</v>
      </c>
      <c r="H469" s="58">
        <v>0</v>
      </c>
      <c r="I469" s="81">
        <f t="shared" si="217"/>
        <v>0</v>
      </c>
      <c r="J469" s="56"/>
      <c r="K469" s="56"/>
      <c r="L469" s="57"/>
      <c r="M469" s="64"/>
      <c r="N469" s="20"/>
      <c r="O469" s="64"/>
      <c r="P469" s="64"/>
      <c r="Q469" s="70"/>
      <c r="R469" s="70"/>
      <c r="S469" s="70"/>
      <c r="T469" s="71"/>
      <c r="U469" s="36"/>
    </row>
    <row r="470" spans="1:21" ht="15.75" customHeight="1" x14ac:dyDescent="0.35">
      <c r="A470" s="82">
        <f t="shared" ref="A470:B470" si="264">A467+7</f>
        <v>45426</v>
      </c>
      <c r="B470" s="139">
        <f t="shared" si="264"/>
        <v>1075</v>
      </c>
      <c r="C470" s="138" t="str">
        <f t="shared" si="247"/>
        <v>15% FBS R1</v>
      </c>
      <c r="D470" s="91" t="s">
        <v>65</v>
      </c>
      <c r="E470" s="58">
        <v>253</v>
      </c>
      <c r="F470" s="58">
        <v>238</v>
      </c>
      <c r="G470" s="58">
        <v>27</v>
      </c>
      <c r="H470" s="58">
        <v>224</v>
      </c>
      <c r="I470" s="81">
        <f t="shared" si="217"/>
        <v>185.5</v>
      </c>
      <c r="J470" s="56">
        <f t="shared" ref="J470" si="265">I470*2*10000</f>
        <v>3710000</v>
      </c>
      <c r="K470" s="56">
        <f t="shared" si="249"/>
        <v>3000000</v>
      </c>
      <c r="L470" s="57">
        <f t="shared" ref="L470" si="266">J470*5</f>
        <v>18550000</v>
      </c>
      <c r="M470" s="85">
        <f>I470/(I470+I471)*100</f>
        <v>91.266912669126683</v>
      </c>
      <c r="N470" s="22">
        <f>I472/I470*100</f>
        <v>0</v>
      </c>
      <c r="O470" s="66">
        <f>3.32*(LOG(L470)-LOG(K470))</f>
        <v>2.6268592286482551</v>
      </c>
      <c r="P470" s="66">
        <f t="shared" ref="P470" si="267">IF(O470&lt;0,P467,P467+O470)</f>
        <v>315.12789577323724</v>
      </c>
      <c r="Q470" s="68"/>
      <c r="R470" s="68"/>
      <c r="S470" s="69"/>
      <c r="T470" s="68"/>
      <c r="U470" s="36"/>
    </row>
    <row r="471" spans="1:21" ht="15.75" customHeight="1" x14ac:dyDescent="0.35">
      <c r="A471" s="80"/>
      <c r="B471" s="139"/>
      <c r="C471" s="138"/>
      <c r="D471" s="92" t="s">
        <v>66</v>
      </c>
      <c r="E471" s="58">
        <v>24</v>
      </c>
      <c r="F471" s="58">
        <v>26</v>
      </c>
      <c r="G471" s="58">
        <v>2</v>
      </c>
      <c r="H471" s="58">
        <v>19</v>
      </c>
      <c r="I471" s="81">
        <f t="shared" si="217"/>
        <v>17.75</v>
      </c>
      <c r="J471" s="56"/>
      <c r="K471" s="56"/>
      <c r="L471" s="57"/>
      <c r="M471" s="64"/>
      <c r="N471" s="20"/>
      <c r="O471" s="64"/>
      <c r="P471" s="64"/>
      <c r="Q471" s="70"/>
      <c r="R471" s="70"/>
      <c r="S471" s="70"/>
      <c r="T471" s="71"/>
      <c r="U471" s="36"/>
    </row>
    <row r="472" spans="1:21" ht="15.75" customHeight="1" x14ac:dyDescent="0.35">
      <c r="A472" s="80"/>
      <c r="B472" s="139"/>
      <c r="C472" s="138"/>
      <c r="D472" s="92" t="s">
        <v>67</v>
      </c>
      <c r="E472" s="58">
        <v>0</v>
      </c>
      <c r="F472" s="58">
        <v>0</v>
      </c>
      <c r="G472" s="58">
        <v>0</v>
      </c>
      <c r="H472" s="58">
        <v>0</v>
      </c>
      <c r="I472" s="81">
        <f t="shared" si="217"/>
        <v>0</v>
      </c>
      <c r="J472" s="56"/>
      <c r="K472" s="56"/>
      <c r="L472" s="57"/>
      <c r="M472" s="64"/>
      <c r="N472" s="20"/>
      <c r="O472" s="64"/>
      <c r="P472" s="64"/>
      <c r="Q472" s="70"/>
      <c r="R472" s="70"/>
      <c r="S472" s="70"/>
      <c r="T472" s="71"/>
      <c r="U472" s="36"/>
    </row>
    <row r="473" spans="1:21" ht="15.75" customHeight="1" x14ac:dyDescent="0.35">
      <c r="A473" s="82">
        <f t="shared" ref="A473:B473" si="268">A470+7</f>
        <v>45433</v>
      </c>
      <c r="B473" s="139">
        <f t="shared" si="268"/>
        <v>1082</v>
      </c>
      <c r="C473" s="138" t="str">
        <f t="shared" si="247"/>
        <v>15% FBS R1</v>
      </c>
      <c r="D473" s="91" t="s">
        <v>65</v>
      </c>
      <c r="E473" s="58">
        <v>240</v>
      </c>
      <c r="F473" s="58">
        <v>229</v>
      </c>
      <c r="G473" s="58">
        <v>232</v>
      </c>
      <c r="H473" s="58">
        <v>239</v>
      </c>
      <c r="I473" s="81">
        <f t="shared" si="217"/>
        <v>235</v>
      </c>
      <c r="J473" s="56">
        <f t="shared" ref="J473" si="269">I473*2*10000</f>
        <v>4700000</v>
      </c>
      <c r="K473" s="56">
        <f t="shared" si="249"/>
        <v>3000000</v>
      </c>
      <c r="L473" s="57">
        <f t="shared" ref="L473" si="270">J473*5</f>
        <v>23500000</v>
      </c>
      <c r="M473" s="85">
        <f>I473/(I473+I474)*100</f>
        <v>87.279480037140203</v>
      </c>
      <c r="N473" s="22">
        <f>I475/I473*100</f>
        <v>0</v>
      </c>
      <c r="O473" s="66">
        <f>3.32*(LOG(L473)-LOG(K473))</f>
        <v>2.9679027370728828</v>
      </c>
      <c r="P473" s="66">
        <f t="shared" ref="P473" si="271">IF(O473&lt;0,P470,P470+O473)</f>
        <v>318.09579851031015</v>
      </c>
      <c r="Q473" s="68"/>
      <c r="R473" s="68"/>
      <c r="S473" s="69"/>
      <c r="T473" s="68"/>
      <c r="U473" s="36"/>
    </row>
    <row r="474" spans="1:21" ht="15.75" customHeight="1" x14ac:dyDescent="0.35">
      <c r="A474" s="80"/>
      <c r="B474" s="139"/>
      <c r="C474" s="138"/>
      <c r="D474" s="92" t="s">
        <v>66</v>
      </c>
      <c r="E474" s="58">
        <v>36</v>
      </c>
      <c r="F474" s="58">
        <v>34</v>
      </c>
      <c r="G474" s="58">
        <v>29</v>
      </c>
      <c r="H474" s="58">
        <v>38</v>
      </c>
      <c r="I474" s="81">
        <f t="shared" si="217"/>
        <v>34.25</v>
      </c>
      <c r="J474" s="56"/>
      <c r="K474" s="56"/>
      <c r="L474" s="57"/>
      <c r="M474" s="64"/>
      <c r="N474" s="20"/>
      <c r="O474" s="64"/>
      <c r="P474" s="64"/>
      <c r="Q474" s="70"/>
      <c r="R474" s="70"/>
      <c r="S474" s="70"/>
      <c r="T474" s="71"/>
      <c r="U474" s="36"/>
    </row>
    <row r="475" spans="1:21" ht="15.75" customHeight="1" x14ac:dyDescent="0.35">
      <c r="A475" s="80"/>
      <c r="B475" s="139"/>
      <c r="C475" s="138"/>
      <c r="D475" s="92" t="s">
        <v>67</v>
      </c>
      <c r="E475" s="58">
        <v>0</v>
      </c>
      <c r="F475" s="58">
        <v>0</v>
      </c>
      <c r="G475" s="58">
        <v>0</v>
      </c>
      <c r="H475" s="58">
        <v>0</v>
      </c>
      <c r="I475" s="81">
        <f t="shared" si="217"/>
        <v>0</v>
      </c>
      <c r="J475" s="56"/>
      <c r="K475" s="56"/>
      <c r="L475" s="57"/>
      <c r="M475" s="64"/>
      <c r="N475" s="20"/>
      <c r="O475" s="64"/>
      <c r="P475" s="64"/>
      <c r="Q475" s="70"/>
      <c r="R475" s="70"/>
      <c r="S475" s="70"/>
      <c r="T475" s="71"/>
      <c r="U475" s="36"/>
    </row>
    <row r="476" spans="1:21" ht="15.75" customHeight="1" x14ac:dyDescent="0.35">
      <c r="A476" s="82">
        <f t="shared" ref="A476:B476" si="272">A473+7</f>
        <v>45440</v>
      </c>
      <c r="B476" s="139">
        <f t="shared" si="272"/>
        <v>1089</v>
      </c>
      <c r="C476" s="138" t="str">
        <f t="shared" ref="C476:C479" si="273">$C$155</f>
        <v>15% FBS R1</v>
      </c>
      <c r="D476" s="91" t="s">
        <v>65</v>
      </c>
      <c r="E476" s="58">
        <v>232</v>
      </c>
      <c r="F476" s="58">
        <v>217</v>
      </c>
      <c r="G476" s="58">
        <v>230</v>
      </c>
      <c r="H476" s="58">
        <v>226</v>
      </c>
      <c r="I476" s="81">
        <f t="shared" si="217"/>
        <v>226.25</v>
      </c>
      <c r="J476" s="56">
        <f t="shared" ref="J476" si="274">I476*2*10000</f>
        <v>4525000</v>
      </c>
      <c r="K476" s="56">
        <f t="shared" ref="K476:K479" si="275">$K$155</f>
        <v>3000000</v>
      </c>
      <c r="L476" s="57">
        <f t="shared" ref="L476" si="276">J476*5</f>
        <v>22625000</v>
      </c>
      <c r="M476" s="85">
        <f>I476/(I476+I477)*100</f>
        <v>88.551859099804304</v>
      </c>
      <c r="N476" s="22">
        <f>I478/I476*100</f>
        <v>0</v>
      </c>
      <c r="O476" s="66">
        <f>3.32*(LOG(L476)-LOG(K476))</f>
        <v>2.9131915460831594</v>
      </c>
      <c r="P476" s="66">
        <f t="shared" ref="P476" si="277">IF(O476&lt;0,P473,P473+O476)</f>
        <v>321.00899005639332</v>
      </c>
      <c r="Q476" s="68"/>
      <c r="R476" s="68"/>
      <c r="S476" s="69"/>
      <c r="T476" s="68"/>
      <c r="U476" s="36"/>
    </row>
    <row r="477" spans="1:21" ht="15.75" customHeight="1" x14ac:dyDescent="0.35">
      <c r="A477" s="80"/>
      <c r="B477" s="139"/>
      <c r="C477" s="138"/>
      <c r="D477" s="92" t="s">
        <v>66</v>
      </c>
      <c r="E477" s="58">
        <v>32</v>
      </c>
      <c r="F477" s="58">
        <v>26</v>
      </c>
      <c r="G477" s="58">
        <v>31</v>
      </c>
      <c r="H477" s="58">
        <v>28</v>
      </c>
      <c r="I477" s="81">
        <f t="shared" si="217"/>
        <v>29.25</v>
      </c>
      <c r="J477" s="56"/>
      <c r="K477" s="56"/>
      <c r="L477" s="57"/>
      <c r="M477" s="64"/>
      <c r="N477" s="20"/>
      <c r="O477" s="64"/>
      <c r="P477" s="64"/>
      <c r="Q477" s="70"/>
      <c r="R477" s="70"/>
      <c r="S477" s="70"/>
      <c r="T477" s="71"/>
      <c r="U477" s="36"/>
    </row>
    <row r="478" spans="1:21" ht="15.75" customHeight="1" x14ac:dyDescent="0.35">
      <c r="A478" s="80"/>
      <c r="B478" s="139"/>
      <c r="C478" s="138"/>
      <c r="D478" s="92" t="s">
        <v>67</v>
      </c>
      <c r="E478" s="58">
        <v>0</v>
      </c>
      <c r="F478" s="58">
        <v>0</v>
      </c>
      <c r="G478" s="58">
        <v>0</v>
      </c>
      <c r="H478" s="58">
        <v>0</v>
      </c>
      <c r="I478" s="81">
        <f t="shared" si="217"/>
        <v>0</v>
      </c>
      <c r="J478" s="56"/>
      <c r="K478" s="56"/>
      <c r="L478" s="57"/>
      <c r="M478" s="64"/>
      <c r="N478" s="20"/>
      <c r="O478" s="64"/>
      <c r="P478" s="64"/>
      <c r="Q478" s="70"/>
      <c r="R478" s="70"/>
      <c r="S478" s="70"/>
      <c r="T478" s="71"/>
      <c r="U478" s="36"/>
    </row>
    <row r="479" spans="1:21" ht="15.75" customHeight="1" x14ac:dyDescent="0.35">
      <c r="A479" s="82">
        <f t="shared" ref="A479:B479" si="278">A476+7</f>
        <v>45447</v>
      </c>
      <c r="B479" s="139">
        <f t="shared" si="278"/>
        <v>1096</v>
      </c>
      <c r="C479" s="138" t="str">
        <f t="shared" si="273"/>
        <v>15% FBS R1</v>
      </c>
      <c r="D479" s="91" t="s">
        <v>65</v>
      </c>
      <c r="E479" s="58">
        <v>255</v>
      </c>
      <c r="F479" s="58">
        <v>239</v>
      </c>
      <c r="G479" s="58">
        <v>250</v>
      </c>
      <c r="H479" s="58">
        <v>241</v>
      </c>
      <c r="I479" s="81">
        <f t="shared" si="217"/>
        <v>246.25</v>
      </c>
      <c r="J479" s="56">
        <f t="shared" ref="J479" si="279">I479*2*10000</f>
        <v>4925000</v>
      </c>
      <c r="K479" s="56">
        <f t="shared" si="275"/>
        <v>3000000</v>
      </c>
      <c r="L479" s="57">
        <f t="shared" ref="L479" si="280">J479*5</f>
        <v>24625000</v>
      </c>
      <c r="M479" s="85">
        <f>I479/(I479+I480)*100</f>
        <v>90.201465201465197</v>
      </c>
      <c r="N479" s="22">
        <f>I481/I479*100</f>
        <v>0</v>
      </c>
      <c r="O479" s="66">
        <f>3.32*(LOG(L479)-LOG(K479))</f>
        <v>3.0353265483739564</v>
      </c>
      <c r="P479" s="66">
        <f t="shared" ref="P479" si="281">IF(O479&lt;0,P476,P476+O479)</f>
        <v>324.04431660476729</v>
      </c>
      <c r="Q479" s="68"/>
      <c r="R479" s="68"/>
      <c r="S479" s="69"/>
      <c r="T479" s="68"/>
      <c r="U479" s="36"/>
    </row>
    <row r="480" spans="1:21" ht="15.75" customHeight="1" x14ac:dyDescent="0.35">
      <c r="A480" s="80"/>
      <c r="B480" s="139"/>
      <c r="C480" s="138"/>
      <c r="D480" s="92" t="s">
        <v>66</v>
      </c>
      <c r="E480" s="58">
        <v>17</v>
      </c>
      <c r="F480" s="58">
        <v>27</v>
      </c>
      <c r="G480" s="58">
        <v>32</v>
      </c>
      <c r="H480" s="58">
        <v>31</v>
      </c>
      <c r="I480" s="81">
        <f t="shared" si="217"/>
        <v>26.75</v>
      </c>
      <c r="J480" s="56"/>
      <c r="K480" s="56"/>
      <c r="L480" s="57"/>
      <c r="M480" s="64"/>
      <c r="N480" s="20"/>
      <c r="O480" s="64"/>
      <c r="P480" s="64"/>
      <c r="Q480" s="70"/>
      <c r="R480" s="70"/>
      <c r="S480" s="70"/>
      <c r="T480" s="71"/>
      <c r="U480" s="36"/>
    </row>
    <row r="481" spans="1:21" ht="15.75" customHeight="1" x14ac:dyDescent="0.35">
      <c r="A481" s="80"/>
      <c r="B481" s="139"/>
      <c r="C481" s="138"/>
      <c r="D481" s="92" t="s">
        <v>67</v>
      </c>
      <c r="E481" s="58">
        <v>0</v>
      </c>
      <c r="F481" s="58">
        <v>0</v>
      </c>
      <c r="G481" s="58">
        <v>0</v>
      </c>
      <c r="H481" s="58">
        <v>0</v>
      </c>
      <c r="I481" s="81">
        <f t="shared" si="217"/>
        <v>0</v>
      </c>
      <c r="J481" s="56"/>
      <c r="K481" s="56"/>
      <c r="L481" s="57"/>
      <c r="M481" s="64"/>
      <c r="N481" s="20"/>
      <c r="O481" s="64"/>
      <c r="P481" s="64"/>
      <c r="Q481" s="70"/>
      <c r="R481" s="70"/>
      <c r="S481" s="70"/>
      <c r="T481" s="71"/>
      <c r="U481" s="36"/>
    </row>
    <row r="482" spans="1:21" ht="15.75" customHeight="1" x14ac:dyDescent="0.35">
      <c r="A482" s="82">
        <f t="shared" ref="A482:B482" si="282">A479+7</f>
        <v>45454</v>
      </c>
      <c r="B482" s="139">
        <f t="shared" si="282"/>
        <v>1103</v>
      </c>
      <c r="C482" s="138" t="str">
        <f t="shared" ref="C482:C485" si="283">$C$155</f>
        <v>15% FBS R1</v>
      </c>
      <c r="D482" s="91" t="s">
        <v>65</v>
      </c>
      <c r="E482" s="58">
        <v>252</v>
      </c>
      <c r="F482" s="58">
        <v>238</v>
      </c>
      <c r="G482" s="58">
        <v>231</v>
      </c>
      <c r="H482" s="58">
        <v>240</v>
      </c>
      <c r="I482" s="81">
        <f t="shared" si="217"/>
        <v>240.25</v>
      </c>
      <c r="J482" s="56">
        <f t="shared" ref="J482" si="284">I482*2*10000</f>
        <v>4805000</v>
      </c>
      <c r="K482" s="56">
        <f t="shared" ref="K482:K485" si="285">$K$155</f>
        <v>3000000</v>
      </c>
      <c r="L482" s="57">
        <f t="shared" ref="L482" si="286">J482*5</f>
        <v>24025000</v>
      </c>
      <c r="M482" s="85">
        <f>I482/(I482+I483)*100</f>
        <v>86.111111111111114</v>
      </c>
      <c r="N482" s="77">
        <f>I484/I482*100</f>
        <v>0</v>
      </c>
      <c r="O482" s="66">
        <f>3.32*(LOG(L482)-LOG(K482))</f>
        <v>2.9997599101814547</v>
      </c>
      <c r="P482" s="66">
        <f t="shared" ref="P482" si="287">IF(O482&lt;0,P479,P479+O482)</f>
        <v>327.04407651494876</v>
      </c>
      <c r="Q482" s="68"/>
      <c r="R482" s="68"/>
      <c r="S482" s="69"/>
      <c r="T482" s="68"/>
      <c r="U482" s="36"/>
    </row>
    <row r="483" spans="1:21" ht="15.75" customHeight="1" x14ac:dyDescent="0.35">
      <c r="A483" s="80"/>
      <c r="B483" s="139"/>
      <c r="C483" s="138"/>
      <c r="D483" s="92" t="s">
        <v>66</v>
      </c>
      <c r="E483" s="58">
        <v>38</v>
      </c>
      <c r="F483" s="58">
        <v>35</v>
      </c>
      <c r="G483" s="58">
        <v>42</v>
      </c>
      <c r="H483" s="58">
        <v>40</v>
      </c>
      <c r="I483" s="81">
        <f t="shared" si="217"/>
        <v>38.75</v>
      </c>
      <c r="J483" s="56"/>
      <c r="K483" s="56"/>
      <c r="L483" s="57"/>
      <c r="M483" s="64"/>
      <c r="N483" s="20"/>
      <c r="O483" s="64"/>
      <c r="P483" s="64"/>
      <c r="Q483" s="70"/>
      <c r="R483" s="70"/>
      <c r="S483" s="70"/>
      <c r="T483" s="71"/>
      <c r="U483" s="36"/>
    </row>
    <row r="484" spans="1:21" ht="15.75" customHeight="1" x14ac:dyDescent="0.35">
      <c r="A484" s="80"/>
      <c r="B484" s="139"/>
      <c r="C484" s="138"/>
      <c r="D484" s="92" t="s">
        <v>67</v>
      </c>
      <c r="E484" s="58">
        <v>0</v>
      </c>
      <c r="F484" s="58">
        <v>0</v>
      </c>
      <c r="G484" s="58">
        <v>0</v>
      </c>
      <c r="H484" s="58">
        <v>0</v>
      </c>
      <c r="I484" s="81">
        <f t="shared" si="217"/>
        <v>0</v>
      </c>
      <c r="J484" s="56"/>
      <c r="K484" s="56"/>
      <c r="L484" s="57"/>
      <c r="M484" s="64"/>
      <c r="N484" s="20"/>
      <c r="O484" s="64"/>
      <c r="P484" s="64"/>
      <c r="Q484" s="70"/>
      <c r="R484" s="70"/>
      <c r="S484" s="70"/>
      <c r="T484" s="71"/>
      <c r="U484" s="36"/>
    </row>
    <row r="485" spans="1:21" ht="15.75" customHeight="1" x14ac:dyDescent="0.35">
      <c r="A485" s="82">
        <f t="shared" ref="A485:B485" si="288">A482+7</f>
        <v>45461</v>
      </c>
      <c r="B485" s="139">
        <f t="shared" si="288"/>
        <v>1110</v>
      </c>
      <c r="C485" s="138" t="str">
        <f t="shared" si="283"/>
        <v>15% FBS R1</v>
      </c>
      <c r="D485" s="91" t="s">
        <v>65</v>
      </c>
      <c r="E485" s="58">
        <v>201</v>
      </c>
      <c r="F485" s="58">
        <v>226</v>
      </c>
      <c r="G485" s="58">
        <v>212</v>
      </c>
      <c r="H485" s="58">
        <v>202</v>
      </c>
      <c r="I485" s="81">
        <f t="shared" si="217"/>
        <v>210.25</v>
      </c>
      <c r="J485" s="56">
        <f t="shared" ref="J485" si="289">I485*2*10000</f>
        <v>4205000</v>
      </c>
      <c r="K485" s="56">
        <f t="shared" si="285"/>
        <v>3000000</v>
      </c>
      <c r="L485" s="57">
        <f t="shared" ref="L485" si="290">J485*5</f>
        <v>21025000</v>
      </c>
      <c r="M485" s="85">
        <f>I485/(I485+I486)*100</f>
        <v>85.467479674796749</v>
      </c>
      <c r="N485" s="22">
        <f>I487/I485*100</f>
        <v>0</v>
      </c>
      <c r="O485" s="66">
        <f>3.32*(LOG(L485)-LOG(K485))</f>
        <v>2.807440969170953</v>
      </c>
      <c r="P485" s="66">
        <f t="shared" ref="P485" si="291">IF(O485&lt;0,P482,P482+O485)</f>
        <v>329.85151748411971</v>
      </c>
      <c r="Q485" s="68"/>
      <c r="R485" s="68"/>
      <c r="S485" s="69"/>
      <c r="T485" s="68"/>
      <c r="U485" s="36"/>
    </row>
    <row r="486" spans="1:21" ht="15.75" customHeight="1" x14ac:dyDescent="0.35">
      <c r="A486" s="80"/>
      <c r="B486" s="139"/>
      <c r="C486" s="138"/>
      <c r="D486" s="92" t="s">
        <v>66</v>
      </c>
      <c r="E486" s="58">
        <v>35</v>
      </c>
      <c r="F486" s="58">
        <v>33</v>
      </c>
      <c r="G486" s="58">
        <v>38</v>
      </c>
      <c r="H486" s="58">
        <v>37</v>
      </c>
      <c r="I486" s="81">
        <f t="shared" si="217"/>
        <v>35.75</v>
      </c>
      <c r="J486" s="56"/>
      <c r="K486" s="56"/>
      <c r="L486" s="57"/>
      <c r="M486" s="64"/>
      <c r="N486" s="20"/>
      <c r="O486" s="64"/>
      <c r="P486" s="64"/>
      <c r="Q486" s="70"/>
      <c r="R486" s="70"/>
      <c r="S486" s="70"/>
      <c r="T486" s="71"/>
      <c r="U486" s="36"/>
    </row>
    <row r="487" spans="1:21" ht="15.75" customHeight="1" x14ac:dyDescent="0.35">
      <c r="A487" s="80"/>
      <c r="B487" s="139"/>
      <c r="C487" s="138"/>
      <c r="D487" s="92" t="s">
        <v>67</v>
      </c>
      <c r="E487" s="58">
        <v>0</v>
      </c>
      <c r="F487" s="58">
        <v>0</v>
      </c>
      <c r="G487" s="58">
        <v>0</v>
      </c>
      <c r="H487" s="58">
        <v>0</v>
      </c>
      <c r="I487" s="81">
        <f t="shared" si="217"/>
        <v>0</v>
      </c>
      <c r="J487" s="56"/>
      <c r="K487" s="56"/>
      <c r="L487" s="57"/>
      <c r="M487" s="64"/>
      <c r="N487" s="20"/>
      <c r="O487" s="64"/>
      <c r="P487" s="64"/>
      <c r="Q487" s="70"/>
      <c r="R487" s="70"/>
      <c r="S487" s="70"/>
      <c r="T487" s="71"/>
      <c r="U487" s="36"/>
    </row>
    <row r="488" spans="1:21" ht="15.75" customHeight="1" x14ac:dyDescent="0.35">
      <c r="A488" s="82">
        <f t="shared" ref="A488:B488" si="292">A485+7</f>
        <v>45468</v>
      </c>
      <c r="B488" s="139">
        <f t="shared" si="292"/>
        <v>1117</v>
      </c>
      <c r="C488" s="138" t="str">
        <f t="shared" ref="C488:C494" si="293">$C$155</f>
        <v>15% FBS R1</v>
      </c>
      <c r="D488" s="91" t="s">
        <v>65</v>
      </c>
      <c r="E488" s="58">
        <v>106</v>
      </c>
      <c r="F488" s="58">
        <v>121</v>
      </c>
      <c r="G488" s="58">
        <v>118</v>
      </c>
      <c r="H488" s="58">
        <v>126</v>
      </c>
      <c r="I488" s="81">
        <f t="shared" si="217"/>
        <v>117.75</v>
      </c>
      <c r="J488" s="56">
        <f t="shared" ref="J488" si="294">I488*2*10000</f>
        <v>2355000</v>
      </c>
      <c r="K488" s="56">
        <f t="shared" ref="K488:K494" si="295">$K$155</f>
        <v>3000000</v>
      </c>
      <c r="L488" s="57">
        <f t="shared" ref="L488" si="296">J488*5</f>
        <v>11775000</v>
      </c>
      <c r="M488" s="85">
        <f>I488/(I488+I489)*100</f>
        <v>96.714579055441476</v>
      </c>
      <c r="N488" s="22">
        <f>I490/I488*100</f>
        <v>0</v>
      </c>
      <c r="O488" s="66">
        <f>3.32*(LOG(L488)-LOG(K488))</f>
        <v>1.9715476747898213</v>
      </c>
      <c r="P488" s="66">
        <f t="shared" ref="P488" si="297">IF(O488&lt;0,P485,P485+O488)</f>
        <v>331.82306515890951</v>
      </c>
      <c r="Q488" s="68"/>
      <c r="R488" s="68"/>
      <c r="S488" s="69"/>
      <c r="T488" s="68"/>
      <c r="U488" s="36"/>
    </row>
    <row r="489" spans="1:21" ht="15.75" customHeight="1" x14ac:dyDescent="0.35">
      <c r="A489" s="80"/>
      <c r="B489" s="139"/>
      <c r="C489" s="138"/>
      <c r="D489" s="92" t="s">
        <v>66</v>
      </c>
      <c r="E489" s="58">
        <v>4</v>
      </c>
      <c r="F489" s="58">
        <v>4</v>
      </c>
      <c r="G489" s="58">
        <v>3</v>
      </c>
      <c r="H489" s="58">
        <v>5</v>
      </c>
      <c r="I489" s="81">
        <f t="shared" si="217"/>
        <v>4</v>
      </c>
      <c r="J489" s="56"/>
      <c r="K489" s="56"/>
      <c r="L489" s="57"/>
      <c r="M489" s="64"/>
      <c r="N489" s="20"/>
      <c r="O489" s="64"/>
      <c r="P489" s="64"/>
      <c r="Q489" s="70"/>
      <c r="R489" s="70"/>
      <c r="S489" s="70"/>
      <c r="T489" s="71"/>
      <c r="U489" s="36"/>
    </row>
    <row r="490" spans="1:21" ht="15.75" customHeight="1" x14ac:dyDescent="0.35">
      <c r="A490" s="80"/>
      <c r="B490" s="139"/>
      <c r="C490" s="138"/>
      <c r="D490" s="92" t="s">
        <v>67</v>
      </c>
      <c r="E490" s="58">
        <v>0</v>
      </c>
      <c r="F490" s="58">
        <v>0</v>
      </c>
      <c r="G490" s="58">
        <v>0</v>
      </c>
      <c r="H490" s="58">
        <v>0</v>
      </c>
      <c r="I490" s="81">
        <f t="shared" si="217"/>
        <v>0</v>
      </c>
      <c r="J490" s="56"/>
      <c r="K490" s="56"/>
      <c r="L490" s="57"/>
      <c r="M490" s="64"/>
      <c r="N490" s="20"/>
      <c r="O490" s="64"/>
      <c r="P490" s="64"/>
      <c r="Q490" s="70"/>
      <c r="R490" s="70"/>
      <c r="S490" s="70"/>
      <c r="T490" s="71"/>
      <c r="U490" s="36"/>
    </row>
    <row r="491" spans="1:21" ht="15.75" customHeight="1" x14ac:dyDescent="0.35">
      <c r="A491" s="82">
        <f t="shared" ref="A491:B491" si="298">A488+7</f>
        <v>45475</v>
      </c>
      <c r="B491" s="139">
        <f t="shared" si="298"/>
        <v>1124</v>
      </c>
      <c r="C491" s="138" t="str">
        <f t="shared" si="293"/>
        <v>15% FBS R1</v>
      </c>
      <c r="D491" s="91" t="s">
        <v>65</v>
      </c>
      <c r="E491" s="58">
        <v>129</v>
      </c>
      <c r="F491" s="58">
        <v>107</v>
      </c>
      <c r="G491" s="58">
        <v>105</v>
      </c>
      <c r="H491" s="58">
        <v>117</v>
      </c>
      <c r="I491" s="81">
        <f t="shared" si="217"/>
        <v>114.5</v>
      </c>
      <c r="J491" s="56">
        <f t="shared" ref="J491" si="299">I491*2*10000</f>
        <v>2290000</v>
      </c>
      <c r="K491" s="56">
        <f t="shared" si="295"/>
        <v>3000000</v>
      </c>
      <c r="L491" s="57">
        <f t="shared" ref="L491" si="300">J491*5</f>
        <v>11450000</v>
      </c>
      <c r="M491" s="85">
        <f>I491/(I491+I492)*100</f>
        <v>96.21848739495799</v>
      </c>
      <c r="N491" s="22">
        <f>I493/I491*100</f>
        <v>0</v>
      </c>
      <c r="O491" s="66">
        <f>3.32*(LOG(L491)-LOG(K491))</f>
        <v>1.9311916500947317</v>
      </c>
      <c r="P491" s="66">
        <f t="shared" ref="P491" si="301">IF(O491&lt;0,P488,P488+O491)</f>
        <v>333.75425680900423</v>
      </c>
      <c r="Q491" s="68"/>
      <c r="R491" s="68"/>
      <c r="S491" s="69"/>
      <c r="T491" s="68"/>
      <c r="U491" s="36"/>
    </row>
    <row r="492" spans="1:21" ht="15.75" customHeight="1" x14ac:dyDescent="0.35">
      <c r="A492" s="80"/>
      <c r="B492" s="139"/>
      <c r="C492" s="138"/>
      <c r="D492" s="92" t="s">
        <v>66</v>
      </c>
      <c r="E492" s="58">
        <v>4</v>
      </c>
      <c r="F492" s="58">
        <v>5</v>
      </c>
      <c r="G492" s="58">
        <v>5</v>
      </c>
      <c r="H492" s="58">
        <v>4</v>
      </c>
      <c r="I492" s="81">
        <f t="shared" si="217"/>
        <v>4.5</v>
      </c>
      <c r="J492" s="56"/>
      <c r="K492" s="56"/>
      <c r="L492" s="57"/>
      <c r="M492" s="64"/>
      <c r="N492" s="20"/>
      <c r="O492" s="64"/>
      <c r="P492" s="64"/>
      <c r="Q492" s="70"/>
      <c r="R492" s="70"/>
      <c r="S492" s="70"/>
      <c r="T492" s="71"/>
      <c r="U492" s="36"/>
    </row>
    <row r="493" spans="1:21" ht="15.75" customHeight="1" x14ac:dyDescent="0.35">
      <c r="A493" s="80"/>
      <c r="B493" s="139"/>
      <c r="C493" s="138"/>
      <c r="D493" s="92" t="s">
        <v>67</v>
      </c>
      <c r="E493" s="58">
        <v>0</v>
      </c>
      <c r="F493" s="58">
        <v>0</v>
      </c>
      <c r="G493" s="58">
        <v>0</v>
      </c>
      <c r="H493" s="58">
        <v>0</v>
      </c>
      <c r="I493" s="81">
        <f t="shared" si="217"/>
        <v>0</v>
      </c>
      <c r="J493" s="56"/>
      <c r="K493" s="56"/>
      <c r="L493" s="57"/>
      <c r="M493" s="64"/>
      <c r="N493" s="20"/>
      <c r="O493" s="64"/>
      <c r="P493" s="64"/>
      <c r="Q493" s="70"/>
      <c r="R493" s="70"/>
      <c r="S493" s="70"/>
      <c r="T493" s="71"/>
      <c r="U493" s="36"/>
    </row>
    <row r="494" spans="1:21" ht="15.75" customHeight="1" x14ac:dyDescent="0.35">
      <c r="A494" s="82">
        <f t="shared" ref="A494:B494" si="302">A491+7</f>
        <v>45482</v>
      </c>
      <c r="B494" s="139">
        <f t="shared" si="302"/>
        <v>1131</v>
      </c>
      <c r="C494" s="138" t="str">
        <f t="shared" si="293"/>
        <v>15% FBS R1</v>
      </c>
      <c r="D494" s="91" t="s">
        <v>65</v>
      </c>
      <c r="E494" s="58">
        <v>60</v>
      </c>
      <c r="F494" s="58">
        <v>77</v>
      </c>
      <c r="G494" s="58">
        <v>85</v>
      </c>
      <c r="H494" s="58">
        <v>95</v>
      </c>
      <c r="I494" s="81">
        <f t="shared" si="217"/>
        <v>79.25</v>
      </c>
      <c r="J494" s="56">
        <f t="shared" ref="J494" si="303">I494*2*10000</f>
        <v>1585000</v>
      </c>
      <c r="K494" s="56">
        <f t="shared" si="295"/>
        <v>3000000</v>
      </c>
      <c r="L494" s="57">
        <f t="shared" ref="L494" si="304">J494*5</f>
        <v>7925000</v>
      </c>
      <c r="M494" s="85">
        <f>I494/(I494+I495)*100</f>
        <v>85.907859078590789</v>
      </c>
      <c r="N494" s="22">
        <f>I496/I494*100</f>
        <v>0</v>
      </c>
      <c r="O494" s="66">
        <f>3.32*(LOG(L494)-LOG(K494))</f>
        <v>1.4006350136848187</v>
      </c>
      <c r="P494" s="66">
        <f t="shared" ref="P494" si="305">IF(O494&lt;0,P491,P491+O494)</f>
        <v>335.15489182268902</v>
      </c>
      <c r="Q494" s="68"/>
      <c r="R494" s="68"/>
      <c r="S494" s="69"/>
      <c r="T494" s="68"/>
      <c r="U494" s="36"/>
    </row>
    <row r="495" spans="1:21" ht="15.75" customHeight="1" x14ac:dyDescent="0.35">
      <c r="A495" s="80"/>
      <c r="B495" s="139"/>
      <c r="C495" s="138"/>
      <c r="D495" s="92" t="s">
        <v>66</v>
      </c>
      <c r="E495" s="58">
        <v>14</v>
      </c>
      <c r="F495" s="58">
        <v>15</v>
      </c>
      <c r="G495" s="58">
        <v>6</v>
      </c>
      <c r="H495" s="58">
        <v>17</v>
      </c>
      <c r="I495" s="81">
        <f t="shared" si="217"/>
        <v>13</v>
      </c>
      <c r="J495" s="56"/>
      <c r="K495" s="56"/>
      <c r="L495" s="57"/>
      <c r="M495" s="64"/>
      <c r="N495" s="20"/>
      <c r="O495" s="64"/>
      <c r="P495" s="64"/>
      <c r="Q495" s="70"/>
      <c r="R495" s="70"/>
      <c r="S495" s="70"/>
      <c r="T495" s="71"/>
      <c r="U495" s="36"/>
    </row>
    <row r="496" spans="1:21" ht="15.75" customHeight="1" x14ac:dyDescent="0.35">
      <c r="A496" s="80"/>
      <c r="B496" s="139"/>
      <c r="C496" s="138"/>
      <c r="D496" s="92" t="s">
        <v>67</v>
      </c>
      <c r="E496" s="58">
        <v>0</v>
      </c>
      <c r="F496" s="58">
        <v>0</v>
      </c>
      <c r="G496" s="58">
        <v>0</v>
      </c>
      <c r="H496" s="58">
        <v>0</v>
      </c>
      <c r="I496" s="81">
        <f t="shared" si="217"/>
        <v>0</v>
      </c>
      <c r="J496" s="56"/>
      <c r="K496" s="56"/>
      <c r="L496" s="57"/>
      <c r="M496" s="64"/>
      <c r="N496" s="20"/>
      <c r="O496" s="64"/>
      <c r="P496" s="64"/>
      <c r="Q496" s="70"/>
      <c r="R496" s="70"/>
      <c r="S496" s="70"/>
      <c r="T496" s="71"/>
      <c r="U496" s="36"/>
    </row>
    <row r="497" spans="1:21" ht="15.75" customHeight="1" x14ac:dyDescent="0.35">
      <c r="A497" s="82">
        <f t="shared" ref="A497:B497" si="306">A494+7</f>
        <v>45489</v>
      </c>
      <c r="B497" s="139">
        <f t="shared" si="306"/>
        <v>1138</v>
      </c>
      <c r="C497" s="138" t="str">
        <f t="shared" ref="C497" si="307">$C$155</f>
        <v>15% FBS R1</v>
      </c>
      <c r="D497" s="91" t="s">
        <v>65</v>
      </c>
      <c r="E497" s="58">
        <v>135</v>
      </c>
      <c r="F497" s="58">
        <v>131</v>
      </c>
      <c r="G497" s="58">
        <v>108</v>
      </c>
      <c r="H497" s="58">
        <v>141</v>
      </c>
      <c r="I497" s="81">
        <f t="shared" si="217"/>
        <v>128.75</v>
      </c>
      <c r="J497" s="56">
        <f t="shared" ref="J497" si="308">I497*2*10000</f>
        <v>2575000</v>
      </c>
      <c r="K497" s="56">
        <f t="shared" ref="K497" si="309">$K$155</f>
        <v>3000000</v>
      </c>
      <c r="L497" s="57">
        <f t="shared" ref="L497" si="310">J497*5</f>
        <v>12875000</v>
      </c>
      <c r="M497" s="85">
        <f>I497/(I497+I498)*100</f>
        <v>92.625899280575538</v>
      </c>
      <c r="N497" s="22">
        <f>I499/I497*100</f>
        <v>0</v>
      </c>
      <c r="O497" s="66">
        <f>3.32*(LOG(L497)-LOG(K497))</f>
        <v>2.1003182635386377</v>
      </c>
      <c r="P497" s="66">
        <f t="shared" ref="P497" si="311">IF(O497&lt;0,P494,P494+O497)</f>
        <v>337.25521008622763</v>
      </c>
      <c r="Q497" s="68"/>
      <c r="R497" s="68"/>
      <c r="S497" s="69"/>
      <c r="T497" s="68"/>
      <c r="U497" s="36"/>
    </row>
    <row r="498" spans="1:21" ht="15.75" customHeight="1" x14ac:dyDescent="0.35">
      <c r="A498" s="80"/>
      <c r="B498" s="139"/>
      <c r="C498" s="138"/>
      <c r="D498" s="93" t="s">
        <v>66</v>
      </c>
      <c r="E498" s="58">
        <v>9</v>
      </c>
      <c r="F498" s="58">
        <v>9</v>
      </c>
      <c r="G498" s="58">
        <v>10</v>
      </c>
      <c r="H498" s="58">
        <v>13</v>
      </c>
      <c r="I498" s="81">
        <f t="shared" ref="I498:I502" si="312">AVERAGE(E498:H498)</f>
        <v>10.25</v>
      </c>
      <c r="J498" s="56"/>
      <c r="K498" s="56"/>
      <c r="L498" s="57"/>
      <c r="M498" s="64"/>
      <c r="N498" s="20"/>
      <c r="O498" s="64"/>
      <c r="P498" s="64"/>
      <c r="Q498" s="70"/>
      <c r="R498" s="70"/>
      <c r="S498" s="70"/>
      <c r="T498" s="71"/>
      <c r="U498" s="36"/>
    </row>
    <row r="499" spans="1:21" ht="15.75" customHeight="1" x14ac:dyDescent="0.35">
      <c r="A499" s="80"/>
      <c r="B499" s="139"/>
      <c r="C499" s="138"/>
      <c r="D499" s="92" t="s">
        <v>67</v>
      </c>
      <c r="E499" s="58">
        <v>0</v>
      </c>
      <c r="F499" s="58">
        <v>0</v>
      </c>
      <c r="G499" s="58">
        <v>0</v>
      </c>
      <c r="H499" s="58">
        <v>0</v>
      </c>
      <c r="I499" s="81">
        <f t="shared" si="312"/>
        <v>0</v>
      </c>
      <c r="J499" s="56"/>
      <c r="K499" s="56"/>
      <c r="L499" s="57"/>
      <c r="M499" s="64"/>
      <c r="N499" s="20"/>
      <c r="O499" s="64"/>
      <c r="P499" s="64"/>
      <c r="Q499" s="70"/>
      <c r="R499" s="70"/>
      <c r="S499" s="70"/>
      <c r="T499" s="71"/>
      <c r="U499" s="36"/>
    </row>
    <row r="500" spans="1:21" ht="15.75" customHeight="1" x14ac:dyDescent="0.35">
      <c r="A500" s="82">
        <f t="shared" ref="A500:B500" si="313">A497+7</f>
        <v>45496</v>
      </c>
      <c r="B500" s="139">
        <f t="shared" si="313"/>
        <v>1145</v>
      </c>
      <c r="C500" s="138" t="str">
        <f t="shared" ref="C500" si="314">$C$155</f>
        <v>15% FBS R1</v>
      </c>
      <c r="D500" s="91" t="s">
        <v>65</v>
      </c>
      <c r="E500" s="58">
        <v>235</v>
      </c>
      <c r="F500" s="58">
        <v>221</v>
      </c>
      <c r="G500" s="58">
        <v>245</v>
      </c>
      <c r="H500" s="58">
        <v>239</v>
      </c>
      <c r="I500" s="81">
        <f t="shared" si="312"/>
        <v>235</v>
      </c>
      <c r="J500" s="56">
        <f t="shared" ref="J500" si="315">I500*2*10000</f>
        <v>4700000</v>
      </c>
      <c r="K500" s="56">
        <f t="shared" ref="K500" si="316">$K$155</f>
        <v>3000000</v>
      </c>
      <c r="L500" s="57">
        <f t="shared" ref="L500" si="317">J500*5</f>
        <v>23500000</v>
      </c>
      <c r="M500" s="85">
        <f>I500/(I500+I501)*100</f>
        <v>92.70216962524654</v>
      </c>
      <c r="N500" s="77">
        <f>I502/I500*100</f>
        <v>0</v>
      </c>
      <c r="O500" s="66">
        <f>3.32*(LOG(L500)-LOG(K500))</f>
        <v>2.9679027370728828</v>
      </c>
      <c r="P500" s="66">
        <f t="shared" ref="P500" si="318">IF(O500&lt;0,P497,P497+O500)</f>
        <v>340.22311282330054</v>
      </c>
      <c r="Q500" s="68"/>
      <c r="R500" s="68"/>
      <c r="S500" s="69"/>
      <c r="T500" s="68"/>
      <c r="U500" s="36"/>
    </row>
    <row r="501" spans="1:21" ht="15.75" customHeight="1" x14ac:dyDescent="0.35">
      <c r="A501" s="80"/>
      <c r="B501" s="139"/>
      <c r="C501" s="138"/>
      <c r="D501" s="93" t="s">
        <v>66</v>
      </c>
      <c r="E501" s="58">
        <v>21</v>
      </c>
      <c r="F501" s="58">
        <v>19</v>
      </c>
      <c r="G501" s="58">
        <v>16</v>
      </c>
      <c r="H501" s="58">
        <v>18</v>
      </c>
      <c r="I501" s="81">
        <f t="shared" si="312"/>
        <v>18.5</v>
      </c>
      <c r="J501" s="56"/>
      <c r="K501" s="56"/>
      <c r="L501" s="57"/>
      <c r="M501" s="64"/>
      <c r="N501" s="20"/>
      <c r="O501" s="64"/>
      <c r="P501" s="64"/>
      <c r="Q501" s="70"/>
      <c r="R501" s="70"/>
      <c r="S501" s="70"/>
      <c r="T501" s="71"/>
      <c r="U501" s="36"/>
    </row>
    <row r="502" spans="1:21" ht="15.75" customHeight="1" x14ac:dyDescent="0.35">
      <c r="A502" s="80"/>
      <c r="B502" s="139"/>
      <c r="C502" s="138"/>
      <c r="D502" s="92" t="s">
        <v>67</v>
      </c>
      <c r="E502" s="58">
        <v>0</v>
      </c>
      <c r="F502" s="58">
        <v>0</v>
      </c>
      <c r="G502" s="58">
        <v>0</v>
      </c>
      <c r="H502" s="58">
        <v>0</v>
      </c>
      <c r="I502" s="81">
        <f t="shared" si="312"/>
        <v>0</v>
      </c>
      <c r="J502" s="56"/>
      <c r="K502" s="56"/>
      <c r="L502" s="57"/>
      <c r="M502" s="64"/>
      <c r="N502" s="20"/>
      <c r="O502" s="64"/>
      <c r="P502" s="64"/>
      <c r="Q502" s="70"/>
      <c r="R502" s="70"/>
      <c r="S502" s="70"/>
      <c r="T502" s="71"/>
      <c r="U502" s="36"/>
    </row>
    <row r="503" spans="1:21" ht="15.75" customHeight="1" x14ac:dyDescent="0.35">
      <c r="P503" s="36"/>
      <c r="Q503" s="36"/>
      <c r="R503" s="36"/>
      <c r="S503" s="36"/>
      <c r="T503" s="36"/>
      <c r="U503" s="36"/>
    </row>
    <row r="504" spans="1:21" ht="15.75" customHeight="1" x14ac:dyDescent="0.35">
      <c r="P504" s="36"/>
      <c r="Q504" s="36"/>
      <c r="R504" s="36"/>
      <c r="S504" s="36"/>
      <c r="T504" s="36"/>
      <c r="U504" s="36"/>
    </row>
    <row r="505" spans="1:21" ht="15.75" customHeight="1" x14ac:dyDescent="0.35">
      <c r="P505" s="36"/>
      <c r="Q505" s="36"/>
      <c r="R505" s="36"/>
      <c r="S505" s="36"/>
      <c r="T505" s="36"/>
      <c r="U505" s="36"/>
    </row>
    <row r="506" spans="1:21" ht="15.75" customHeight="1" x14ac:dyDescent="0.35">
      <c r="P506" s="36"/>
      <c r="Q506" s="36"/>
      <c r="R506" s="36"/>
      <c r="S506" s="36"/>
      <c r="T506" s="36"/>
      <c r="U506" s="36"/>
    </row>
    <row r="507" spans="1:21" ht="15.75" customHeight="1" x14ac:dyDescent="0.35">
      <c r="P507" s="36"/>
      <c r="Q507" s="36"/>
      <c r="R507" s="36"/>
      <c r="S507" s="36"/>
      <c r="T507" s="36"/>
      <c r="U507" s="36"/>
    </row>
    <row r="508" spans="1:21" ht="15.75" customHeight="1" x14ac:dyDescent="0.35">
      <c r="P508" s="36"/>
      <c r="Q508" s="36"/>
      <c r="R508" s="36"/>
      <c r="S508" s="36"/>
      <c r="T508" s="36"/>
      <c r="U508" s="36"/>
    </row>
    <row r="509" spans="1:21" ht="15.75" customHeight="1" x14ac:dyDescent="0.35">
      <c r="P509" s="36"/>
      <c r="Q509" s="36"/>
      <c r="R509" s="36"/>
      <c r="S509" s="36"/>
      <c r="T509" s="36"/>
      <c r="U509" s="36"/>
    </row>
    <row r="510" spans="1:21" ht="15.75" customHeight="1" x14ac:dyDescent="0.35">
      <c r="P510" s="36"/>
      <c r="Q510" s="36"/>
      <c r="R510" s="36"/>
      <c r="S510" s="36"/>
      <c r="T510" s="36"/>
      <c r="U510" s="36"/>
    </row>
    <row r="511" spans="1:21" ht="15.75" customHeight="1" x14ac:dyDescent="0.35">
      <c r="P511" s="36"/>
      <c r="Q511" s="36"/>
      <c r="R511" s="36"/>
      <c r="S511" s="36"/>
      <c r="T511" s="36"/>
      <c r="U511" s="36"/>
    </row>
    <row r="512" spans="1:21" ht="15.75" customHeight="1" x14ac:dyDescent="0.35">
      <c r="P512" s="36"/>
      <c r="Q512" s="36"/>
      <c r="R512" s="36"/>
      <c r="S512" s="36"/>
      <c r="T512" s="36"/>
      <c r="U512" s="36"/>
    </row>
    <row r="513" spans="16:21" ht="15.75" customHeight="1" x14ac:dyDescent="0.35">
      <c r="P513" s="36"/>
      <c r="Q513" s="36"/>
      <c r="R513" s="36"/>
      <c r="S513" s="36"/>
      <c r="T513" s="36"/>
      <c r="U513" s="36"/>
    </row>
    <row r="514" spans="16:21" ht="15.75" customHeight="1" x14ac:dyDescent="0.35">
      <c r="P514" s="36"/>
      <c r="Q514" s="36"/>
      <c r="R514" s="36"/>
      <c r="S514" s="36"/>
      <c r="T514" s="36"/>
      <c r="U514" s="36"/>
    </row>
    <row r="515" spans="16:21" ht="15.75" customHeight="1" x14ac:dyDescent="0.35">
      <c r="P515" s="36"/>
      <c r="Q515" s="36"/>
      <c r="R515" s="36"/>
      <c r="S515" s="36"/>
      <c r="T515" s="36"/>
      <c r="U515" s="36"/>
    </row>
    <row r="516" spans="16:21" ht="15.75" customHeight="1" x14ac:dyDescent="0.35"/>
    <row r="517" spans="16:21" ht="15.75" customHeight="1" x14ac:dyDescent="0.35"/>
    <row r="518" spans="16:21" ht="15.75" customHeight="1" x14ac:dyDescent="0.35"/>
    <row r="519" spans="16:21" ht="15.75" customHeight="1" x14ac:dyDescent="0.35"/>
    <row r="520" spans="16:21" ht="15.75" customHeight="1" x14ac:dyDescent="0.35"/>
    <row r="521" spans="16:21" ht="15.75" customHeight="1" x14ac:dyDescent="0.35"/>
    <row r="522" spans="16:21" ht="15.75" customHeight="1" x14ac:dyDescent="0.35"/>
    <row r="523" spans="16:21" ht="15.75" customHeight="1" x14ac:dyDescent="0.35"/>
    <row r="524" spans="16:21" ht="15.75" customHeight="1" x14ac:dyDescent="0.35"/>
    <row r="525" spans="16:21" ht="15.75" customHeight="1" x14ac:dyDescent="0.35"/>
    <row r="526" spans="16:21" ht="15.75" customHeight="1" x14ac:dyDescent="0.35"/>
    <row r="527" spans="16:21" ht="15.75" customHeight="1" x14ac:dyDescent="0.35"/>
    <row r="528" spans="16:21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</sheetData>
  <mergeCells count="13">
    <mergeCell ref="P2:P3"/>
    <mergeCell ref="J2:J3"/>
    <mergeCell ref="K2:K3"/>
    <mergeCell ref="L2:L3"/>
    <mergeCell ref="M2:M3"/>
    <mergeCell ref="N2:N3"/>
    <mergeCell ref="O2:O3"/>
    <mergeCell ref="I2:I3"/>
    <mergeCell ref="A2:A3"/>
    <mergeCell ref="B2:B3"/>
    <mergeCell ref="C2:C3"/>
    <mergeCell ref="D2:D3"/>
    <mergeCell ref="E2:H2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C22F-64E6-48CE-885B-250B5D41C5E6}">
  <dimension ref="A1:E168"/>
  <sheetViews>
    <sheetView workbookViewId="0"/>
  </sheetViews>
  <sheetFormatPr defaultRowHeight="14.5" x14ac:dyDescent="0.35"/>
  <sheetData>
    <row r="1" spans="1:5" x14ac:dyDescent="0.35">
      <c r="A1" s="140" t="s">
        <v>78</v>
      </c>
    </row>
    <row r="2" spans="1:5" x14ac:dyDescent="0.35">
      <c r="A2" t="s">
        <v>48</v>
      </c>
      <c r="B2" t="s">
        <v>44</v>
      </c>
      <c r="C2" t="s">
        <v>45</v>
      </c>
      <c r="D2" t="s">
        <v>46</v>
      </c>
      <c r="E2" t="s">
        <v>47</v>
      </c>
    </row>
    <row r="3" spans="1:5" x14ac:dyDescent="0.35">
      <c r="A3">
        <v>0</v>
      </c>
      <c r="B3">
        <v>0</v>
      </c>
      <c r="C3">
        <v>0</v>
      </c>
      <c r="D3">
        <v>0</v>
      </c>
      <c r="E3">
        <v>0</v>
      </c>
    </row>
    <row r="4" spans="1:5" x14ac:dyDescent="0.35">
      <c r="A4">
        <v>3</v>
      </c>
      <c r="B4" s="14">
        <v>2.2799999999999998</v>
      </c>
      <c r="C4" s="14">
        <v>2.46</v>
      </c>
      <c r="D4" s="14">
        <v>2.6</v>
      </c>
      <c r="E4" s="14">
        <v>2.42</v>
      </c>
    </row>
    <row r="5" spans="1:5" x14ac:dyDescent="0.35">
      <c r="A5">
        <v>7</v>
      </c>
      <c r="B5" s="14">
        <v>3.3382790919130487</v>
      </c>
      <c r="C5" s="14">
        <v>3.7618067438375613</v>
      </c>
      <c r="D5" s="14">
        <v>4.0759565329362788</v>
      </c>
      <c r="E5" s="14">
        <v>3.6922796161464202</v>
      </c>
    </row>
    <row r="6" spans="1:5" x14ac:dyDescent="0.35">
      <c r="A6">
        <v>10</v>
      </c>
      <c r="B6" s="14">
        <v>3.4973852856060965</v>
      </c>
      <c r="C6" s="14">
        <v>4.0641939020707047</v>
      </c>
      <c r="D6" s="14">
        <v>4.1232347907967855</v>
      </c>
      <c r="E6" s="14">
        <v>4.1944882982441749</v>
      </c>
    </row>
    <row r="7" spans="1:5" x14ac:dyDescent="0.35">
      <c r="A7">
        <v>14</v>
      </c>
      <c r="B7" s="14">
        <v>3.5446635434666032</v>
      </c>
      <c r="C7" s="14">
        <v>4.0641939020707047</v>
      </c>
      <c r="D7" s="14">
        <v>4.3760686983026771</v>
      </c>
      <c r="E7" s="14">
        <v>4.5065849724948093</v>
      </c>
    </row>
    <row r="8" spans="1:5" x14ac:dyDescent="0.35">
      <c r="A8">
        <v>21</v>
      </c>
      <c r="B8" s="14">
        <v>3.9229554731253016</v>
      </c>
      <c r="C8" s="14">
        <v>5.0332574679347548</v>
      </c>
      <c r="D8" s="14">
        <v>5.0761018711481221</v>
      </c>
      <c r="E8" s="14">
        <v>5.5416077911999135</v>
      </c>
    </row>
    <row r="9" spans="1:5" x14ac:dyDescent="0.35">
      <c r="A9">
        <v>28</v>
      </c>
      <c r="B9" s="14">
        <v>4.3556635845287204</v>
      </c>
      <c r="C9" s="14">
        <v>5.9523815769378059</v>
      </c>
      <c r="D9" s="14">
        <v>6.1169740190920976</v>
      </c>
      <c r="E9" s="14">
        <v>6.6784510915296362</v>
      </c>
    </row>
    <row r="10" spans="1:5" x14ac:dyDescent="0.35">
      <c r="A10">
        <v>35</v>
      </c>
      <c r="B10" s="14">
        <v>5.1278046663557086</v>
      </c>
      <c r="C10" s="14">
        <v>6.5127710843808879</v>
      </c>
      <c r="D10" s="14">
        <v>6.7642963417693984</v>
      </c>
      <c r="E10" s="14">
        <v>7.3025794929495262</v>
      </c>
    </row>
    <row r="11" spans="1:5" x14ac:dyDescent="0.35">
      <c r="A11">
        <v>42</v>
      </c>
      <c r="B11" s="14">
        <v>5.1278046663557086</v>
      </c>
      <c r="C11" s="14">
        <v>6.7955408287071037</v>
      </c>
      <c r="D11" s="14">
        <v>6.7642963417693984</v>
      </c>
      <c r="E11" s="14">
        <v>7.9344807308748919</v>
      </c>
    </row>
    <row r="12" spans="1:5" x14ac:dyDescent="0.35">
      <c r="A12">
        <v>49</v>
      </c>
      <c r="B12" s="14">
        <v>5.2663294561096432</v>
      </c>
      <c r="C12" s="14">
        <v>6.9865713747882587</v>
      </c>
      <c r="D12" s="14">
        <v>6.8685724430847888</v>
      </c>
      <c r="E12" s="14">
        <v>8.6271007373651276</v>
      </c>
    </row>
    <row r="13" spans="1:5" x14ac:dyDescent="0.35">
      <c r="A13">
        <v>56</v>
      </c>
      <c r="B13" s="14">
        <v>5.2663294561096432</v>
      </c>
      <c r="C13" s="14">
        <v>6.9865713747882587</v>
      </c>
      <c r="D13" s="14">
        <v>7.0908357846584238</v>
      </c>
      <c r="E13" s="14">
        <v>8.9773945508014421</v>
      </c>
    </row>
    <row r="14" spans="1:5" x14ac:dyDescent="0.35">
      <c r="A14">
        <v>63</v>
      </c>
      <c r="B14" s="14">
        <v>5.5343699021755839</v>
      </c>
      <c r="C14" s="14">
        <v>6.9988425780473387</v>
      </c>
      <c r="D14" s="14">
        <v>7.7458072376354776</v>
      </c>
      <c r="E14" s="14">
        <v>9.6625630798291358</v>
      </c>
    </row>
    <row r="15" spans="1:5" x14ac:dyDescent="0.35">
      <c r="A15">
        <v>70</v>
      </c>
      <c r="B15" s="14">
        <v>5.5343699021755839</v>
      </c>
      <c r="C15" s="14">
        <v>7.2158146928392037</v>
      </c>
      <c r="D15" s="14">
        <v>8.3542631186623897</v>
      </c>
      <c r="E15" s="14">
        <v>10.198304847249251</v>
      </c>
    </row>
    <row r="16" spans="1:5" x14ac:dyDescent="0.35">
      <c r="A16">
        <v>77</v>
      </c>
      <c r="B16" s="14">
        <v>6.1014090340714162</v>
      </c>
      <c r="C16" s="14">
        <v>7.8321281283527506</v>
      </c>
      <c r="D16" s="14">
        <v>8.6760043618491363</v>
      </c>
      <c r="E16" s="14">
        <v>10.845627169926551</v>
      </c>
    </row>
    <row r="17" spans="1:5" x14ac:dyDescent="0.35">
      <c r="A17">
        <v>86</v>
      </c>
      <c r="B17" s="14">
        <v>6.4327307622066243</v>
      </c>
      <c r="C17" s="14">
        <v>8.134515286585895</v>
      </c>
      <c r="D17" s="14">
        <v>9.0168433369476659</v>
      </c>
      <c r="E17" s="14">
        <v>13.651352662773885</v>
      </c>
    </row>
    <row r="18" spans="1:5" x14ac:dyDescent="0.35">
      <c r="A18">
        <v>98</v>
      </c>
      <c r="B18" s="14">
        <v>6.4327307622066243</v>
      </c>
      <c r="C18" s="14">
        <v>8.3464426865513754</v>
      </c>
      <c r="D18" s="14">
        <v>9.3576823120461956</v>
      </c>
      <c r="E18" s="14">
        <v>14.195357247534266</v>
      </c>
    </row>
    <row r="19" spans="1:5" x14ac:dyDescent="0.35">
      <c r="A19">
        <v>105</v>
      </c>
      <c r="B19" s="14">
        <v>6.8587481067087612</v>
      </c>
      <c r="C19" s="14">
        <v>8.6872816616499051</v>
      </c>
      <c r="D19" s="14">
        <v>9.5381497509572029</v>
      </c>
      <c r="E19" s="14">
        <v>14.739361832294648</v>
      </c>
    </row>
    <row r="20" spans="1:5" x14ac:dyDescent="0.35">
      <c r="A20">
        <v>112</v>
      </c>
      <c r="B20" s="14">
        <v>7.4109684269736249</v>
      </c>
      <c r="C20" s="14">
        <v>9.5347863785928801</v>
      </c>
      <c r="D20" s="14">
        <v>10.983566552911238</v>
      </c>
      <c r="E20" s="14">
        <v>15.986565030644787</v>
      </c>
    </row>
    <row r="21" spans="1:5" x14ac:dyDescent="0.35">
      <c r="A21">
        <v>119</v>
      </c>
      <c r="B21" s="14">
        <v>7.6434941441113704</v>
      </c>
      <c r="C21" s="14">
        <v>9.5347863785928801</v>
      </c>
      <c r="D21" s="14">
        <v>12.543375645958738</v>
      </c>
      <c r="E21" s="14">
        <v>16.847358852533961</v>
      </c>
    </row>
    <row r="22" spans="1:5" x14ac:dyDescent="0.35">
      <c r="A22">
        <v>126</v>
      </c>
      <c r="B22" s="14">
        <v>8.3060743623966466</v>
      </c>
      <c r="C22" s="14">
        <v>10.386358397753153</v>
      </c>
      <c r="D22" s="14">
        <v>13.624541848258819</v>
      </c>
      <c r="E22" s="14">
        <v>17.747300536525266</v>
      </c>
    </row>
    <row r="23" spans="1:5" x14ac:dyDescent="0.35">
      <c r="A23">
        <v>133</v>
      </c>
      <c r="B23" s="14">
        <v>8.3649338687052772</v>
      </c>
      <c r="C23" s="14">
        <v>11.071526926780846</v>
      </c>
      <c r="D23" s="14">
        <v>14.256443086184184</v>
      </c>
      <c r="E23" s="14">
        <v>18.215177651940134</v>
      </c>
    </row>
    <row r="24" spans="1:5" x14ac:dyDescent="0.35">
      <c r="A24">
        <v>140</v>
      </c>
      <c r="B24" s="14">
        <v>8.4466804854009396</v>
      </c>
      <c r="C24" s="14">
        <v>11.523201698082875</v>
      </c>
      <c r="D24" s="14">
        <v>14.499158652657817</v>
      </c>
      <c r="E24" s="14">
        <v>18.8470788898655</v>
      </c>
    </row>
    <row r="25" spans="1:5" x14ac:dyDescent="0.35">
      <c r="A25">
        <v>147</v>
      </c>
      <c r="B25" s="14">
        <v>8.4466804854009396</v>
      </c>
      <c r="C25" s="14">
        <v>11.523201698082875</v>
      </c>
      <c r="D25" s="14">
        <v>14.569507125570013</v>
      </c>
      <c r="E25" s="14">
        <v>19.079604607003244</v>
      </c>
    </row>
    <row r="26" spans="1:5" x14ac:dyDescent="0.35">
      <c r="A26">
        <v>154</v>
      </c>
      <c r="B26" s="14">
        <v>8.6666785355739453</v>
      </c>
      <c r="C26" s="14">
        <v>12.364015648124571</v>
      </c>
      <c r="D26" s="14">
        <v>14.910346100668542</v>
      </c>
      <c r="E26" s="14">
        <v>20.572726315046943</v>
      </c>
    </row>
    <row r="27" spans="1:5" x14ac:dyDescent="0.35">
      <c r="A27">
        <v>161</v>
      </c>
      <c r="B27" s="14">
        <v>8.6666785355739453</v>
      </c>
      <c r="C27" s="14">
        <v>13.651134410822099</v>
      </c>
      <c r="D27" s="14">
        <v>15.710350033679127</v>
      </c>
      <c r="E27" s="14">
        <v>22.242294943035699</v>
      </c>
    </row>
    <row r="28" spans="1:5" x14ac:dyDescent="0.35">
      <c r="A28">
        <v>169</v>
      </c>
      <c r="B28" s="14">
        <v>9.0669839871773661</v>
      </c>
      <c r="C28" s="14">
        <v>14.243745542509677</v>
      </c>
      <c r="D28" s="14">
        <v>17.257887923467546</v>
      </c>
      <c r="E28" s="14">
        <v>23.31206300155231</v>
      </c>
    </row>
    <row r="29" spans="1:5" x14ac:dyDescent="0.35">
      <c r="A29">
        <v>175</v>
      </c>
      <c r="B29" s="14">
        <v>9.0669839871773661</v>
      </c>
      <c r="C29" s="14">
        <v>14.762818249364623</v>
      </c>
      <c r="D29" s="14">
        <v>18.304585766932469</v>
      </c>
      <c r="E29" s="14">
        <v>24.437941551855751</v>
      </c>
    </row>
    <row r="30" spans="1:5" x14ac:dyDescent="0.35">
      <c r="A30">
        <v>182</v>
      </c>
      <c r="B30" s="14">
        <v>9.5354813898377309</v>
      </c>
      <c r="C30" s="14">
        <v>15.371274130391534</v>
      </c>
      <c r="D30" s="14">
        <v>19.069676185908339</v>
      </c>
      <c r="E30" s="14">
        <v>25.100521770141029</v>
      </c>
    </row>
    <row r="31" spans="1:5" x14ac:dyDescent="0.35">
      <c r="A31">
        <v>189</v>
      </c>
      <c r="B31" s="14">
        <v>10.079485974598112</v>
      </c>
      <c r="C31" s="14">
        <v>16.406296949096639</v>
      </c>
      <c r="D31" s="14">
        <v>19.883412200618565</v>
      </c>
      <c r="E31" s="14">
        <v>26.242816334733117</v>
      </c>
    </row>
    <row r="32" spans="1:5" x14ac:dyDescent="0.35">
      <c r="A32">
        <v>196</v>
      </c>
      <c r="B32" s="14">
        <v>10.281002804572104</v>
      </c>
      <c r="C32" s="14">
        <v>17.338069013586953</v>
      </c>
      <c r="D32" s="14">
        <v>20.737576780117571</v>
      </c>
      <c r="E32" s="14">
        <v>27.625141798509212</v>
      </c>
    </row>
    <row r="33" spans="1:5" x14ac:dyDescent="0.35">
      <c r="A33">
        <v>203</v>
      </c>
      <c r="B33" s="14">
        <v>10.281002804572104</v>
      </c>
      <c r="C33" s="14">
        <v>18.610348629733373</v>
      </c>
      <c r="D33" s="14">
        <v>22.276875460743931</v>
      </c>
      <c r="E33" s="14">
        <v>29.346608078903795</v>
      </c>
    </row>
    <row r="34" spans="1:5" x14ac:dyDescent="0.35">
      <c r="A34">
        <v>210</v>
      </c>
      <c r="B34" s="14">
        <v>10.673092520671046</v>
      </c>
      <c r="C34" s="14">
        <v>19.763484280585647</v>
      </c>
      <c r="D34" s="14">
        <v>23.335154552656981</v>
      </c>
      <c r="E34" s="14">
        <v>30.970156065928101</v>
      </c>
    </row>
    <row r="35" spans="1:5" x14ac:dyDescent="0.35">
      <c r="A35">
        <v>216</v>
      </c>
      <c r="B35" s="14">
        <v>11.831618299968509</v>
      </c>
      <c r="C35" s="14">
        <v>20.81018212405057</v>
      </c>
      <c r="D35" s="14">
        <v>23.300127947310397</v>
      </c>
      <c r="E35" s="14">
        <v>31.522376386192967</v>
      </c>
    </row>
    <row r="36" spans="1:5" x14ac:dyDescent="0.35">
      <c r="A36">
        <v>223</v>
      </c>
      <c r="B36" s="14">
        <v>12.94089177984015</v>
      </c>
      <c r="C36" s="14">
        <v>22.08246174019699</v>
      </c>
      <c r="D36" s="14">
        <v>24.911164464236528</v>
      </c>
      <c r="E36" s="14">
        <v>33.574296067277118</v>
      </c>
    </row>
    <row r="37" spans="1:5" x14ac:dyDescent="0.35">
      <c r="A37">
        <v>230</v>
      </c>
      <c r="B37" s="14">
        <v>14.512868520454518</v>
      </c>
      <c r="C37" s="14">
        <v>23.369580502894522</v>
      </c>
      <c r="D37" s="14">
        <v>24.97346614000811</v>
      </c>
      <c r="E37" s="14">
        <v>35.585100931058449</v>
      </c>
    </row>
    <row r="38" spans="1:5" x14ac:dyDescent="0.35">
      <c r="A38">
        <v>236</v>
      </c>
      <c r="B38" s="14">
        <v>16.193716405544627</v>
      </c>
      <c r="C38" s="14">
        <v>23.828745460806577</v>
      </c>
      <c r="D38" s="14">
        <v>26.270393496177498</v>
      </c>
      <c r="E38" s="14">
        <v>36.78603734663686</v>
      </c>
    </row>
    <row r="39" spans="1:5" x14ac:dyDescent="0.35">
      <c r="A39">
        <v>243</v>
      </c>
      <c r="B39" s="14">
        <v>19.048380326476085</v>
      </c>
      <c r="C39" s="14">
        <v>24.607902895554052</v>
      </c>
      <c r="D39" s="14">
        <v>27.552582826108132</v>
      </c>
      <c r="E39" s="14">
        <v>38.557598014068269</v>
      </c>
    </row>
    <row r="40" spans="1:5" x14ac:dyDescent="0.35">
      <c r="A40">
        <v>250</v>
      </c>
      <c r="B40" s="14">
        <v>21.530217356559024</v>
      </c>
      <c r="C40" s="14">
        <v>25.307936068399496</v>
      </c>
      <c r="D40" s="14">
        <v>29.477464366875942</v>
      </c>
      <c r="E40" s="14">
        <v>40.586167262884821</v>
      </c>
    </row>
    <row r="41" spans="1:5" x14ac:dyDescent="0.35">
      <c r="A41">
        <v>257</v>
      </c>
      <c r="B41" s="14">
        <v>23.20731528458111</v>
      </c>
      <c r="C41" s="14">
        <v>26.10102460359775</v>
      </c>
      <c r="D41" s="14">
        <v>30.970586074919641</v>
      </c>
      <c r="E41" s="14">
        <v>42.581999430543057</v>
      </c>
    </row>
    <row r="42" spans="1:5" x14ac:dyDescent="0.35">
      <c r="A42">
        <v>264</v>
      </c>
      <c r="B42" s="14">
        <v>24.392493535878305</v>
      </c>
      <c r="C42" s="14">
        <v>28.181610391502247</v>
      </c>
      <c r="D42" s="14">
        <v>32.301327388659267</v>
      </c>
      <c r="E42" s="14">
        <v>44.598750107615757</v>
      </c>
    </row>
    <row r="43" spans="1:5" x14ac:dyDescent="0.35">
      <c r="A43">
        <v>270</v>
      </c>
      <c r="B43" s="14">
        <v>24.594010365852295</v>
      </c>
      <c r="C43" s="14">
        <v>29.366788642799442</v>
      </c>
      <c r="D43" s="14">
        <v>33.023374083449433</v>
      </c>
      <c r="E43" s="14">
        <v>46.529941757710489</v>
      </c>
    </row>
    <row r="44" spans="1:5" x14ac:dyDescent="0.35">
      <c r="A44">
        <v>277</v>
      </c>
      <c r="B44" s="14">
        <v>24.846844273358187</v>
      </c>
      <c r="C44" s="14">
        <v>29.919008963064307</v>
      </c>
      <c r="D44" s="14">
        <v>34.197950392274343</v>
      </c>
      <c r="E44" s="14">
        <v>48.168993740137971</v>
      </c>
    </row>
    <row r="45" spans="1:5" x14ac:dyDescent="0.35">
      <c r="A45">
        <v>284</v>
      </c>
      <c r="B45" s="14">
        <v>25.532012802385882</v>
      </c>
      <c r="C45" s="14">
        <v>30.333805568603864</v>
      </c>
      <c r="D45" s="14">
        <v>37.243487406948098</v>
      </c>
      <c r="E45" s="14">
        <v>50.382351251236635</v>
      </c>
    </row>
    <row r="46" spans="1:5" x14ac:dyDescent="0.35">
      <c r="A46">
        <v>291</v>
      </c>
      <c r="B46" s="14">
        <v>26.092402309828962</v>
      </c>
      <c r="C46" s="14">
        <v>31.630732924773252</v>
      </c>
      <c r="D46" s="14">
        <v>40.592039977197665</v>
      </c>
      <c r="E46" s="14">
        <v>52.745551251653389</v>
      </c>
    </row>
    <row r="47" spans="1:5" x14ac:dyDescent="0.35">
      <c r="A47">
        <v>299</v>
      </c>
      <c r="B47" s="14">
        <v>26.461421810876217</v>
      </c>
      <c r="C47" s="14">
        <v>33.897451611451295</v>
      </c>
      <c r="D47" s="14">
        <v>42.683934510759308</v>
      </c>
      <c r="E47" s="14">
        <v>55.969930305563317</v>
      </c>
    </row>
    <row r="48" spans="1:5" x14ac:dyDescent="0.35">
      <c r="A48">
        <v>306</v>
      </c>
      <c r="B48" s="14">
        <v>26.461421810876217</v>
      </c>
      <c r="C48" s="14">
        <v>35.700320430821279</v>
      </c>
      <c r="D48" s="14">
        <v>44.700685187832008</v>
      </c>
      <c r="E48" s="14">
        <v>57.720234700852409</v>
      </c>
    </row>
    <row r="49" spans="1:5" x14ac:dyDescent="0.35">
      <c r="A49">
        <v>313</v>
      </c>
      <c r="B49" s="14">
        <v>26.93717364646534</v>
      </c>
      <c r="C49" s="14">
        <v>37.01666703918027</v>
      </c>
      <c r="D49" s="14">
        <v>46.268617444223835</v>
      </c>
      <c r="E49" s="14">
        <v>59.284111096117208</v>
      </c>
    </row>
    <row r="50" spans="1:5" x14ac:dyDescent="0.35">
      <c r="A50">
        <v>320</v>
      </c>
      <c r="B50" s="14">
        <v>27.900088556188901</v>
      </c>
      <c r="C50" s="14">
        <v>37.857480989221969</v>
      </c>
      <c r="D50" s="14">
        <v>49.354288277595288</v>
      </c>
      <c r="E50" s="14">
        <v>61.814542801149209</v>
      </c>
    </row>
    <row r="51" spans="1:5" x14ac:dyDescent="0.35">
      <c r="A51">
        <v>327</v>
      </c>
      <c r="B51" s="14">
        <v>28.975566949614503</v>
      </c>
      <c r="C51" s="14">
        <v>38.110314896727857</v>
      </c>
      <c r="D51" s="14">
        <v>52.346526743073824</v>
      </c>
      <c r="E51" s="14">
        <v>63.816382717832212</v>
      </c>
    </row>
    <row r="52" spans="1:5" x14ac:dyDescent="0.35">
      <c r="A52">
        <v>334</v>
      </c>
      <c r="B52" s="14">
        <v>30.371646327029492</v>
      </c>
      <c r="C52" s="14">
        <v>39.079378462591905</v>
      </c>
      <c r="D52" s="14">
        <v>56.487080064479166</v>
      </c>
      <c r="E52" s="14">
        <v>66.811634471094862</v>
      </c>
    </row>
    <row r="53" spans="1:5" x14ac:dyDescent="0.35">
      <c r="A53">
        <v>343</v>
      </c>
      <c r="B53" s="14">
        <v>33.347198194402132</v>
      </c>
      <c r="C53" s="14">
        <v>42.365336396498265</v>
      </c>
      <c r="D53" s="14">
        <v>64.532086325536412</v>
      </c>
      <c r="E53" s="14">
        <v>69.174834471511616</v>
      </c>
    </row>
    <row r="54" spans="1:5" x14ac:dyDescent="0.35">
      <c r="A54">
        <v>348</v>
      </c>
      <c r="B54" s="14">
        <v>34.462027972787133</v>
      </c>
      <c r="C54" s="14">
        <v>44.17164230374118</v>
      </c>
      <c r="D54" s="14">
        <v>67.421179410719404</v>
      </c>
      <c r="E54" s="14">
        <v>70.67646273921379</v>
      </c>
    </row>
    <row r="55" spans="1:5" x14ac:dyDescent="0.35">
      <c r="A55">
        <v>355</v>
      </c>
      <c r="B55" s="14">
        <v>36.93956094689819</v>
      </c>
      <c r="C55" s="14">
        <v>46.583023415948958</v>
      </c>
      <c r="D55" s="14">
        <v>71.232747028431461</v>
      </c>
      <c r="E55" s="14">
        <v>72.787936630392551</v>
      </c>
    </row>
    <row r="56" spans="1:5" x14ac:dyDescent="0.35">
      <c r="A56">
        <v>363</v>
      </c>
      <c r="B56" s="14">
        <v>39.608549160491364</v>
      </c>
      <c r="C56" s="14">
        <v>46.664770032644618</v>
      </c>
      <c r="D56" s="14">
        <v>75.027556165275058</v>
      </c>
      <c r="E56" s="14">
        <v>75.280477924040667</v>
      </c>
    </row>
    <row r="57" spans="1:5" x14ac:dyDescent="0.35">
      <c r="A57">
        <v>369</v>
      </c>
      <c r="B57" s="14">
        <v>39.920645834741997</v>
      </c>
      <c r="C57" s="14">
        <v>46.927651769522733</v>
      </c>
      <c r="D57" s="14">
        <v>79.451251852194872</v>
      </c>
      <c r="E57" s="14">
        <v>76.481414339619079</v>
      </c>
    </row>
    <row r="58" spans="1:5" x14ac:dyDescent="0.35">
      <c r="A58">
        <v>376</v>
      </c>
      <c r="B58" s="14">
        <v>42.955972383115956</v>
      </c>
      <c r="C58" s="14">
        <v>49.216648528786699</v>
      </c>
      <c r="D58" s="14">
        <v>87.121994525371363</v>
      </c>
      <c r="E58" s="14">
        <v>78.093223936057896</v>
      </c>
    </row>
    <row r="59" spans="1:5" x14ac:dyDescent="0.35">
      <c r="A59">
        <v>383</v>
      </c>
      <c r="B59" s="14">
        <v>43.188498100253703</v>
      </c>
      <c r="C59" s="14">
        <v>50.683945229805985</v>
      </c>
      <c r="D59" s="14">
        <v>89.607051186892406</v>
      </c>
      <c r="E59" s="14">
        <v>79.024996000548214</v>
      </c>
    </row>
    <row r="60" spans="1:5" x14ac:dyDescent="0.35">
      <c r="A60">
        <v>390</v>
      </c>
      <c r="B60" s="14">
        <v>44.71951021968129</v>
      </c>
      <c r="C60" s="14">
        <v>52.133764654050644</v>
      </c>
      <c r="D60" s="14">
        <v>92.113390266980772</v>
      </c>
      <c r="E60" s="14">
        <v>80.750098746123641</v>
      </c>
    </row>
    <row r="61" spans="1:5" x14ac:dyDescent="0.35">
      <c r="A61">
        <v>398</v>
      </c>
      <c r="B61" s="14">
        <v>48.243115185689931</v>
      </c>
      <c r="C61" s="14">
        <v>53.391050814329382</v>
      </c>
      <c r="D61" s="14">
        <v>97.180121283291143</v>
      </c>
      <c r="E61" s="14">
        <v>84.403328955913949</v>
      </c>
    </row>
    <row r="62" spans="1:5" x14ac:dyDescent="0.35">
      <c r="A62">
        <v>404</v>
      </c>
      <c r="B62" s="14">
        <v>49.417691494514841</v>
      </c>
      <c r="C62" s="14">
        <v>55.401855678110714</v>
      </c>
      <c r="D62" s="14">
        <v>102.25399022348573</v>
      </c>
      <c r="E62" s="14">
        <v>86.428952631326254</v>
      </c>
    </row>
    <row r="63" spans="1:5" x14ac:dyDescent="0.35">
      <c r="A63">
        <v>411</v>
      </c>
      <c r="B63" s="14">
        <v>52.572363899551618</v>
      </c>
      <c r="C63" s="14">
        <v>57.465310282154064</v>
      </c>
      <c r="D63" s="14">
        <v>106.47875149195309</v>
      </c>
      <c r="E63" s="14">
        <v>88.071854703304169</v>
      </c>
    </row>
    <row r="64" spans="1:5" x14ac:dyDescent="0.35">
      <c r="A64">
        <v>418</v>
      </c>
      <c r="B64" s="14">
        <v>53.099795225061108</v>
      </c>
      <c r="C64" s="14">
        <v>59.835492657862197</v>
      </c>
      <c r="D64" s="14">
        <v>109.66342895460794</v>
      </c>
      <c r="E64" s="14">
        <v>88.815583877062082</v>
      </c>
    </row>
    <row r="65" spans="1:5" x14ac:dyDescent="0.35">
      <c r="A65">
        <v>425</v>
      </c>
      <c r="B65" s="14">
        <v>54.391826625151353</v>
      </c>
      <c r="C65" s="14">
        <v>61.194599299765557</v>
      </c>
      <c r="D65" s="14">
        <v>111.99597506157602</v>
      </c>
      <c r="E65" s="14">
        <v>89.741045832225467</v>
      </c>
    </row>
    <row r="66" spans="1:5" x14ac:dyDescent="0.35">
      <c r="A66">
        <v>432</v>
      </c>
      <c r="B66" s="14">
        <v>57.735659526113402</v>
      </c>
      <c r="C66" s="14">
        <v>63.960294790575063</v>
      </c>
      <c r="D66" s="14">
        <v>114.08927697219417</v>
      </c>
      <c r="E66" s="14">
        <v>92.054398874696858</v>
      </c>
    </row>
    <row r="67" spans="1:5" x14ac:dyDescent="0.35">
      <c r="A67">
        <v>439</v>
      </c>
      <c r="B67" s="14">
        <v>57.905485900638709</v>
      </c>
      <c r="C67" s="14">
        <v>65.681761070969642</v>
      </c>
      <c r="D67" s="14">
        <v>117.05333987296325</v>
      </c>
      <c r="E67" s="14">
        <v>94.151914692883054</v>
      </c>
    </row>
    <row r="68" spans="1:5" x14ac:dyDescent="0.35">
      <c r="A68">
        <v>445</v>
      </c>
      <c r="B68" s="14">
        <v>58.605519073484153</v>
      </c>
      <c r="C68" s="14">
        <v>66.600885179972693</v>
      </c>
      <c r="D68" s="14">
        <v>120.27063994167433</v>
      </c>
      <c r="E68" s="14">
        <v>94.992728642924746</v>
      </c>
    </row>
    <row r="69" spans="1:5" x14ac:dyDescent="0.35">
      <c r="A69">
        <v>452</v>
      </c>
      <c r="B69" s="14">
        <v>59.055918912124397</v>
      </c>
      <c r="C69" s="14">
        <v>67.51364346106395</v>
      </c>
      <c r="D69" s="14">
        <v>123.90756696442891</v>
      </c>
      <c r="E69" s="14">
        <v>97.139873525266196</v>
      </c>
    </row>
    <row r="70" spans="1:5" x14ac:dyDescent="0.35">
      <c r="A70">
        <v>460</v>
      </c>
      <c r="B70" s="14">
        <v>59.348530726610228</v>
      </c>
      <c r="C70" s="14">
        <v>69.21678855874012</v>
      </c>
      <c r="D70" s="14">
        <v>128.83544243106024</v>
      </c>
      <c r="E70" s="14">
        <v>99.481921199929232</v>
      </c>
    </row>
    <row r="71" spans="1:5" x14ac:dyDescent="0.35">
      <c r="A71">
        <v>466</v>
      </c>
      <c r="B71" s="14">
        <v>61.05535873224003</v>
      </c>
      <c r="C71" s="14">
        <v>70.348159906847997</v>
      </c>
      <c r="D71" s="14">
        <v>133.21947744949918</v>
      </c>
      <c r="E71" s="14">
        <v>101.13249274573435</v>
      </c>
    </row>
    <row r="72" spans="1:5" x14ac:dyDescent="0.35">
      <c r="A72">
        <v>473</v>
      </c>
      <c r="B72" s="14">
        <v>62.005897105199701</v>
      </c>
      <c r="C72" s="14">
        <v>72.36491058392069</v>
      </c>
      <c r="D72" s="14">
        <v>137.70069075553917</v>
      </c>
      <c r="E72" s="14">
        <v>102.98275082474942</v>
      </c>
    </row>
    <row r="73" spans="1:5" x14ac:dyDescent="0.35">
      <c r="A73">
        <v>480</v>
      </c>
      <c r="B73" s="14">
        <v>62.873289829590782</v>
      </c>
      <c r="C73" s="14">
        <v>73.797038280928533</v>
      </c>
      <c r="D73" s="14">
        <v>142.62462132865656</v>
      </c>
      <c r="E73" s="14">
        <v>104.40146579545548</v>
      </c>
    </row>
    <row r="74" spans="1:5" x14ac:dyDescent="0.35">
      <c r="A74">
        <v>487</v>
      </c>
      <c r="B74" s="14">
        <v>63.314870939333808</v>
      </c>
      <c r="C74" s="14">
        <v>75.336336961554892</v>
      </c>
      <c r="D74" s="14">
        <v>147.28961505840977</v>
      </c>
      <c r="E74" s="14">
        <v>106.69046255471945</v>
      </c>
    </row>
    <row r="75" spans="1:5" x14ac:dyDescent="0.35">
      <c r="A75">
        <v>494</v>
      </c>
      <c r="B75" s="14">
        <v>63.915426210566139</v>
      </c>
      <c r="C75" s="14">
        <v>76.072874810281192</v>
      </c>
      <c r="D75" s="14">
        <v>151.93077588720092</v>
      </c>
      <c r="E75" s="14">
        <v>107.26705288069458</v>
      </c>
    </row>
    <row r="76" spans="1:5" x14ac:dyDescent="0.35">
      <c r="A76">
        <v>501</v>
      </c>
      <c r="B76" s="14">
        <v>65.152475439628674</v>
      </c>
      <c r="C76" s="14">
        <v>77.531459353797658</v>
      </c>
      <c r="D76" s="14">
        <v>156.31911282135198</v>
      </c>
      <c r="E76" s="14">
        <v>109.16962899594749</v>
      </c>
    </row>
    <row r="77" spans="1:5" x14ac:dyDescent="0.35">
      <c r="A77">
        <v>508</v>
      </c>
      <c r="B77" s="14">
        <v>67.597311827187127</v>
      </c>
      <c r="C77" s="14">
        <v>78.818578116495189</v>
      </c>
      <c r="D77" s="14">
        <v>161.42467221699525</v>
      </c>
      <c r="E77" s="14">
        <v>111.43884009064446</v>
      </c>
    </row>
    <row r="78" spans="1:5" x14ac:dyDescent="0.35">
      <c r="A78">
        <v>515</v>
      </c>
      <c r="B78" s="14">
        <v>68.884430589884659</v>
      </c>
      <c r="C78" s="14">
        <v>80.430387712934007</v>
      </c>
      <c r="D78" s="14">
        <v>166.64403348659098</v>
      </c>
      <c r="E78" s="14">
        <v>113.02688226409313</v>
      </c>
    </row>
    <row r="79" spans="1:5" x14ac:dyDescent="0.35">
      <c r="A79">
        <v>522</v>
      </c>
      <c r="B79" s="14">
        <v>69.378132712323946</v>
      </c>
      <c r="C79" s="14">
        <v>80.430387712934007</v>
      </c>
      <c r="D79" s="14">
        <v>171.84068786674609</v>
      </c>
      <c r="E79" s="14">
        <v>114.59075865935793</v>
      </c>
    </row>
    <row r="80" spans="1:5" x14ac:dyDescent="0.35">
      <c r="A80">
        <v>529</v>
      </c>
      <c r="B80" s="14">
        <v>69.448481185236147</v>
      </c>
      <c r="C80" s="14">
        <v>81.145133846912387</v>
      </c>
      <c r="D80" s="14">
        <v>176.16610271121655</v>
      </c>
      <c r="E80" s="14">
        <v>115.91671768785137</v>
      </c>
    </row>
    <row r="81" spans="1:5" x14ac:dyDescent="0.35">
      <c r="A81">
        <v>536</v>
      </c>
      <c r="B81" s="14">
        <v>70.601616836088425</v>
      </c>
      <c r="C81" s="14">
        <v>83.098195913628913</v>
      </c>
      <c r="D81" s="14">
        <v>180.29298903285505</v>
      </c>
      <c r="E81" s="14">
        <v>117.93643210220584</v>
      </c>
    </row>
    <row r="82" spans="1:5" x14ac:dyDescent="0.35">
      <c r="A82">
        <v>543</v>
      </c>
      <c r="B82" s="14">
        <v>72.404485655458416</v>
      </c>
      <c r="C82" s="14">
        <v>84.424154942122357</v>
      </c>
      <c r="D82" s="14">
        <v>185.24818061758177</v>
      </c>
      <c r="E82" s="14">
        <v>120.87332595211497</v>
      </c>
    </row>
    <row r="83" spans="1:5" x14ac:dyDescent="0.35">
      <c r="A83">
        <v>550</v>
      </c>
      <c r="B83" s="14">
        <v>74.532532805888081</v>
      </c>
      <c r="C83" s="14">
        <v>87.478386602318309</v>
      </c>
      <c r="D83" s="14">
        <v>190.24151881027947</v>
      </c>
      <c r="E83" s="14">
        <v>123.47469960925253</v>
      </c>
    </row>
    <row r="84" spans="1:5" x14ac:dyDescent="0.35">
      <c r="A84">
        <v>557</v>
      </c>
      <c r="B84" s="14">
        <v>76.289957500486253</v>
      </c>
      <c r="C84" s="14">
        <v>89.415860866623021</v>
      </c>
      <c r="D84" s="14">
        <v>194.42561585853875</v>
      </c>
      <c r="E84" s="14">
        <v>125.40273965660631</v>
      </c>
    </row>
    <row r="85" spans="1:5" x14ac:dyDescent="0.35">
      <c r="A85">
        <v>564</v>
      </c>
      <c r="B85" s="14">
        <v>76.289957500486253</v>
      </c>
      <c r="C85" s="14">
        <v>90.547232214730897</v>
      </c>
      <c r="D85" s="14">
        <v>197.61358899732542</v>
      </c>
      <c r="E85" s="14">
        <v>127.42541172877721</v>
      </c>
    </row>
    <row r="86" spans="1:5" x14ac:dyDescent="0.35">
      <c r="A86">
        <v>572</v>
      </c>
      <c r="B86" s="14">
        <v>77.346676984156474</v>
      </c>
      <c r="C86" s="14">
        <v>91.479004279221215</v>
      </c>
      <c r="D86" s="14">
        <v>200.53472468295334</v>
      </c>
      <c r="E86" s="14">
        <v>128.40669450065263</v>
      </c>
    </row>
    <row r="87" spans="1:5" x14ac:dyDescent="0.35">
      <c r="A87">
        <v>578</v>
      </c>
      <c r="B87" s="14">
        <v>78.526564008671897</v>
      </c>
      <c r="C87" s="14">
        <v>93.295572562028241</v>
      </c>
      <c r="D87" s="14">
        <v>205.57254530355507</v>
      </c>
      <c r="E87" s="14">
        <v>132.42228434893417</v>
      </c>
    </row>
    <row r="88" spans="1:5" x14ac:dyDescent="0.35">
      <c r="A88">
        <v>584</v>
      </c>
      <c r="B88" s="14">
        <v>80.098540749286258</v>
      </c>
      <c r="C88" s="14">
        <v>94.053577671021998</v>
      </c>
      <c r="D88" s="14">
        <v>209.93924314701999</v>
      </c>
      <c r="E88" s="14">
        <v>135.67840968042174</v>
      </c>
    </row>
    <row r="89" spans="1:5" x14ac:dyDescent="0.35">
      <c r="A89">
        <v>592</v>
      </c>
      <c r="B89" s="14">
        <v>83.235587970268796</v>
      </c>
      <c r="C89" s="14">
        <v>95.270101889012224</v>
      </c>
      <c r="D89" s="14">
        <v>220.40306241724596</v>
      </c>
      <c r="E89" s="14">
        <v>143.33035491027587</v>
      </c>
    </row>
    <row r="90" spans="1:5" x14ac:dyDescent="0.35">
      <c r="A90">
        <v>598</v>
      </c>
      <c r="B90" s="14">
        <v>85.058957481157719</v>
      </c>
      <c r="C90" s="14">
        <v>95.870657160244562</v>
      </c>
      <c r="D90" s="14">
        <v>225.67302037581004</v>
      </c>
      <c r="E90" s="14">
        <v>145.65333642044686</v>
      </c>
    </row>
    <row r="91" spans="1:5" x14ac:dyDescent="0.35">
      <c r="A91">
        <v>606</v>
      </c>
      <c r="B91" s="14">
        <v>86.06437232562817</v>
      </c>
      <c r="C91" s="14">
        <v>96.808711838944859</v>
      </c>
      <c r="D91" s="14">
        <v>230.23515552788808</v>
      </c>
      <c r="E91" s="14">
        <v>148.76144907152735</v>
      </c>
    </row>
    <row r="92" spans="1:5" x14ac:dyDescent="0.35">
      <c r="A92">
        <v>612</v>
      </c>
      <c r="B92" s="14">
        <v>86.286635667201807</v>
      </c>
      <c r="C92" s="14">
        <v>97.594851648983706</v>
      </c>
      <c r="D92" s="14">
        <v>234.53034164087072</v>
      </c>
      <c r="E92" s="14">
        <v>150.74215142900721</v>
      </c>
    </row>
    <row r="93" spans="1:5" x14ac:dyDescent="0.35">
      <c r="A93">
        <v>619</v>
      </c>
      <c r="B93" s="14">
        <v>86.902949102715354</v>
      </c>
      <c r="C93" s="14">
        <v>97.594851648983706</v>
      </c>
      <c r="D93" s="14">
        <v>238.17208288405746</v>
      </c>
      <c r="E93" s="14">
        <v>152.47088149141373</v>
      </c>
    </row>
    <row r="94" spans="1:5" x14ac:dyDescent="0.35">
      <c r="A94">
        <v>626</v>
      </c>
      <c r="B94" s="14">
        <v>87.062055296408403</v>
      </c>
      <c r="C94" s="14">
        <v>98.947702933223553</v>
      </c>
      <c r="D94" s="14">
        <v>241.97508074293157</v>
      </c>
      <c r="E94" s="14">
        <v>155.20625851134886</v>
      </c>
    </row>
    <row r="95" spans="1:5" x14ac:dyDescent="0.35">
      <c r="A95">
        <v>633</v>
      </c>
      <c r="B95" s="14">
        <v>87.062055296408403</v>
      </c>
      <c r="C95" s="14">
        <v>99.662449067201933</v>
      </c>
      <c r="D95" s="14">
        <v>243.79845025382048</v>
      </c>
      <c r="E95" s="14">
        <v>156.95656290663797</v>
      </c>
    </row>
    <row r="96" spans="1:5" x14ac:dyDescent="0.35">
      <c r="A96">
        <v>640</v>
      </c>
      <c r="B96" s="14">
        <v>88.847802936412521</v>
      </c>
      <c r="C96" s="14">
        <v>101.71147054091848</v>
      </c>
      <c r="D96" s="14">
        <v>247.51693402775908</v>
      </c>
      <c r="E96" s="14">
        <v>160.80232638039419</v>
      </c>
    </row>
    <row r="97" spans="1:5" x14ac:dyDescent="0.35">
      <c r="A97">
        <v>647</v>
      </c>
      <c r="B97" s="14">
        <v>88.847802936412521</v>
      </c>
      <c r="C97" s="14">
        <v>103.18742707385476</v>
      </c>
      <c r="D97" s="14">
        <v>250.18969180606121</v>
      </c>
      <c r="E97" s="14">
        <v>162.90264464393283</v>
      </c>
    </row>
    <row r="98" spans="1:5" x14ac:dyDescent="0.35">
      <c r="A98">
        <v>654</v>
      </c>
      <c r="B98" s="14">
        <v>88.847802936412521</v>
      </c>
      <c r="C98" s="14">
        <v>103.89483549388015</v>
      </c>
      <c r="D98" s="14">
        <v>252.68436444921778</v>
      </c>
      <c r="E98" s="14">
        <v>165.6052093272134</v>
      </c>
    </row>
    <row r="99" spans="1:5" x14ac:dyDescent="0.35">
      <c r="A99">
        <v>661</v>
      </c>
      <c r="B99" s="14">
        <v>88.886599654052162</v>
      </c>
      <c r="C99" s="14">
        <v>104.62414597068226</v>
      </c>
      <c r="D99" s="14">
        <v>255.30733202184652</v>
      </c>
      <c r="E99" s="14">
        <v>167.79770777390959</v>
      </c>
    </row>
    <row r="100" spans="1:5" x14ac:dyDescent="0.35">
      <c r="A100">
        <v>668</v>
      </c>
      <c r="B100" s="14">
        <v>89.04360943147752</v>
      </c>
      <c r="C100" s="14">
        <v>105.38215107967602</v>
      </c>
      <c r="D100" s="14">
        <v>257.99320620477727</v>
      </c>
      <c r="E100" s="14">
        <v>170.38716518404931</v>
      </c>
    </row>
    <row r="101" spans="1:5" x14ac:dyDescent="0.35">
      <c r="A101">
        <v>675</v>
      </c>
      <c r="B101" s="14">
        <v>89.440269223288084</v>
      </c>
      <c r="C101" s="14">
        <v>106.29490936076728</v>
      </c>
      <c r="D101" s="14">
        <v>260.38184461077742</v>
      </c>
      <c r="E101" s="14">
        <v>172.78266414706872</v>
      </c>
    </row>
    <row r="102" spans="1:5" x14ac:dyDescent="0.35">
      <c r="A102">
        <v>682</v>
      </c>
      <c r="B102" s="14">
        <v>89.440269223288084</v>
      </c>
      <c r="C102" s="14">
        <v>106.29490936076728</v>
      </c>
      <c r="D102" s="14">
        <v>262.13926930537559</v>
      </c>
      <c r="E102" s="14">
        <v>174.59581974738336</v>
      </c>
    </row>
    <row r="103" spans="1:5" x14ac:dyDescent="0.35">
      <c r="A103">
        <v>689</v>
      </c>
      <c r="B103" s="14">
        <v>89.73649019530275</v>
      </c>
      <c r="C103" s="14">
        <v>106.29490936076728</v>
      </c>
      <c r="D103" s="14">
        <v>264.44049563481758</v>
      </c>
      <c r="E103" s="14">
        <v>176.69893501990759</v>
      </c>
    </row>
    <row r="104" spans="1:5" x14ac:dyDescent="0.35">
      <c r="A104">
        <v>696</v>
      </c>
      <c r="B104" s="14">
        <v>89.73649019530275</v>
      </c>
      <c r="C104" s="14">
        <v>106.99111289608932</v>
      </c>
      <c r="D104" s="14">
        <v>266.45130049859893</v>
      </c>
      <c r="E104" s="14">
        <v>178.75085470099174</v>
      </c>
    </row>
    <row r="105" spans="1:5" x14ac:dyDescent="0.35">
      <c r="A105">
        <v>703</v>
      </c>
      <c r="B105" s="14">
        <v>90.148148915643191</v>
      </c>
      <c r="C105" s="14">
        <v>108.12795619641905</v>
      </c>
      <c r="D105" s="14">
        <v>268.69539148615246</v>
      </c>
      <c r="E105" s="14">
        <v>180.61106810848534</v>
      </c>
    </row>
    <row r="106" spans="1:5" x14ac:dyDescent="0.35">
      <c r="A106">
        <v>710</v>
      </c>
      <c r="B106" s="14">
        <v>91.683310268667725</v>
      </c>
      <c r="C106" s="14">
        <v>109.57337299837309</v>
      </c>
      <c r="D106" s="14">
        <v>270.5187609970414</v>
      </c>
      <c r="E106" s="14">
        <v>181.51100979247664</v>
      </c>
    </row>
    <row r="107" spans="1:5" x14ac:dyDescent="0.35">
      <c r="A107">
        <v>717</v>
      </c>
      <c r="B107" s="14">
        <v>91.683310268667725</v>
      </c>
      <c r="C107" s="14">
        <v>110.01495410811611</v>
      </c>
      <c r="D107" s="14">
        <v>273.04919270207341</v>
      </c>
      <c r="E107" s="14">
        <v>183.47642189341261</v>
      </c>
    </row>
    <row r="108" spans="1:5" x14ac:dyDescent="0.35">
      <c r="A108">
        <v>724</v>
      </c>
      <c r="B108" s="14">
        <v>91.683310268667725</v>
      </c>
      <c r="C108" s="14">
        <v>110.60756523980369</v>
      </c>
      <c r="D108" s="14">
        <v>275.3673680155278</v>
      </c>
      <c r="E108" s="14">
        <v>185.47526106462144</v>
      </c>
    </row>
    <row r="109" spans="1:5" x14ac:dyDescent="0.35">
      <c r="A109">
        <v>731</v>
      </c>
      <c r="B109" s="14">
        <v>94.851395400006282</v>
      </c>
      <c r="C109" s="14">
        <v>111.99448993452864</v>
      </c>
      <c r="D109" s="14">
        <v>277.21095081558332</v>
      </c>
      <c r="E109" s="14">
        <v>186.75745039455208</v>
      </c>
    </row>
    <row r="110" spans="1:5" x14ac:dyDescent="0.35">
      <c r="A110">
        <v>738</v>
      </c>
      <c r="B110" s="14">
        <v>96.148322756175673</v>
      </c>
      <c r="C110" s="14">
        <v>113.23153916359118</v>
      </c>
      <c r="D110" s="14">
        <v>280.6463610083639</v>
      </c>
      <c r="E110" s="14">
        <v>189.53894241477764</v>
      </c>
    </row>
    <row r="111" spans="1:5" x14ac:dyDescent="0.35">
      <c r="A111">
        <v>745</v>
      </c>
      <c r="B111" s="14">
        <v>96.34983958614967</v>
      </c>
      <c r="C111" s="14">
        <v>113.85566756501107</v>
      </c>
      <c r="D111" s="14">
        <v>282.82566761848375</v>
      </c>
      <c r="E111" s="14">
        <v>191.99257064469785</v>
      </c>
    </row>
    <row r="112" spans="1:5" x14ac:dyDescent="0.35">
      <c r="A112">
        <v>752</v>
      </c>
      <c r="B112" s="14">
        <v>96.465249778930257</v>
      </c>
      <c r="C112" s="14">
        <v>114.03613500392208</v>
      </c>
      <c r="D112" s="14">
        <v>284.73784548517943</v>
      </c>
      <c r="E112" s="14">
        <v>194.3534356524101</v>
      </c>
    </row>
    <row r="113" spans="1:5" x14ac:dyDescent="0.35">
      <c r="A113">
        <v>761</v>
      </c>
      <c r="B113" s="14">
        <v>96.558305141283071</v>
      </c>
      <c r="C113" s="14">
        <v>114.03613500392208</v>
      </c>
      <c r="D113" s="14">
        <v>286.68157510714764</v>
      </c>
      <c r="E113" s="14">
        <v>196.83741990207068</v>
      </c>
    </row>
    <row r="114" spans="1:5" x14ac:dyDescent="0.35">
      <c r="A114">
        <v>766</v>
      </c>
      <c r="B114" s="14">
        <v>97.102309726043458</v>
      </c>
      <c r="C114" s="14">
        <v>115.04289230347949</v>
      </c>
      <c r="D114" s="14">
        <v>288.64390960247562</v>
      </c>
      <c r="E114" s="14">
        <v>199.28225628962912</v>
      </c>
    </row>
    <row r="115" spans="1:5" x14ac:dyDescent="0.35">
      <c r="A115">
        <v>773</v>
      </c>
      <c r="B115" s="14">
        <v>97.895398261241709</v>
      </c>
      <c r="C115" s="14">
        <v>117.08900973254883</v>
      </c>
      <c r="D115" s="14">
        <v>292.14437704138663</v>
      </c>
      <c r="E115" s="14">
        <v>203.17562098186539</v>
      </c>
    </row>
    <row r="116" spans="1:5" x14ac:dyDescent="0.35">
      <c r="A116">
        <v>780</v>
      </c>
      <c r="B116" s="14">
        <v>99.367031379604583</v>
      </c>
      <c r="C116" s="14">
        <v>117.5568868479637</v>
      </c>
      <c r="D116" s="14">
        <v>294.37574192973324</v>
      </c>
      <c r="E116" s="14">
        <v>206.44673976922064</v>
      </c>
    </row>
    <row r="117" spans="1:5" x14ac:dyDescent="0.35">
      <c r="A117">
        <v>787</v>
      </c>
      <c r="B117" s="14">
        <v>99.367031379604583</v>
      </c>
      <c r="C117" s="14">
        <v>118.05909553006146</v>
      </c>
      <c r="D117" s="14">
        <v>296.87254277649379</v>
      </c>
      <c r="E117" s="14">
        <v>209.19646375011416</v>
      </c>
    </row>
    <row r="118" spans="1:5" x14ac:dyDescent="0.35">
      <c r="A118">
        <v>794</v>
      </c>
      <c r="B118" s="14">
        <v>100.25609106718859</v>
      </c>
      <c r="C118" s="14">
        <v>118.95258593850323</v>
      </c>
      <c r="D118" s="14">
        <v>299.28617855324217</v>
      </c>
      <c r="E118" s="14">
        <v>211.93544091593947</v>
      </c>
    </row>
    <row r="119" spans="1:5" x14ac:dyDescent="0.35">
      <c r="A119">
        <v>801</v>
      </c>
      <c r="B119" s="14">
        <v>101.49822621926664</v>
      </c>
      <c r="C119" s="14">
        <v>119.04564130085605</v>
      </c>
      <c r="D119" s="14">
        <v>300.56836788317281</v>
      </c>
      <c r="E119" s="14">
        <v>214.53483535838063</v>
      </c>
    </row>
    <row r="120" spans="1:5" x14ac:dyDescent="0.35">
      <c r="A120">
        <v>808</v>
      </c>
      <c r="B120" s="14">
        <v>101.49822621926664</v>
      </c>
      <c r="C120" s="14">
        <v>120.08066411956115</v>
      </c>
      <c r="D120" s="14">
        <v>302.73703342890695</v>
      </c>
      <c r="E120" s="14">
        <v>217.21135287200713</v>
      </c>
    </row>
    <row r="121" spans="1:5" x14ac:dyDescent="0.35">
      <c r="A121">
        <v>815</v>
      </c>
      <c r="B121" s="14">
        <v>102.10098601306049</v>
      </c>
      <c r="C121" s="14">
        <v>121.56093114204536</v>
      </c>
      <c r="D121" s="14">
        <v>305.34038358762876</v>
      </c>
      <c r="E121" s="14">
        <v>220.44978647625788</v>
      </c>
    </row>
    <row r="122" spans="1:5" x14ac:dyDescent="0.35">
      <c r="A122">
        <v>823</v>
      </c>
      <c r="B122" s="14">
        <v>103.84054359328138</v>
      </c>
      <c r="C122" s="14">
        <v>122.35401967724361</v>
      </c>
      <c r="D122" s="14">
        <v>308.3235442203096</v>
      </c>
      <c r="E122" s="14">
        <v>223.92673903597336</v>
      </c>
    </row>
    <row r="123" spans="1:5" x14ac:dyDescent="0.35">
      <c r="A123">
        <v>829</v>
      </c>
      <c r="B123" s="14">
        <v>103.84054359328138</v>
      </c>
      <c r="C123" s="14">
        <v>122.35401967724361</v>
      </c>
      <c r="D123" s="14">
        <v>309.85870557333413</v>
      </c>
      <c r="E123" s="14">
        <v>226.90381587194921</v>
      </c>
    </row>
    <row r="124" spans="1:5" x14ac:dyDescent="0.35">
      <c r="A124">
        <v>836</v>
      </c>
      <c r="B124" s="14">
        <v>103.84054359328138</v>
      </c>
      <c r="C124" s="14">
        <v>122.85795824278813</v>
      </c>
      <c r="D124" s="14">
        <v>311.85152445320824</v>
      </c>
      <c r="E124" s="14">
        <v>229.93180470637017</v>
      </c>
    </row>
    <row r="125" spans="1:5" x14ac:dyDescent="0.35">
      <c r="A125">
        <v>843</v>
      </c>
      <c r="B125" s="14">
        <v>104.34504275668674</v>
      </c>
      <c r="C125" s="14">
        <v>122.85795824278813</v>
      </c>
      <c r="D125" s="14">
        <v>312.65841077484674</v>
      </c>
      <c r="E125" s="14">
        <v>232.05158903945957</v>
      </c>
    </row>
    <row r="126" spans="1:5" x14ac:dyDescent="0.35">
      <c r="A126">
        <v>850</v>
      </c>
      <c r="B126" s="14">
        <v>104.34504275668674</v>
      </c>
      <c r="C126" s="14">
        <v>123.28273314199157</v>
      </c>
      <c r="D126" s="14">
        <v>313.19415254226686</v>
      </c>
      <c r="E126" s="14">
        <v>234.03836238561348</v>
      </c>
    </row>
    <row r="127" spans="1:5" x14ac:dyDescent="0.35">
      <c r="A127">
        <v>857</v>
      </c>
      <c r="B127" s="14">
        <v>106.27816564723859</v>
      </c>
      <c r="C127" s="14">
        <v>124.5649224719222</v>
      </c>
      <c r="D127" s="14">
        <v>315.58049682259622</v>
      </c>
      <c r="E127" s="14">
        <v>235.2906158787238</v>
      </c>
    </row>
    <row r="128" spans="1:5" x14ac:dyDescent="0.35">
      <c r="A128">
        <v>864</v>
      </c>
      <c r="B128" s="14">
        <v>107.07816958024918</v>
      </c>
      <c r="C128" s="14">
        <v>125.27233089194759</v>
      </c>
      <c r="D128" s="14">
        <v>316.55568293557883</v>
      </c>
      <c r="E128" s="14">
        <v>237.19960026088052</v>
      </c>
    </row>
    <row r="129" spans="1:5" x14ac:dyDescent="0.35">
      <c r="A129">
        <v>871</v>
      </c>
      <c r="B129" s="14">
        <v>108.689979176688</v>
      </c>
      <c r="C129" s="14">
        <v>126.81575506231239</v>
      </c>
      <c r="D129" s="14">
        <v>318.2771492159734</v>
      </c>
      <c r="E129" s="14">
        <v>239.94396084682373</v>
      </c>
    </row>
    <row r="130" spans="1:5" x14ac:dyDescent="0.35">
      <c r="A130">
        <v>878</v>
      </c>
      <c r="B130" s="14">
        <v>110.1831008847317</v>
      </c>
      <c r="C130" s="14">
        <v>128.33424735477175</v>
      </c>
      <c r="D130" s="14">
        <v>320.19251350977788</v>
      </c>
      <c r="E130" s="14">
        <v>241.92161809719514</v>
      </c>
    </row>
    <row r="131" spans="1:5" x14ac:dyDescent="0.35">
      <c r="A131">
        <v>885</v>
      </c>
      <c r="B131" s="14">
        <v>111.47021964742923</v>
      </c>
      <c r="C131" s="14">
        <v>129.30943346775439</v>
      </c>
      <c r="D131" s="14">
        <v>322.09829731863391</v>
      </c>
      <c r="E131" s="14">
        <v>243.99651607622516</v>
      </c>
    </row>
    <row r="132" spans="1:5" x14ac:dyDescent="0.35">
      <c r="A132">
        <v>892</v>
      </c>
      <c r="B132" s="14">
        <v>112.97184791513141</v>
      </c>
      <c r="C132" s="14">
        <v>130.85285763811919</v>
      </c>
      <c r="D132" s="14">
        <v>323.4989323323187</v>
      </c>
      <c r="E132" s="14">
        <v>246.50179846320657</v>
      </c>
    </row>
    <row r="133" spans="1:5" x14ac:dyDescent="0.35">
      <c r="A133">
        <v>899</v>
      </c>
      <c r="B133" s="14">
        <v>114.43043245864787</v>
      </c>
      <c r="C133" s="14">
        <v>132.21663805293153</v>
      </c>
      <c r="D133" s="14">
        <v>324.65745811161617</v>
      </c>
      <c r="E133" s="14">
        <v>248.65165106029667</v>
      </c>
    </row>
    <row r="134" spans="1:5" x14ac:dyDescent="0.35">
      <c r="A134">
        <v>906</v>
      </c>
      <c r="B134" s="14">
        <v>116.18073685393696</v>
      </c>
      <c r="C134" s="14">
        <v>133.67522259644801</v>
      </c>
      <c r="D134" s="14">
        <v>325.83203442044106</v>
      </c>
      <c r="E134" s="14">
        <v>251.94619515633426</v>
      </c>
    </row>
    <row r="135" spans="1:5" x14ac:dyDescent="0.35">
      <c r="A135">
        <v>914</v>
      </c>
      <c r="B135" s="14">
        <v>118.1119285040317</v>
      </c>
      <c r="C135" s="14">
        <v>135.72424407016456</v>
      </c>
      <c r="D135" s="14">
        <v>328.59419594457967</v>
      </c>
      <c r="E135" s="14">
        <v>254.76558764894844</v>
      </c>
    </row>
    <row r="136" spans="1:5" x14ac:dyDescent="0.35">
      <c r="A136">
        <v>921</v>
      </c>
      <c r="B136" s="14">
        <v>119.91479732340169</v>
      </c>
      <c r="C136" s="14">
        <v>137.29622081077892</v>
      </c>
      <c r="D136" s="14">
        <v>330.57489830205952</v>
      </c>
      <c r="E136" s="14">
        <v>257.48647351494742</v>
      </c>
    </row>
    <row r="137" spans="1:5" x14ac:dyDescent="0.35">
      <c r="A137">
        <v>928</v>
      </c>
      <c r="B137" s="14">
        <v>121.22146699825672</v>
      </c>
      <c r="C137" s="14">
        <v>138.63647937148187</v>
      </c>
      <c r="D137" s="14">
        <v>332.66397395362867</v>
      </c>
      <c r="E137" s="14">
        <v>259.6444188798493</v>
      </c>
    </row>
    <row r="138" spans="1:5" x14ac:dyDescent="0.35">
      <c r="A138">
        <v>935</v>
      </c>
      <c r="B138" s="14">
        <v>121.96519617201463</v>
      </c>
      <c r="C138" s="14">
        <v>138.90933940202387</v>
      </c>
      <c r="D138" s="14">
        <v>334.82996691717051</v>
      </c>
      <c r="E138" s="14">
        <v>261.79156376219072</v>
      </c>
    </row>
    <row r="139" spans="1:5" x14ac:dyDescent="0.35">
      <c r="A139">
        <v>942</v>
      </c>
      <c r="B139" s="14">
        <v>123.90267043631934</v>
      </c>
      <c r="C139" s="14">
        <v>139.85987777498354</v>
      </c>
      <c r="D139" s="14">
        <v>336.50706484519259</v>
      </c>
      <c r="E139" s="14">
        <v>263.92509326781828</v>
      </c>
    </row>
    <row r="140" spans="1:5" x14ac:dyDescent="0.35">
      <c r="A140">
        <v>949</v>
      </c>
      <c r="B140" s="14">
        <v>126.14168445496567</v>
      </c>
      <c r="C140" s="14">
        <v>141.30087847033099</v>
      </c>
      <c r="D140" s="14">
        <v>337.5995397931498</v>
      </c>
      <c r="E140" s="14">
        <v>266.47410321000598</v>
      </c>
    </row>
    <row r="141" spans="1:5" x14ac:dyDescent="0.35">
      <c r="A141">
        <v>956</v>
      </c>
      <c r="B141" s="14">
        <v>128.14651888504054</v>
      </c>
      <c r="C141" s="14">
        <v>143.3814642582355</v>
      </c>
      <c r="D141" s="14">
        <v>340.15876847180169</v>
      </c>
      <c r="E141" s="14">
        <v>269.24508346304179</v>
      </c>
    </row>
    <row r="142" spans="1:5" x14ac:dyDescent="0.35">
      <c r="A142">
        <v>963</v>
      </c>
      <c r="B142" s="14">
        <v>130.03619238461911</v>
      </c>
      <c r="C142" s="14">
        <v>144.941273351283</v>
      </c>
      <c r="D142" s="14">
        <v>341.31190412265397</v>
      </c>
      <c r="E142" s="14">
        <v>272.06277464846164</v>
      </c>
    </row>
    <row r="143" spans="1:5" x14ac:dyDescent="0.35">
      <c r="A143">
        <v>970</v>
      </c>
      <c r="B143" s="14">
        <v>131.96107392538693</v>
      </c>
      <c r="C143" s="14">
        <v>145.88558338764682</v>
      </c>
      <c r="D143" s="14">
        <v>342.89594668832325</v>
      </c>
      <c r="E143" s="14">
        <v>274.48315334169195</v>
      </c>
    </row>
    <row r="144" spans="1:5" x14ac:dyDescent="0.35">
      <c r="A144">
        <v>977</v>
      </c>
      <c r="B144" s="14">
        <v>133.93873117575833</v>
      </c>
      <c r="C144" s="14">
        <v>147.5399744262283</v>
      </c>
      <c r="D144" s="14">
        <v>345.05926210665757</v>
      </c>
      <c r="E144" s="14">
        <v>277.25061257300263</v>
      </c>
    </row>
    <row r="145" spans="1:5" x14ac:dyDescent="0.35">
      <c r="A145">
        <v>984</v>
      </c>
      <c r="B145" s="14">
        <v>135.87933651117385</v>
      </c>
      <c r="C145" s="14">
        <v>149.79918993371976</v>
      </c>
      <c r="D145" s="14">
        <v>347.81255063245658</v>
      </c>
      <c r="E145" s="14">
        <v>280.04427224079507</v>
      </c>
    </row>
    <row r="146" spans="1:5" x14ac:dyDescent="0.35">
      <c r="A146">
        <v>991</v>
      </c>
      <c r="B146" s="14">
        <v>137.97404442646697</v>
      </c>
      <c r="C146" s="14">
        <v>151.73666419802447</v>
      </c>
      <c r="D146" s="14">
        <v>349.81138980366541</v>
      </c>
      <c r="E146" s="14">
        <v>282.73201049338417</v>
      </c>
    </row>
    <row r="147" spans="1:5" x14ac:dyDescent="0.35">
      <c r="A147">
        <v>998</v>
      </c>
      <c r="B147" s="14">
        <v>139.13257020576444</v>
      </c>
      <c r="C147" s="14">
        <v>154.72060448880882</v>
      </c>
      <c r="D147" s="14">
        <v>352.30207518551151</v>
      </c>
      <c r="E147" s="14">
        <v>285.98687930393828</v>
      </c>
    </row>
    <row r="148" spans="1:5" x14ac:dyDescent="0.35">
      <c r="A148">
        <v>1005</v>
      </c>
      <c r="B148" s="14">
        <v>140.88287460105354</v>
      </c>
      <c r="C148" s="14">
        <v>156.82929755428486</v>
      </c>
      <c r="D148" s="14">
        <v>354.63700256086548</v>
      </c>
      <c r="E148" s="14">
        <v>288.40276622506263</v>
      </c>
    </row>
    <row r="149" spans="1:5" x14ac:dyDescent="0.35">
      <c r="A149">
        <v>1012</v>
      </c>
      <c r="B149" s="14">
        <v>142.69260942234985</v>
      </c>
      <c r="C149" s="14">
        <v>158.1930779690972</v>
      </c>
      <c r="D149" s="14">
        <v>357.10588868639366</v>
      </c>
      <c r="E149" s="14">
        <v>290.86948251168633</v>
      </c>
    </row>
    <row r="150" spans="1:5" x14ac:dyDescent="0.35">
      <c r="A150">
        <v>1019</v>
      </c>
      <c r="B150" s="14">
        <v>144.18145895636457</v>
      </c>
      <c r="C150" s="14">
        <v>159.70316290432547</v>
      </c>
      <c r="D150" s="14">
        <v>359.30101107863641</v>
      </c>
      <c r="E150" s="14">
        <v>293.45294466296002</v>
      </c>
    </row>
    <row r="151" spans="1:5" x14ac:dyDescent="0.35">
      <c r="A151">
        <v>1026</v>
      </c>
      <c r="B151" s="14">
        <v>146.09044333852128</v>
      </c>
      <c r="C151" s="14">
        <v>161.6747105791153</v>
      </c>
      <c r="D151" s="14">
        <v>361.9605320377313</v>
      </c>
      <c r="E151" s="14">
        <v>296.27403645769181</v>
      </c>
    </row>
    <row r="152" spans="1:5" x14ac:dyDescent="0.35">
      <c r="A152">
        <v>1033</v>
      </c>
      <c r="B152" s="14">
        <v>148.66183966474006</v>
      </c>
      <c r="C152" s="14">
        <v>164.10180080198086</v>
      </c>
      <c r="D152" s="14">
        <v>364.04111782563581</v>
      </c>
      <c r="E152" s="14">
        <v>299.1919997379037</v>
      </c>
    </row>
    <row r="153" spans="1:5" x14ac:dyDescent="0.35">
      <c r="A153">
        <v>1040</v>
      </c>
      <c r="B153" s="14">
        <v>150.90846244869462</v>
      </c>
      <c r="C153" s="14">
        <v>166.13624320629037</v>
      </c>
      <c r="D153" s="14">
        <v>366.16641596154369</v>
      </c>
      <c r="E153" s="14">
        <v>302.14912505826396</v>
      </c>
    </row>
    <row r="154" spans="1:5" x14ac:dyDescent="0.35">
      <c r="A154">
        <v>1047</v>
      </c>
      <c r="B154" s="14">
        <v>153.05560733103607</v>
      </c>
      <c r="C154" s="14">
        <v>167.91831564091152</v>
      </c>
      <c r="D154" s="14">
        <v>368.13489911301218</v>
      </c>
      <c r="E154" s="14">
        <v>304.97021685299575</v>
      </c>
    </row>
    <row r="155" spans="1:5" x14ac:dyDescent="0.35">
      <c r="A155">
        <v>1054</v>
      </c>
      <c r="B155" s="14">
        <v>154.36712359089111</v>
      </c>
      <c r="C155" s="14">
        <v>170.37413348048551</v>
      </c>
      <c r="D155" s="14">
        <v>370.62957175616873</v>
      </c>
      <c r="E155" s="14">
        <v>307.16008657028573</v>
      </c>
    </row>
    <row r="156" spans="1:5" x14ac:dyDescent="0.35">
      <c r="A156">
        <v>1061</v>
      </c>
      <c r="B156" s="14">
        <v>156.71625657553625</v>
      </c>
      <c r="C156" s="14">
        <v>171.90514559991308</v>
      </c>
      <c r="D156" s="14">
        <v>372.66694179129104</v>
      </c>
      <c r="E156" s="14">
        <v>309.79662923143474</v>
      </c>
    </row>
    <row r="157" spans="1:5" x14ac:dyDescent="0.35">
      <c r="A157">
        <v>1068</v>
      </c>
      <c r="B157" s="14">
        <v>158.66310372883774</v>
      </c>
      <c r="C157" s="14">
        <v>173.90698551659608</v>
      </c>
      <c r="D157" s="14">
        <v>375.60069775600107</v>
      </c>
      <c r="E157" s="14">
        <v>312.501036544589</v>
      </c>
    </row>
    <row r="158" spans="1:5" x14ac:dyDescent="0.35">
      <c r="A158">
        <v>1075</v>
      </c>
      <c r="B158" s="14">
        <v>160.87904753243239</v>
      </c>
      <c r="C158" s="14">
        <v>175.38725253908029</v>
      </c>
      <c r="D158" s="14">
        <v>377.88969451526503</v>
      </c>
      <c r="E158" s="14">
        <v>315.12789577323724</v>
      </c>
    </row>
    <row r="159" spans="1:5" x14ac:dyDescent="0.35">
      <c r="A159">
        <v>1082</v>
      </c>
      <c r="B159" s="14">
        <v>162.41420888545693</v>
      </c>
      <c r="C159" s="14">
        <v>177.35266464001626</v>
      </c>
      <c r="D159" s="14">
        <v>380.42427545389398</v>
      </c>
      <c r="E159" s="14">
        <v>318.09579851031015</v>
      </c>
    </row>
    <row r="160" spans="1:5" x14ac:dyDescent="0.35">
      <c r="A160">
        <v>1089</v>
      </c>
      <c r="B160" s="14">
        <v>164.11735398313309</v>
      </c>
      <c r="C160" s="14">
        <v>179.35450455669925</v>
      </c>
      <c r="D160" s="14">
        <v>382.88446256250819</v>
      </c>
      <c r="E160" s="14">
        <v>321.00899005639332</v>
      </c>
    </row>
    <row r="161" spans="1:5" x14ac:dyDescent="0.35">
      <c r="A161">
        <v>1096</v>
      </c>
      <c r="B161" s="14">
        <v>166.29666059325294</v>
      </c>
      <c r="C161" s="14">
        <v>181.61872651949818</v>
      </c>
      <c r="D161" s="14">
        <v>385.86458450559246</v>
      </c>
      <c r="E161" s="14">
        <v>324.04431660476729</v>
      </c>
    </row>
    <row r="162" spans="1:5" x14ac:dyDescent="0.35">
      <c r="A162">
        <v>1103</v>
      </c>
      <c r="B162" s="14">
        <v>168.09608411186795</v>
      </c>
      <c r="C162" s="14">
        <v>183.08602322051746</v>
      </c>
      <c r="D162" s="14">
        <v>388.65651221199954</v>
      </c>
      <c r="E162" s="14">
        <v>327.04407651494876</v>
      </c>
    </row>
    <row r="163" spans="1:5" x14ac:dyDescent="0.35">
      <c r="A163">
        <v>1110</v>
      </c>
      <c r="B163" s="14">
        <v>169.36836372801437</v>
      </c>
      <c r="C163" s="14">
        <v>184.54460776403394</v>
      </c>
      <c r="D163" s="14">
        <v>391.01971221241627</v>
      </c>
      <c r="E163" s="14">
        <v>329.85151748411971</v>
      </c>
    </row>
    <row r="164" spans="1:5" x14ac:dyDescent="0.35">
      <c r="A164">
        <v>1117</v>
      </c>
      <c r="B164" s="14">
        <v>170.85721326202909</v>
      </c>
      <c r="C164" s="14">
        <v>185.8705667925274</v>
      </c>
      <c r="D164" s="14">
        <v>393.17226744887296</v>
      </c>
      <c r="E164" s="14">
        <v>331.82306515890951</v>
      </c>
    </row>
    <row r="165" spans="1:5" x14ac:dyDescent="0.35">
      <c r="A165">
        <v>1124</v>
      </c>
      <c r="B165" s="14">
        <v>172.65663678064411</v>
      </c>
      <c r="C165" s="14">
        <v>187.11776999087755</v>
      </c>
      <c r="D165" s="14">
        <v>395.49524895904392</v>
      </c>
      <c r="E165" s="14">
        <v>333.75425680900423</v>
      </c>
    </row>
    <row r="166" spans="1:5" x14ac:dyDescent="0.35">
      <c r="A166">
        <v>1131</v>
      </c>
      <c r="B166" s="14">
        <v>173.62570034650815</v>
      </c>
      <c r="C166" s="14">
        <v>187.11776999087755</v>
      </c>
      <c r="D166" s="14">
        <v>398.5609925181559</v>
      </c>
      <c r="E166" s="14">
        <v>335.15489182268902</v>
      </c>
    </row>
    <row r="167" spans="1:5" x14ac:dyDescent="0.35">
      <c r="A167">
        <v>1138</v>
      </c>
      <c r="B167" s="14">
        <v>174.5947639123722</v>
      </c>
      <c r="C167" s="14">
        <v>188.3308447869357</v>
      </c>
      <c r="D167" s="14">
        <v>400.23056114614468</v>
      </c>
      <c r="E167" s="14">
        <v>337.25521008622763</v>
      </c>
    </row>
    <row r="168" spans="1:5" x14ac:dyDescent="0.35">
      <c r="A168">
        <v>1145</v>
      </c>
      <c r="B168" s="14">
        <v>176.21440971114217</v>
      </c>
      <c r="C168" s="14">
        <v>190.7866626265097</v>
      </c>
      <c r="D168" s="14">
        <v>402.25323321831559</v>
      </c>
      <c r="E168" s="14">
        <v>340.22311282330054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B4D5-1C4F-48F1-91D9-30B40E7C2F3A}">
  <dimension ref="A1:E168"/>
  <sheetViews>
    <sheetView workbookViewId="0"/>
  </sheetViews>
  <sheetFormatPr defaultRowHeight="14.5" x14ac:dyDescent="0.35"/>
  <sheetData>
    <row r="1" spans="1:5" x14ac:dyDescent="0.35">
      <c r="A1" s="140" t="s">
        <v>79</v>
      </c>
    </row>
    <row r="2" spans="1:5" x14ac:dyDescent="0.35">
      <c r="A2" s="62" t="s">
        <v>48</v>
      </c>
      <c r="B2" t="s">
        <v>44</v>
      </c>
      <c r="C2" t="s">
        <v>45</v>
      </c>
      <c r="D2" t="s">
        <v>46</v>
      </c>
      <c r="E2" t="s">
        <v>47</v>
      </c>
    </row>
    <row r="3" spans="1:5" x14ac:dyDescent="0.35">
      <c r="A3">
        <v>0</v>
      </c>
      <c r="B3">
        <v>100</v>
      </c>
      <c r="C3">
        <v>100</v>
      </c>
      <c r="D3">
        <v>100</v>
      </c>
      <c r="E3">
        <v>100</v>
      </c>
    </row>
    <row r="4" spans="1:5" x14ac:dyDescent="0.35">
      <c r="A4">
        <v>3</v>
      </c>
      <c r="B4" s="14">
        <v>98.046875</v>
      </c>
      <c r="C4" s="14">
        <v>99.650349650349639</v>
      </c>
      <c r="D4" s="14">
        <v>99.050632911392398</v>
      </c>
      <c r="E4" s="14">
        <v>98.928571428571431</v>
      </c>
    </row>
    <row r="5" spans="1:5" x14ac:dyDescent="0.35">
      <c r="A5">
        <v>7</v>
      </c>
      <c r="B5" s="14">
        <v>98.814229249011859</v>
      </c>
      <c r="C5" s="14">
        <v>99.663299663299668</v>
      </c>
      <c r="D5" s="14">
        <v>99.404761904761912</v>
      </c>
      <c r="E5" s="14">
        <v>99.656357388316152</v>
      </c>
    </row>
    <row r="6" spans="1:5" x14ac:dyDescent="0.35">
      <c r="A6">
        <v>10</v>
      </c>
      <c r="B6" s="14">
        <v>99.259259259259252</v>
      </c>
      <c r="C6" s="14">
        <v>98.013245033112582</v>
      </c>
      <c r="D6" s="14">
        <v>99.2</v>
      </c>
      <c r="E6" s="14">
        <v>98.265895953757223</v>
      </c>
    </row>
    <row r="7" spans="1:5" x14ac:dyDescent="0.35">
      <c r="A7">
        <v>14</v>
      </c>
      <c r="B7" s="14">
        <v>96.875</v>
      </c>
      <c r="C7" s="14">
        <v>97.345132743362825</v>
      </c>
      <c r="D7" s="14">
        <v>97.278911564625844</v>
      </c>
      <c r="E7" s="14">
        <v>100</v>
      </c>
    </row>
    <row r="8" spans="1:5" x14ac:dyDescent="0.35">
      <c r="A8">
        <v>21</v>
      </c>
      <c r="B8" s="14">
        <v>73.584905660377359</v>
      </c>
      <c r="C8" s="14">
        <v>93.253968253968253</v>
      </c>
      <c r="D8" s="14">
        <v>96.534653465346537</v>
      </c>
      <c r="E8" s="14">
        <v>95.348837209302332</v>
      </c>
    </row>
    <row r="9" spans="1:5" x14ac:dyDescent="0.35">
      <c r="A9">
        <v>28</v>
      </c>
      <c r="B9" s="14">
        <v>84.375</v>
      </c>
      <c r="C9" s="14">
        <v>90.8</v>
      </c>
      <c r="D9" s="14">
        <v>95.366795366795358</v>
      </c>
      <c r="E9" s="14">
        <v>96.350364963503651</v>
      </c>
    </row>
    <row r="10" spans="1:5" x14ac:dyDescent="0.35">
      <c r="A10">
        <v>35</v>
      </c>
      <c r="B10" s="14">
        <v>87.606837606837601</v>
      </c>
      <c r="C10" s="14">
        <v>91.709844559585491</v>
      </c>
      <c r="D10" s="14">
        <v>95.918367346938766</v>
      </c>
      <c r="E10" s="14">
        <v>96.354166666666657</v>
      </c>
    </row>
    <row r="11" spans="1:5" x14ac:dyDescent="0.35">
      <c r="A11">
        <v>42</v>
      </c>
      <c r="B11" s="14">
        <v>74.842767295597483</v>
      </c>
      <c r="C11" s="14">
        <v>83.908045977011497</v>
      </c>
      <c r="D11" s="14">
        <v>87.786259541984734</v>
      </c>
      <c r="E11" s="14">
        <v>93.939393939393938</v>
      </c>
    </row>
    <row r="12" spans="1:5" x14ac:dyDescent="0.35">
      <c r="A12">
        <v>49</v>
      </c>
      <c r="B12" s="14">
        <v>87.333333333333329</v>
      </c>
      <c r="C12" s="14">
        <v>91.946308724832221</v>
      </c>
      <c r="D12" s="14">
        <v>96.268656716417908</v>
      </c>
      <c r="E12" s="14">
        <v>97</v>
      </c>
    </row>
    <row r="13" spans="1:5" x14ac:dyDescent="0.35">
      <c r="A13">
        <v>56</v>
      </c>
      <c r="B13" s="14">
        <v>68.382352941176478</v>
      </c>
      <c r="C13" s="14">
        <v>85.40145985401459</v>
      </c>
      <c r="D13" s="14">
        <v>90.909090909090907</v>
      </c>
      <c r="E13" s="14">
        <v>93.865030674846622</v>
      </c>
    </row>
    <row r="14" spans="1:5" x14ac:dyDescent="0.35">
      <c r="A14">
        <v>63</v>
      </c>
      <c r="B14" s="14">
        <v>56.281407035175882</v>
      </c>
      <c r="C14" s="14">
        <v>75.159235668789819</v>
      </c>
      <c r="D14" s="14">
        <v>95.939086294416242</v>
      </c>
      <c r="E14" s="14">
        <v>93.236714975845416</v>
      </c>
    </row>
    <row r="15" spans="1:5" x14ac:dyDescent="0.35">
      <c r="A15">
        <v>70</v>
      </c>
      <c r="B15" s="14">
        <v>68.75</v>
      </c>
      <c r="C15" s="14">
        <v>80</v>
      </c>
      <c r="D15" s="14">
        <v>93.84615384615384</v>
      </c>
      <c r="E15" s="14">
        <v>96.666666666666671</v>
      </c>
    </row>
    <row r="16" spans="1:5" x14ac:dyDescent="0.35">
      <c r="A16">
        <v>77</v>
      </c>
      <c r="B16" s="14">
        <v>74.090909090909093</v>
      </c>
      <c r="C16" s="14">
        <v>84.792626728110605</v>
      </c>
      <c r="D16" s="14">
        <v>98.039215686274503</v>
      </c>
      <c r="E16" s="14">
        <v>97.409326424870471</v>
      </c>
    </row>
    <row r="17" spans="1:5" x14ac:dyDescent="0.35">
      <c r="A17">
        <v>86</v>
      </c>
      <c r="B17" s="14">
        <v>72.59615384615384</v>
      </c>
      <c r="C17" s="14">
        <v>76.683937823834185</v>
      </c>
      <c r="D17" s="14">
        <v>96.202531645569621</v>
      </c>
      <c r="E17" s="14">
        <v>98.591549295774655</v>
      </c>
    </row>
    <row r="18" spans="1:5" x14ac:dyDescent="0.35">
      <c r="A18">
        <v>98</v>
      </c>
      <c r="B18" s="14">
        <v>59.627329192546583</v>
      </c>
      <c r="C18" s="14">
        <v>81.764705882352942</v>
      </c>
      <c r="D18" s="14">
        <v>91.566265060240966</v>
      </c>
      <c r="E18" s="14">
        <v>94.594594594594597</v>
      </c>
    </row>
    <row r="19" spans="1:5" x14ac:dyDescent="0.35">
      <c r="A19">
        <v>105</v>
      </c>
      <c r="B19" s="14">
        <v>55.844155844155843</v>
      </c>
      <c r="C19" s="14">
        <v>82.162162162162161</v>
      </c>
      <c r="D19" s="14">
        <v>88.888888888888886</v>
      </c>
      <c r="E19" s="14">
        <v>93.582887700534755</v>
      </c>
    </row>
    <row r="20" spans="1:5" x14ac:dyDescent="0.35">
      <c r="A20">
        <v>112</v>
      </c>
      <c r="B20" s="14">
        <v>67.692307692307693</v>
      </c>
      <c r="C20" s="14">
        <v>91.914893617021278</v>
      </c>
      <c r="D20" s="14">
        <v>98.198198198198199</v>
      </c>
      <c r="E20" s="14">
        <v>98.958333333333343</v>
      </c>
    </row>
    <row r="21" spans="1:5" x14ac:dyDescent="0.35">
      <c r="A21">
        <v>119</v>
      </c>
      <c r="B21" s="14">
        <v>52.80898876404494</v>
      </c>
      <c r="C21" s="14">
        <v>83.687943262411352</v>
      </c>
      <c r="D21" s="14">
        <v>97.52066115702479</v>
      </c>
      <c r="E21" s="14">
        <v>100</v>
      </c>
    </row>
    <row r="22" spans="1:5" x14ac:dyDescent="0.35">
      <c r="A22">
        <v>126</v>
      </c>
      <c r="B22" s="14">
        <v>67.857142857142861</v>
      </c>
      <c r="C22" s="14">
        <v>86.938775510204081</v>
      </c>
      <c r="D22" s="14">
        <v>97.692307692307693</v>
      </c>
      <c r="E22" s="14">
        <v>98.678414096916299</v>
      </c>
    </row>
    <row r="23" spans="1:5" x14ac:dyDescent="0.35">
      <c r="A23">
        <v>133</v>
      </c>
      <c r="B23" s="14">
        <v>64.766839378238345</v>
      </c>
      <c r="C23" s="14">
        <v>87.727272727272734</v>
      </c>
      <c r="D23" s="14">
        <v>98.412698412698404</v>
      </c>
      <c r="E23" s="14">
        <v>96.511627906976756</v>
      </c>
    </row>
    <row r="24" spans="1:5" x14ac:dyDescent="0.35">
      <c r="A24">
        <v>140</v>
      </c>
      <c r="B24" s="14">
        <v>65.128205128205124</v>
      </c>
      <c r="C24" s="14">
        <v>95.652173913043484</v>
      </c>
      <c r="D24" s="14">
        <v>97.931034482758619</v>
      </c>
      <c r="E24" s="14">
        <v>98.936170212765958</v>
      </c>
    </row>
    <row r="25" spans="1:5" x14ac:dyDescent="0.35">
      <c r="A25">
        <v>147</v>
      </c>
      <c r="B25" s="14">
        <v>58.333333333333336</v>
      </c>
      <c r="C25" s="14">
        <v>86.956521739130437</v>
      </c>
      <c r="D25" s="14">
        <v>94.73684210526315</v>
      </c>
      <c r="E25" s="14">
        <v>97.241379310344826</v>
      </c>
    </row>
    <row r="26" spans="1:5" x14ac:dyDescent="0.35">
      <c r="A26">
        <v>154</v>
      </c>
      <c r="B26" s="14">
        <v>69.73684210526315</v>
      </c>
      <c r="C26" s="14">
        <v>95.13274336283186</v>
      </c>
      <c r="D26" s="14">
        <v>98.064516129032256</v>
      </c>
      <c r="E26" s="14">
        <v>98.830409356725141</v>
      </c>
    </row>
    <row r="27" spans="1:5" x14ac:dyDescent="0.35">
      <c r="A27">
        <v>161</v>
      </c>
      <c r="B27" s="14">
        <v>66.666666666666657</v>
      </c>
      <c r="C27" s="14">
        <v>94.822006472491907</v>
      </c>
      <c r="D27" s="14">
        <v>96.759259259259252</v>
      </c>
      <c r="E27" s="14">
        <v>98.963730569948183</v>
      </c>
    </row>
    <row r="28" spans="1:5" x14ac:dyDescent="0.35">
      <c r="A28">
        <v>169</v>
      </c>
      <c r="B28" s="14">
        <v>74.157303370786522</v>
      </c>
      <c r="C28" s="14">
        <v>97.311827956989248</v>
      </c>
      <c r="D28" s="14">
        <v>98.319327731092429</v>
      </c>
      <c r="E28" s="14">
        <v>98.82352941176471</v>
      </c>
    </row>
    <row r="29" spans="1:5" x14ac:dyDescent="0.35">
      <c r="A29">
        <v>175</v>
      </c>
      <c r="B29" s="14">
        <v>68.711656441717793</v>
      </c>
      <c r="C29" s="14">
        <v>96.089385474860336</v>
      </c>
      <c r="D29" s="14">
        <v>98.804780876494021</v>
      </c>
      <c r="E29" s="14">
        <v>99.619771863117862</v>
      </c>
    </row>
    <row r="30" spans="1:5" x14ac:dyDescent="0.35">
      <c r="A30">
        <v>182</v>
      </c>
      <c r="B30" s="14">
        <v>84.699453551912569</v>
      </c>
      <c r="C30" s="14">
        <v>94.818652849740943</v>
      </c>
      <c r="D30" s="14">
        <v>98.550724637681171</v>
      </c>
      <c r="E30" s="14">
        <v>98.958333333333343</v>
      </c>
    </row>
    <row r="31" spans="1:5" x14ac:dyDescent="0.35">
      <c r="A31">
        <v>189</v>
      </c>
      <c r="B31" s="14">
        <v>90.673575129533674</v>
      </c>
      <c r="C31" s="14">
        <v>96.09375</v>
      </c>
      <c r="D31" s="14">
        <v>97.68518518518519</v>
      </c>
      <c r="E31" s="14">
        <v>98.513011152416354</v>
      </c>
    </row>
    <row r="32" spans="1:5" x14ac:dyDescent="0.35">
      <c r="A32">
        <v>196</v>
      </c>
      <c r="B32" s="14">
        <v>92.617449664429529</v>
      </c>
      <c r="C32" s="14">
        <v>97.033898305084747</v>
      </c>
      <c r="D32" s="14">
        <v>98.19004524886877</v>
      </c>
      <c r="E32" s="14">
        <v>99.050632911392398</v>
      </c>
    </row>
    <row r="33" spans="1:5" x14ac:dyDescent="0.35">
      <c r="A33">
        <v>203</v>
      </c>
      <c r="B33" s="14">
        <v>92.307692307692307</v>
      </c>
      <c r="C33" s="14">
        <v>96.666666666666671</v>
      </c>
      <c r="D33" s="14">
        <v>98.587570621468927</v>
      </c>
      <c r="E33" s="14">
        <v>98.507462686567166</v>
      </c>
    </row>
    <row r="34" spans="1:5" x14ac:dyDescent="0.35">
      <c r="A34">
        <v>210</v>
      </c>
      <c r="B34" s="14">
        <v>91.970802919708035</v>
      </c>
      <c r="C34" s="14">
        <v>95.017793594306056</v>
      </c>
      <c r="D34" s="14">
        <v>98.039215686274503</v>
      </c>
      <c r="E34" s="14">
        <v>98.40425531914893</v>
      </c>
    </row>
    <row r="35" spans="1:5" x14ac:dyDescent="0.35">
      <c r="A35">
        <v>216</v>
      </c>
      <c r="B35" s="14">
        <v>93.706293706293707</v>
      </c>
      <c r="C35" s="14">
        <v>99.2</v>
      </c>
      <c r="D35" s="14">
        <v>97.211155378486055</v>
      </c>
      <c r="E35" s="14">
        <v>100</v>
      </c>
    </row>
    <row r="36" spans="1:5" x14ac:dyDescent="0.35">
      <c r="A36">
        <v>223</v>
      </c>
      <c r="B36" s="14">
        <v>93.165467625899282</v>
      </c>
      <c r="C36" s="14">
        <v>98.976109215017061</v>
      </c>
      <c r="D36" s="14">
        <v>99.721448467966582</v>
      </c>
      <c r="E36" s="14">
        <v>99.799599198396791</v>
      </c>
    </row>
    <row r="37" spans="1:5" x14ac:dyDescent="0.35">
      <c r="A37">
        <v>230</v>
      </c>
      <c r="B37" s="14">
        <v>98.89196675900277</v>
      </c>
      <c r="C37" s="14">
        <v>98.986486486486484</v>
      </c>
      <c r="D37" s="14">
        <v>100</v>
      </c>
      <c r="E37" s="14">
        <v>99.793814432989691</v>
      </c>
    </row>
    <row r="38" spans="1:5" x14ac:dyDescent="0.35">
      <c r="A38">
        <v>236</v>
      </c>
      <c r="B38" s="14">
        <v>98.465473145780052</v>
      </c>
      <c r="C38" s="14">
        <v>99.397590361445793</v>
      </c>
      <c r="D38" s="14">
        <v>99.662162162162161</v>
      </c>
      <c r="E38" s="14">
        <v>99.638989169675085</v>
      </c>
    </row>
    <row r="39" spans="1:5" x14ac:dyDescent="0.35">
      <c r="A39">
        <v>243</v>
      </c>
      <c r="B39" s="14">
        <v>99.427917620137293</v>
      </c>
      <c r="C39" s="14">
        <v>98.095238095238088</v>
      </c>
      <c r="D39" s="14">
        <v>100</v>
      </c>
      <c r="E39" s="14">
        <v>100</v>
      </c>
    </row>
    <row r="40" spans="1:5" x14ac:dyDescent="0.35">
      <c r="A40">
        <v>250</v>
      </c>
      <c r="B40" s="14">
        <v>99.260355029585796</v>
      </c>
      <c r="C40" s="14">
        <v>100</v>
      </c>
      <c r="D40" s="14">
        <v>100</v>
      </c>
      <c r="E40" s="14">
        <v>99.796334012219958</v>
      </c>
    </row>
    <row r="41" spans="1:5" x14ac:dyDescent="0.35">
      <c r="A41">
        <v>257</v>
      </c>
      <c r="B41" s="14">
        <v>100</v>
      </c>
      <c r="C41" s="14">
        <v>99.047619047619051</v>
      </c>
      <c r="D41" s="14">
        <v>99.411764705882348</v>
      </c>
      <c r="E41" s="14">
        <v>98.762886597938149</v>
      </c>
    </row>
    <row r="42" spans="1:5" x14ac:dyDescent="0.35">
      <c r="A42">
        <v>264</v>
      </c>
      <c r="B42" s="14">
        <v>90.397350993377472</v>
      </c>
      <c r="C42" s="14">
        <v>99.21875</v>
      </c>
      <c r="D42" s="14">
        <v>99.669966996699671</v>
      </c>
      <c r="E42" s="14">
        <v>97.005988023952099</v>
      </c>
    </row>
    <row r="43" spans="1:5" x14ac:dyDescent="0.35">
      <c r="A43">
        <v>270</v>
      </c>
      <c r="B43" s="14">
        <v>96.503496503496507</v>
      </c>
      <c r="C43" s="14">
        <v>98.201438848920859</v>
      </c>
      <c r="D43" s="14">
        <v>99.497487437185924</v>
      </c>
      <c r="E43" s="14">
        <v>99.134199134199136</v>
      </c>
    </row>
    <row r="44" spans="1:5" x14ac:dyDescent="0.35">
      <c r="A44">
        <v>277</v>
      </c>
      <c r="B44" s="14">
        <v>97.278911564625844</v>
      </c>
      <c r="C44" s="14">
        <v>98.876404494382015</v>
      </c>
      <c r="D44" s="14">
        <v>98.905109489051085</v>
      </c>
      <c r="E44" s="14">
        <v>99.468085106382972</v>
      </c>
    </row>
    <row r="45" spans="1:5" x14ac:dyDescent="0.35">
      <c r="A45">
        <v>284</v>
      </c>
      <c r="B45" s="14">
        <v>98.469387755102048</v>
      </c>
      <c r="C45" s="14">
        <v>99.378881987577643</v>
      </c>
      <c r="D45" s="14">
        <v>98.412698412698404</v>
      </c>
      <c r="E45" s="14">
        <v>98.75886524822694</v>
      </c>
    </row>
    <row r="46" spans="1:5" x14ac:dyDescent="0.35">
      <c r="A46">
        <v>291</v>
      </c>
      <c r="B46" s="14">
        <v>99.438202247191015</v>
      </c>
      <c r="C46" s="14">
        <v>100</v>
      </c>
      <c r="D46" s="14">
        <v>98.39228295819936</v>
      </c>
      <c r="E46" s="14">
        <v>98.564593301435409</v>
      </c>
    </row>
    <row r="47" spans="1:5" x14ac:dyDescent="0.35">
      <c r="A47">
        <v>299</v>
      </c>
      <c r="B47" s="14">
        <v>95.092024539877301</v>
      </c>
      <c r="C47" s="14">
        <v>96.817420435510897</v>
      </c>
      <c r="D47" s="14">
        <v>96.786389413988658</v>
      </c>
      <c r="E47" s="14">
        <v>98.422436459246271</v>
      </c>
    </row>
    <row r="48" spans="1:5" x14ac:dyDescent="0.35">
      <c r="A48">
        <v>306</v>
      </c>
      <c r="B48" s="14">
        <v>95.652173913043484</v>
      </c>
      <c r="C48" s="14">
        <v>97.89719626168224</v>
      </c>
      <c r="D48" s="14">
        <v>98.181818181818187</v>
      </c>
      <c r="E48" s="14">
        <v>97.820823244552059</v>
      </c>
    </row>
    <row r="49" spans="1:5" x14ac:dyDescent="0.35">
      <c r="A49">
        <v>313</v>
      </c>
      <c r="B49" s="14">
        <v>100</v>
      </c>
      <c r="C49" s="14">
        <v>99.006622516556291</v>
      </c>
      <c r="D49" s="14">
        <v>97.534246575342465</v>
      </c>
      <c r="E49" s="14">
        <v>99.719101123595507</v>
      </c>
    </row>
    <row r="50" spans="1:5" x14ac:dyDescent="0.35">
      <c r="A50">
        <v>320</v>
      </c>
      <c r="B50" s="14">
        <v>99.574468085106389</v>
      </c>
      <c r="C50" s="14">
        <v>98.623853211009177</v>
      </c>
      <c r="D50" s="14">
        <v>91.72661870503596</v>
      </c>
      <c r="E50" s="14">
        <v>99.142857142857139</v>
      </c>
    </row>
    <row r="51" spans="1:5" x14ac:dyDescent="0.35">
      <c r="A51">
        <v>327</v>
      </c>
      <c r="B51" s="14">
        <v>97.307692307692307</v>
      </c>
      <c r="C51" s="14">
        <v>92.857142857142861</v>
      </c>
      <c r="D51" s="14">
        <v>86.281588447653434</v>
      </c>
      <c r="E51" s="14">
        <v>98.3640081799591</v>
      </c>
    </row>
    <row r="52" spans="1:5" x14ac:dyDescent="0.35">
      <c r="A52">
        <v>334</v>
      </c>
      <c r="B52" s="14">
        <v>98.75</v>
      </c>
      <c r="C52" s="14">
        <v>99.576271186440678</v>
      </c>
      <c r="D52" s="14">
        <v>84.546360917248251</v>
      </c>
      <c r="E52" s="14">
        <v>98.256410256410248</v>
      </c>
    </row>
    <row r="53" spans="1:5" x14ac:dyDescent="0.35">
      <c r="A53">
        <v>343</v>
      </c>
      <c r="B53" s="14">
        <v>98.84937238493724</v>
      </c>
      <c r="C53" s="14">
        <v>99.15397631133672</v>
      </c>
      <c r="D53" s="14">
        <v>94.818652849740943</v>
      </c>
      <c r="E53" s="14">
        <v>98.251192368839426</v>
      </c>
    </row>
    <row r="54" spans="1:5" x14ac:dyDescent="0.35">
      <c r="A54">
        <v>348</v>
      </c>
      <c r="B54" s="14">
        <v>99.616858237547888</v>
      </c>
      <c r="C54" s="14">
        <v>99.290780141843967</v>
      </c>
      <c r="D54" s="14">
        <v>95.442359249329755</v>
      </c>
      <c r="E54" s="14">
        <v>99.706744868035187</v>
      </c>
    </row>
    <row r="55" spans="1:5" x14ac:dyDescent="0.35">
      <c r="A55">
        <v>355</v>
      </c>
      <c r="B55" s="14">
        <v>99.553571428571431</v>
      </c>
      <c r="C55" s="14">
        <v>98.611111111111114</v>
      </c>
      <c r="D55" s="14">
        <v>97.262247838616716</v>
      </c>
      <c r="E55" s="14">
        <v>99.425287356321832</v>
      </c>
    </row>
    <row r="56" spans="1:5" x14ac:dyDescent="0.35">
      <c r="A56">
        <v>363</v>
      </c>
      <c r="B56" s="14">
        <v>99.092088197146566</v>
      </c>
      <c r="C56" s="14">
        <v>96.946564885496173</v>
      </c>
      <c r="D56" s="14">
        <v>94.88054607508532</v>
      </c>
      <c r="E56" s="14">
        <v>97.406340057636882</v>
      </c>
    </row>
    <row r="57" spans="1:5" x14ac:dyDescent="0.35">
      <c r="A57">
        <v>369</v>
      </c>
      <c r="B57" s="14">
        <v>100</v>
      </c>
      <c r="C57" s="14">
        <v>97.959183673469383</v>
      </c>
      <c r="D57" s="14">
        <v>91.489361702127653</v>
      </c>
      <c r="E57" s="14">
        <v>98.571428571428584</v>
      </c>
    </row>
    <row r="58" spans="1:5" x14ac:dyDescent="0.35">
      <c r="A58">
        <v>376</v>
      </c>
      <c r="B58" s="14">
        <v>99.494949494949495</v>
      </c>
      <c r="C58" s="14">
        <v>98.988195615514329</v>
      </c>
      <c r="D58" s="14">
        <v>90.186915887850475</v>
      </c>
      <c r="E58" s="14">
        <v>98.921832884097043</v>
      </c>
    </row>
    <row r="59" spans="1:5" x14ac:dyDescent="0.35">
      <c r="A59">
        <v>383</v>
      </c>
      <c r="B59" s="14">
        <v>99.295774647887328</v>
      </c>
      <c r="C59" s="14">
        <v>95.128939828080235</v>
      </c>
      <c r="D59" s="14">
        <v>97.818181818181813</v>
      </c>
      <c r="E59" s="14">
        <v>98.283261802575112</v>
      </c>
    </row>
    <row r="60" spans="1:5" x14ac:dyDescent="0.35">
      <c r="A60">
        <v>390</v>
      </c>
      <c r="B60" s="14">
        <v>99.712643678160916</v>
      </c>
      <c r="C60" s="14">
        <v>98.795180722891558</v>
      </c>
      <c r="D60" s="14">
        <v>98.91304347826086</v>
      </c>
      <c r="E60" s="14">
        <v>99.25</v>
      </c>
    </row>
    <row r="61" spans="1:5" x14ac:dyDescent="0.35">
      <c r="A61">
        <v>398</v>
      </c>
      <c r="B61" s="14">
        <v>99.567723342939487</v>
      </c>
      <c r="C61" s="14">
        <v>99.307958477508649</v>
      </c>
      <c r="D61" s="14">
        <v>94.600938967136145</v>
      </c>
      <c r="E61" s="14">
        <v>96.92307692307692</v>
      </c>
    </row>
    <row r="62" spans="1:5" x14ac:dyDescent="0.35">
      <c r="A62">
        <v>404</v>
      </c>
      <c r="B62" s="14">
        <v>90.939597315436231</v>
      </c>
      <c r="C62" s="14">
        <v>96.8</v>
      </c>
      <c r="D62" s="14">
        <v>87.662337662337663</v>
      </c>
      <c r="E62" s="14">
        <v>94.767441860465112</v>
      </c>
    </row>
    <row r="63" spans="1:5" x14ac:dyDescent="0.35">
      <c r="A63">
        <v>411</v>
      </c>
      <c r="B63" s="14">
        <v>99.534883720930239</v>
      </c>
      <c r="C63" s="14">
        <v>98.431372549019599</v>
      </c>
      <c r="D63" s="14">
        <v>81.950774840474011</v>
      </c>
      <c r="E63" s="14">
        <v>98.425196850393704</v>
      </c>
    </row>
    <row r="64" spans="1:5" x14ac:dyDescent="0.35">
      <c r="A64">
        <v>418</v>
      </c>
      <c r="B64" s="14">
        <v>99.425287356321832</v>
      </c>
      <c r="C64" s="14">
        <v>99.201277955271564</v>
      </c>
      <c r="D64" s="14">
        <v>87.225548902195598</v>
      </c>
      <c r="E64" s="14">
        <v>99.504950495049499</v>
      </c>
    </row>
    <row r="65" spans="1:5" x14ac:dyDescent="0.35">
      <c r="A65">
        <v>425</v>
      </c>
      <c r="B65" s="14">
        <v>99.661016949152554</v>
      </c>
      <c r="C65" s="14">
        <v>99.676375404530745</v>
      </c>
      <c r="D65" s="14">
        <v>100</v>
      </c>
      <c r="E65" s="14">
        <v>94.605809128630696</v>
      </c>
    </row>
    <row r="66" spans="1:5" x14ac:dyDescent="0.35">
      <c r="A66">
        <v>432</v>
      </c>
      <c r="B66" s="14">
        <v>99.348534201954394</v>
      </c>
      <c r="C66" s="14">
        <v>97.961630695443645</v>
      </c>
      <c r="D66" s="14">
        <v>97.61904761904762</v>
      </c>
      <c r="E66" s="14">
        <v>99.334442595673877</v>
      </c>
    </row>
    <row r="67" spans="1:5" x14ac:dyDescent="0.35">
      <c r="A67">
        <v>439</v>
      </c>
      <c r="B67" s="14">
        <v>100</v>
      </c>
      <c r="C67" s="14">
        <v>100</v>
      </c>
      <c r="D67" s="14">
        <v>98.167539267015698</v>
      </c>
      <c r="E67" s="14">
        <v>100</v>
      </c>
    </row>
    <row r="68" spans="1:5" x14ac:dyDescent="0.35">
      <c r="A68">
        <v>445</v>
      </c>
      <c r="B68" s="14">
        <v>99.489795918367349</v>
      </c>
      <c r="C68" s="14">
        <v>99.561403508771932</v>
      </c>
      <c r="D68" s="14">
        <v>98.026315789473685</v>
      </c>
      <c r="E68" s="14">
        <v>100</v>
      </c>
    </row>
    <row r="69" spans="1:5" x14ac:dyDescent="0.35">
      <c r="A69">
        <v>452</v>
      </c>
      <c r="B69" s="14">
        <v>99.393939393939391</v>
      </c>
      <c r="C69" s="14">
        <v>97.835497835497833</v>
      </c>
      <c r="D69" s="14">
        <v>97.235772357723576</v>
      </c>
      <c r="E69" s="14">
        <v>99.812382739211998</v>
      </c>
    </row>
    <row r="70" spans="1:5" x14ac:dyDescent="0.35">
      <c r="A70">
        <v>460</v>
      </c>
      <c r="B70" s="14">
        <v>97.350993377483448</v>
      </c>
      <c r="C70" s="14">
        <v>98.73737373737373</v>
      </c>
      <c r="D70" s="14">
        <v>95.064935064935057</v>
      </c>
      <c r="E70" s="14">
        <v>99.836065573770497</v>
      </c>
    </row>
    <row r="71" spans="1:5" x14ac:dyDescent="0.35">
      <c r="A71">
        <v>466</v>
      </c>
      <c r="B71" s="14">
        <v>97.512437810945272</v>
      </c>
      <c r="C71" s="14">
        <v>97.407407407407405</v>
      </c>
      <c r="D71" s="14">
        <v>94.538606403013176</v>
      </c>
      <c r="E71" s="14">
        <v>99.47229551451187</v>
      </c>
    </row>
    <row r="72" spans="1:5" x14ac:dyDescent="0.35">
      <c r="A72">
        <v>473</v>
      </c>
      <c r="B72" s="14">
        <v>98.305084745762713</v>
      </c>
      <c r="C72" s="14">
        <v>97.786720321931583</v>
      </c>
      <c r="D72" s="14">
        <v>92.746113989637308</v>
      </c>
      <c r="E72" s="14">
        <v>98.633257403189063</v>
      </c>
    </row>
    <row r="73" spans="1:5" x14ac:dyDescent="0.35">
      <c r="A73">
        <v>480</v>
      </c>
      <c r="B73" s="14">
        <v>98.648648648648646</v>
      </c>
      <c r="C73" s="14">
        <v>98.780487804878049</v>
      </c>
      <c r="D73" s="14">
        <v>92.171717171717177</v>
      </c>
      <c r="E73" s="14">
        <v>99.689440993788821</v>
      </c>
    </row>
    <row r="74" spans="1:5" x14ac:dyDescent="0.35">
      <c r="A74">
        <v>487</v>
      </c>
      <c r="B74" s="14">
        <v>99.390243902439025</v>
      </c>
      <c r="C74" s="14">
        <v>96.67590027700831</v>
      </c>
      <c r="D74" s="14">
        <v>89.970501474926252</v>
      </c>
      <c r="E74" s="14">
        <v>99.660441426146008</v>
      </c>
    </row>
    <row r="75" spans="1:5" x14ac:dyDescent="0.35">
      <c r="A75">
        <v>494</v>
      </c>
      <c r="B75" s="14">
        <v>97.326203208556151</v>
      </c>
      <c r="C75" s="14">
        <v>100</v>
      </c>
      <c r="D75" s="14">
        <v>91.743119266055047</v>
      </c>
      <c r="E75" s="14">
        <v>98.895027624309392</v>
      </c>
    </row>
    <row r="76" spans="1:5" x14ac:dyDescent="0.35">
      <c r="A76">
        <v>501</v>
      </c>
      <c r="B76" s="14">
        <v>96.258503401360542</v>
      </c>
      <c r="C76" s="14">
        <v>98.214285714285708</v>
      </c>
      <c r="D76" s="14">
        <v>93.240740740740748</v>
      </c>
      <c r="E76" s="14">
        <v>98.898678414096921</v>
      </c>
    </row>
    <row r="77" spans="1:5" x14ac:dyDescent="0.35">
      <c r="A77">
        <v>508</v>
      </c>
      <c r="B77" s="14">
        <v>99.695121951219505</v>
      </c>
      <c r="C77" s="14">
        <v>98.986486486486484</v>
      </c>
      <c r="D77" s="14">
        <v>90.789473684210535</v>
      </c>
      <c r="E77" s="14">
        <v>99.484536082474222</v>
      </c>
    </row>
    <row r="78" spans="1:5" x14ac:dyDescent="0.35">
      <c r="A78">
        <v>515</v>
      </c>
      <c r="B78" s="14">
        <v>97.666666666666671</v>
      </c>
      <c r="C78" s="14">
        <v>97.089947089947088</v>
      </c>
      <c r="D78" s="14">
        <v>89.065606361829026</v>
      </c>
      <c r="E78" s="14">
        <v>99.723756906077341</v>
      </c>
    </row>
    <row r="79" spans="1:5" x14ac:dyDescent="0.35">
      <c r="A79">
        <v>522</v>
      </c>
      <c r="B79" s="14">
        <v>99.411764705882348</v>
      </c>
      <c r="C79" s="14">
        <v>98.290598290598282</v>
      </c>
      <c r="D79" s="14">
        <v>85.964912280701753</v>
      </c>
      <c r="E79" s="14">
        <v>99.162011173184368</v>
      </c>
    </row>
    <row r="80" spans="1:5" x14ac:dyDescent="0.35">
      <c r="A80">
        <v>529</v>
      </c>
      <c r="B80" s="14">
        <v>96.92307692307692</v>
      </c>
      <c r="C80" s="14">
        <v>97.044334975369466</v>
      </c>
      <c r="D80" s="14">
        <v>88.278388278388277</v>
      </c>
      <c r="E80" s="14">
        <v>99.339933993399342</v>
      </c>
    </row>
    <row r="81" spans="1:5" x14ac:dyDescent="0.35">
      <c r="A81">
        <v>536</v>
      </c>
      <c r="B81" s="14">
        <v>98.161764705882348</v>
      </c>
      <c r="C81" s="14">
        <v>97.280334728033466</v>
      </c>
      <c r="D81" s="14">
        <v>91.304347826086953</v>
      </c>
      <c r="E81" s="14">
        <v>99.185336048879833</v>
      </c>
    </row>
    <row r="82" spans="1:5" x14ac:dyDescent="0.35">
      <c r="A82">
        <v>543</v>
      </c>
      <c r="B82" s="14">
        <v>98.820754716981128</v>
      </c>
      <c r="C82" s="14">
        <v>99.668874172185426</v>
      </c>
      <c r="D82" s="14">
        <v>96.382428940568474</v>
      </c>
      <c r="E82" s="14">
        <v>100</v>
      </c>
    </row>
    <row r="83" spans="1:5" x14ac:dyDescent="0.35">
      <c r="A83">
        <v>550</v>
      </c>
      <c r="B83" s="14">
        <v>99.243856332703217</v>
      </c>
      <c r="C83" s="14">
        <v>97.843137254901961</v>
      </c>
      <c r="D83" s="14">
        <v>98.520900321543408</v>
      </c>
      <c r="E83" s="14">
        <v>99.048913043478265</v>
      </c>
    </row>
    <row r="84" spans="1:5" x14ac:dyDescent="0.35">
      <c r="A84">
        <v>557</v>
      </c>
      <c r="B84" s="14">
        <v>99.509803921568633</v>
      </c>
      <c r="C84" s="14">
        <v>99.137931034482762</v>
      </c>
      <c r="D84" s="14">
        <v>94.691224268689055</v>
      </c>
      <c r="E84" s="14">
        <v>99.34782608695653</v>
      </c>
    </row>
    <row r="85" spans="1:5" x14ac:dyDescent="0.35">
      <c r="A85">
        <v>564</v>
      </c>
      <c r="B85" s="14">
        <v>100</v>
      </c>
      <c r="C85" s="14">
        <v>98.872180451127818</v>
      </c>
      <c r="D85" s="14">
        <v>90.871369294605813</v>
      </c>
      <c r="E85" s="14">
        <v>97.6</v>
      </c>
    </row>
    <row r="86" spans="1:5" x14ac:dyDescent="0.35">
      <c r="A86">
        <v>572</v>
      </c>
      <c r="B86" s="14">
        <v>95.652173913043484</v>
      </c>
      <c r="C86" s="14">
        <v>95.020746887966794</v>
      </c>
      <c r="D86" s="14">
        <v>94.05684754521964</v>
      </c>
      <c r="E86" s="14">
        <v>94.422310756972109</v>
      </c>
    </row>
    <row r="87" spans="1:5" x14ac:dyDescent="0.35">
      <c r="A87">
        <v>578</v>
      </c>
      <c r="B87" s="14">
        <v>98.550724637681171</v>
      </c>
      <c r="C87" s="14">
        <v>98.6013986013986</v>
      </c>
      <c r="D87" s="14">
        <v>93.712930011862397</v>
      </c>
      <c r="E87" s="14">
        <v>95.857988165680467</v>
      </c>
    </row>
    <row r="88" spans="1:5" x14ac:dyDescent="0.35">
      <c r="A88">
        <v>584</v>
      </c>
      <c r="B88" s="14">
        <v>96.747967479674799</v>
      </c>
      <c r="C88" s="14">
        <v>96.666666666666671</v>
      </c>
      <c r="D88" s="14">
        <v>91.17647058823529</v>
      </c>
      <c r="E88" s="14">
        <v>92.880258899676377</v>
      </c>
    </row>
    <row r="89" spans="1:5" x14ac:dyDescent="0.35">
      <c r="A89">
        <v>592</v>
      </c>
      <c r="B89" s="14">
        <v>95.91651542649727</v>
      </c>
      <c r="C89" s="14">
        <v>97.894736842105274</v>
      </c>
      <c r="D89" s="14">
        <v>93</v>
      </c>
      <c r="E89" s="14">
        <v>96.375</v>
      </c>
    </row>
    <row r="90" spans="1:5" x14ac:dyDescent="0.35">
      <c r="A90">
        <v>598</v>
      </c>
      <c r="B90" s="14">
        <v>97.031963470319639</v>
      </c>
      <c r="C90" s="14">
        <v>96.808510638297875</v>
      </c>
      <c r="D90" s="14">
        <v>89.402697495183048</v>
      </c>
      <c r="E90" s="14">
        <v>88.774002954209749</v>
      </c>
    </row>
    <row r="91" spans="1:5" x14ac:dyDescent="0.35">
      <c r="A91">
        <v>606</v>
      </c>
      <c r="B91" s="14">
        <v>97.967479674796749</v>
      </c>
      <c r="C91" s="14">
        <v>97.046413502109701</v>
      </c>
      <c r="D91" s="14">
        <v>86.58536585365853</v>
      </c>
      <c r="E91" s="14">
        <v>91.197183098591552</v>
      </c>
    </row>
    <row r="92" spans="1:5" x14ac:dyDescent="0.35">
      <c r="A92">
        <v>612</v>
      </c>
      <c r="B92" s="14">
        <v>100</v>
      </c>
      <c r="C92" s="14">
        <v>98.104265402843609</v>
      </c>
      <c r="D92" s="14">
        <v>93.650793650793645</v>
      </c>
      <c r="E92" s="14">
        <v>94.047619047619051</v>
      </c>
    </row>
    <row r="93" spans="1:5" x14ac:dyDescent="0.35">
      <c r="A93">
        <v>619</v>
      </c>
      <c r="B93" s="14">
        <v>97.872340425531917</v>
      </c>
      <c r="C93" s="14">
        <v>100</v>
      </c>
      <c r="D93" s="14">
        <v>93.023255813953483</v>
      </c>
      <c r="E93" s="14">
        <v>95.44364508393285</v>
      </c>
    </row>
    <row r="94" spans="1:5" x14ac:dyDescent="0.35">
      <c r="A94">
        <v>626</v>
      </c>
      <c r="B94" s="14">
        <v>97.810218978102199</v>
      </c>
      <c r="C94" s="14">
        <v>97.354497354497354</v>
      </c>
      <c r="D94" s="14">
        <v>97.105643994211292</v>
      </c>
      <c r="E94" s="14">
        <v>98.159509202453989</v>
      </c>
    </row>
    <row r="95" spans="1:5" x14ac:dyDescent="0.35">
      <c r="A95">
        <v>633</v>
      </c>
      <c r="B95" s="14">
        <v>95.689655172413794</v>
      </c>
      <c r="C95" s="14">
        <v>96.097560975609753</v>
      </c>
      <c r="D95" s="14">
        <v>98.607888631090489</v>
      </c>
      <c r="E95" s="14">
        <v>97.820823244552059</v>
      </c>
    </row>
    <row r="96" spans="1:5" x14ac:dyDescent="0.35">
      <c r="A96">
        <v>640</v>
      </c>
      <c r="B96" s="14">
        <v>98.966408268733858</v>
      </c>
      <c r="C96" s="14">
        <v>99.599198396793582</v>
      </c>
      <c r="D96" s="14">
        <v>99.87373737373737</v>
      </c>
      <c r="E96" s="14">
        <v>99.884393063583815</v>
      </c>
    </row>
    <row r="97" spans="1:5" x14ac:dyDescent="0.35">
      <c r="A97">
        <v>647</v>
      </c>
      <c r="B97" s="14">
        <v>96.721311475409834</v>
      </c>
      <c r="C97" s="14">
        <v>97.94721407624634</v>
      </c>
      <c r="D97" s="14">
        <v>98.205128205128204</v>
      </c>
      <c r="E97" s="14">
        <v>97.353497164461245</v>
      </c>
    </row>
    <row r="98" spans="1:5" x14ac:dyDescent="0.35">
      <c r="A98">
        <v>654</v>
      </c>
      <c r="B98" s="14">
        <v>99.099099099099092</v>
      </c>
      <c r="C98" s="14">
        <v>93.779904306220089</v>
      </c>
      <c r="D98" s="14">
        <v>97.9739507959479</v>
      </c>
      <c r="E98" s="14">
        <v>97.994987468671681</v>
      </c>
    </row>
    <row r="99" spans="1:5" x14ac:dyDescent="0.35">
      <c r="A99">
        <v>661</v>
      </c>
      <c r="B99" s="14">
        <v>93.388429752066116</v>
      </c>
      <c r="C99" s="14">
        <v>94.761904761904759</v>
      </c>
      <c r="D99" s="14">
        <v>95.854922279792746</v>
      </c>
      <c r="E99" s="14">
        <v>96.654929577464785</v>
      </c>
    </row>
    <row r="100" spans="1:5" x14ac:dyDescent="0.35">
      <c r="A100">
        <v>668</v>
      </c>
      <c r="B100" s="14">
        <v>94.029850746268664</v>
      </c>
      <c r="C100" s="14">
        <v>97.129186602870803</v>
      </c>
      <c r="D100" s="14">
        <v>96.867167919799499</v>
      </c>
      <c r="E100" s="14">
        <v>97.439353099730468</v>
      </c>
    </row>
    <row r="101" spans="1:5" x14ac:dyDescent="0.35">
      <c r="A101">
        <v>675</v>
      </c>
      <c r="B101" s="14">
        <v>100</v>
      </c>
      <c r="C101" s="14">
        <v>94.560669456066947</v>
      </c>
      <c r="D101" s="14">
        <v>96.324655436447173</v>
      </c>
      <c r="E101" s="14">
        <v>96.194824961948243</v>
      </c>
    </row>
    <row r="102" spans="1:5" x14ac:dyDescent="0.35">
      <c r="A102">
        <v>682</v>
      </c>
      <c r="B102" s="14">
        <v>98.275862068965509</v>
      </c>
      <c r="C102" s="14">
        <v>99.107142857142861</v>
      </c>
      <c r="D102" s="14">
        <v>97.831325301204814</v>
      </c>
      <c r="E102" s="14">
        <v>97.68518518518519</v>
      </c>
    </row>
    <row r="103" spans="1:5" x14ac:dyDescent="0.35">
      <c r="A103">
        <v>689</v>
      </c>
      <c r="B103" s="14">
        <v>100</v>
      </c>
      <c r="C103" s="14">
        <v>100</v>
      </c>
      <c r="D103" s="14">
        <v>96.574225122349105</v>
      </c>
      <c r="E103" s="14">
        <v>96.810506566604133</v>
      </c>
    </row>
    <row r="104" spans="1:5" x14ac:dyDescent="0.35">
      <c r="A104">
        <v>696</v>
      </c>
      <c r="B104" s="14">
        <v>95.833333333333343</v>
      </c>
      <c r="C104" s="14">
        <v>99.295774647887328</v>
      </c>
      <c r="D104" s="14">
        <v>95.652173913043484</v>
      </c>
      <c r="E104" s="14">
        <v>96.32495164410058</v>
      </c>
    </row>
    <row r="105" spans="1:5" x14ac:dyDescent="0.35">
      <c r="A105">
        <v>703</v>
      </c>
      <c r="B105" s="14">
        <v>97.452229299363054</v>
      </c>
      <c r="C105" s="14">
        <v>99.248120300751879</v>
      </c>
      <c r="D105" s="14">
        <v>95.7912457912458</v>
      </c>
      <c r="E105" s="14">
        <v>96.460176991150433</v>
      </c>
    </row>
    <row r="106" spans="1:5" x14ac:dyDescent="0.35">
      <c r="A106">
        <v>710</v>
      </c>
      <c r="B106" s="14">
        <v>95.867768595041326</v>
      </c>
      <c r="C106" s="14">
        <v>94.236311239193085</v>
      </c>
      <c r="D106" s="14">
        <v>95.72072072072072</v>
      </c>
      <c r="E106" s="14">
        <v>96.551724137931032</v>
      </c>
    </row>
    <row r="107" spans="1:5" x14ac:dyDescent="0.35">
      <c r="A107">
        <v>717</v>
      </c>
      <c r="B107" s="14">
        <v>98.888888888888886</v>
      </c>
      <c r="C107" s="14">
        <v>99.390243902439025</v>
      </c>
      <c r="D107" s="14">
        <v>94.293478260869563</v>
      </c>
      <c r="E107" s="14">
        <v>91.067961165048544</v>
      </c>
    </row>
    <row r="108" spans="1:5" x14ac:dyDescent="0.35">
      <c r="A108">
        <v>724</v>
      </c>
      <c r="B108" s="14">
        <v>100</v>
      </c>
      <c r="C108" s="14">
        <v>97.837837837837839</v>
      </c>
      <c r="D108" s="14">
        <v>94.330708661417319</v>
      </c>
      <c r="E108" s="14">
        <v>92.307692307692307</v>
      </c>
    </row>
    <row r="109" spans="1:5" x14ac:dyDescent="0.35">
      <c r="A109">
        <v>731</v>
      </c>
      <c r="B109" s="14">
        <v>98.214285714285708</v>
      </c>
      <c r="C109" s="14">
        <v>97.819314641744555</v>
      </c>
      <c r="D109" s="14">
        <v>96.853932584269671</v>
      </c>
      <c r="E109" s="14">
        <v>97.009966777408636</v>
      </c>
    </row>
    <row r="110" spans="1:5" x14ac:dyDescent="0.35">
      <c r="A110">
        <v>738</v>
      </c>
      <c r="B110" s="14">
        <v>98.993288590604024</v>
      </c>
      <c r="C110" s="14">
        <v>97.250859106529205</v>
      </c>
      <c r="D110" s="14">
        <v>93.659942363112393</v>
      </c>
      <c r="E110" s="14">
        <v>92.393736017897083</v>
      </c>
    </row>
    <row r="111" spans="1:5" x14ac:dyDescent="0.35">
      <c r="A111">
        <v>745</v>
      </c>
      <c r="B111" s="14">
        <v>98.571428571428584</v>
      </c>
      <c r="C111" s="14">
        <v>98.40425531914893</v>
      </c>
      <c r="D111" s="14">
        <v>79.069767441860463</v>
      </c>
      <c r="E111" s="14">
        <v>92.415730337078656</v>
      </c>
    </row>
    <row r="112" spans="1:5" x14ac:dyDescent="0.35">
      <c r="A112">
        <v>752</v>
      </c>
      <c r="B112" s="14">
        <v>99.236641221374043</v>
      </c>
      <c r="C112" s="14">
        <v>97.841726618705039</v>
      </c>
      <c r="D112" s="14">
        <v>95.762711864406782</v>
      </c>
      <c r="E112" s="14">
        <v>93.343419062027237</v>
      </c>
    </row>
    <row r="113" spans="1:5" x14ac:dyDescent="0.35">
      <c r="A113">
        <v>761</v>
      </c>
      <c r="B113" s="14">
        <v>98.461538461538467</v>
      </c>
      <c r="C113" s="14">
        <v>98</v>
      </c>
      <c r="D113" s="14">
        <v>98.297872340425528</v>
      </c>
      <c r="E113" s="14">
        <v>95.184135977337121</v>
      </c>
    </row>
    <row r="114" spans="1:5" x14ac:dyDescent="0.35">
      <c r="A114">
        <v>766</v>
      </c>
      <c r="B114" s="14">
        <v>97.765363128491629</v>
      </c>
      <c r="C114" s="14">
        <v>98.5</v>
      </c>
      <c r="D114" s="14">
        <v>95.901639344262293</v>
      </c>
      <c r="E114" s="14">
        <v>94.782608695652172</v>
      </c>
    </row>
    <row r="115" spans="1:5" x14ac:dyDescent="0.35">
      <c r="A115">
        <v>773</v>
      </c>
      <c r="B115" s="14">
        <v>97.652582159624416</v>
      </c>
      <c r="C115" s="14">
        <v>98.608349900596423</v>
      </c>
      <c r="D115" s="14">
        <v>96.317280453257794</v>
      </c>
      <c r="E115" s="14">
        <v>95.610278372591011</v>
      </c>
    </row>
    <row r="116" spans="1:5" x14ac:dyDescent="0.35">
      <c r="A116">
        <v>780</v>
      </c>
      <c r="B116" s="14">
        <v>90.735694822888277</v>
      </c>
      <c r="C116" s="14">
        <v>95.95375722543352</v>
      </c>
      <c r="D116" s="14">
        <v>92.76315789473685</v>
      </c>
      <c r="E116" s="14">
        <v>90.342679127725859</v>
      </c>
    </row>
    <row r="117" spans="1:5" x14ac:dyDescent="0.35">
      <c r="A117">
        <v>787</v>
      </c>
      <c r="B117" s="14">
        <v>97.9381443298969</v>
      </c>
      <c r="C117" s="14">
        <v>100</v>
      </c>
      <c r="D117" s="14">
        <v>89.445910290237464</v>
      </c>
      <c r="E117" s="14">
        <v>89.380530973451329</v>
      </c>
    </row>
    <row r="118" spans="1:5" x14ac:dyDescent="0.35">
      <c r="A118">
        <v>794</v>
      </c>
      <c r="B118" s="14">
        <v>97.237569060773481</v>
      </c>
      <c r="C118" s="14">
        <v>96.956521739130437</v>
      </c>
      <c r="D118" s="14">
        <v>88.1542699724518</v>
      </c>
      <c r="E118" s="14">
        <v>83.02277432712215</v>
      </c>
    </row>
    <row r="119" spans="1:5" x14ac:dyDescent="0.35">
      <c r="A119">
        <v>801</v>
      </c>
      <c r="B119" s="14">
        <v>97.594501718213053</v>
      </c>
      <c r="C119" s="14">
        <v>99.224806201550393</v>
      </c>
      <c r="D119" s="14">
        <v>86.390532544378701</v>
      </c>
      <c r="E119" s="14">
        <v>88.997555012224936</v>
      </c>
    </row>
    <row r="120" spans="1:5" x14ac:dyDescent="0.35">
      <c r="A120">
        <v>808</v>
      </c>
      <c r="B120" s="14">
        <v>96.341463414634148</v>
      </c>
      <c r="C120" s="14">
        <v>96.09375</v>
      </c>
      <c r="D120" s="14">
        <v>86.816720257234721</v>
      </c>
      <c r="E120" s="14">
        <v>86.681715575620771</v>
      </c>
    </row>
    <row r="121" spans="1:5" x14ac:dyDescent="0.35">
      <c r="A121">
        <v>815</v>
      </c>
      <c r="B121" s="14">
        <v>92.307692307692307</v>
      </c>
      <c r="C121" s="14">
        <v>95.714285714285722</v>
      </c>
      <c r="D121" s="14">
        <v>87.740384615384613</v>
      </c>
      <c r="E121" s="14">
        <v>90.575079872204483</v>
      </c>
    </row>
    <row r="122" spans="1:5" x14ac:dyDescent="0.35">
      <c r="A122">
        <v>823</v>
      </c>
      <c r="B122" s="14">
        <v>95.023696682464447</v>
      </c>
      <c r="C122" s="14">
        <v>95.412844036697251</v>
      </c>
      <c r="D122" s="14">
        <v>90.476190476190482</v>
      </c>
      <c r="E122" s="14">
        <v>89.678284182305632</v>
      </c>
    </row>
    <row r="123" spans="1:5" x14ac:dyDescent="0.35">
      <c r="A123">
        <v>829</v>
      </c>
      <c r="B123" s="14">
        <v>96.385542168674704</v>
      </c>
      <c r="C123" s="14">
        <v>94.230769230769226</v>
      </c>
      <c r="D123" s="14">
        <v>91.099476439790578</v>
      </c>
      <c r="E123" s="14">
        <v>93.110236220472444</v>
      </c>
    </row>
    <row r="124" spans="1:5" x14ac:dyDescent="0.35">
      <c r="A124">
        <v>836</v>
      </c>
      <c r="B124" s="14">
        <v>96.103896103896105</v>
      </c>
      <c r="C124" s="14">
        <v>95.862068965517238</v>
      </c>
      <c r="D124" s="14">
        <v>94.094488188976371</v>
      </c>
      <c r="E124" s="14">
        <v>95.516569200779728</v>
      </c>
    </row>
    <row r="125" spans="1:5" x14ac:dyDescent="0.35">
      <c r="A125">
        <v>843</v>
      </c>
      <c r="B125" s="14">
        <v>93.75</v>
      </c>
      <c r="C125" s="14">
        <v>90.756302521008408</v>
      </c>
      <c r="D125" s="14">
        <v>95.02262443438913</v>
      </c>
      <c r="E125" s="14">
        <v>94.054054054054063</v>
      </c>
    </row>
    <row r="126" spans="1:5" x14ac:dyDescent="0.35">
      <c r="A126">
        <v>850</v>
      </c>
      <c r="B126" s="14">
        <v>98.05825242718447</v>
      </c>
      <c r="C126" s="14">
        <v>96.666666666666671</v>
      </c>
      <c r="D126" s="14">
        <v>91.099476439790578</v>
      </c>
      <c r="E126" s="14">
        <v>95.582329317269071</v>
      </c>
    </row>
    <row r="127" spans="1:5" x14ac:dyDescent="0.35">
      <c r="A127">
        <v>857</v>
      </c>
      <c r="B127" s="14">
        <v>96.741854636591469</v>
      </c>
      <c r="C127" s="14">
        <v>96.688741721854313</v>
      </c>
      <c r="D127" s="14">
        <v>96.764252696456083</v>
      </c>
      <c r="E127" s="14">
        <v>96.949152542372886</v>
      </c>
    </row>
    <row r="128" spans="1:5" x14ac:dyDescent="0.35">
      <c r="A128">
        <v>864</v>
      </c>
      <c r="B128" s="14">
        <v>97.20930232558139</v>
      </c>
      <c r="C128" s="14">
        <v>97.029702970297024</v>
      </c>
      <c r="D128" s="14">
        <v>95.934959349593498</v>
      </c>
      <c r="E128" s="14">
        <v>95.550847457627114</v>
      </c>
    </row>
    <row r="129" spans="1:5" x14ac:dyDescent="0.35">
      <c r="A129">
        <v>871</v>
      </c>
      <c r="B129" s="14">
        <v>98.128342245989302</v>
      </c>
      <c r="C129" s="14">
        <v>98.591549295774655</v>
      </c>
      <c r="D129" s="14">
        <v>97.297297297297305</v>
      </c>
      <c r="E129" s="14">
        <v>98.531211750305999</v>
      </c>
    </row>
    <row r="130" spans="1:5" x14ac:dyDescent="0.35">
      <c r="A130">
        <v>878</v>
      </c>
      <c r="B130" s="14">
        <v>98.255813953488371</v>
      </c>
      <c r="C130" s="14">
        <v>97.175141242937855</v>
      </c>
      <c r="D130" s="14">
        <v>97.002141327623121</v>
      </c>
      <c r="E130" s="14">
        <v>95.943204868154154</v>
      </c>
    </row>
    <row r="131" spans="1:5" x14ac:dyDescent="0.35">
      <c r="A131">
        <v>885</v>
      </c>
      <c r="B131" s="14">
        <v>98.986486486486484</v>
      </c>
      <c r="C131" s="14">
        <v>96.721311475409834</v>
      </c>
      <c r="D131" s="14">
        <v>96.359743040685217</v>
      </c>
      <c r="E131" s="14">
        <v>96.934865900383144</v>
      </c>
    </row>
    <row r="132" spans="1:5" x14ac:dyDescent="0.35">
      <c r="A132">
        <v>892</v>
      </c>
      <c r="B132" s="14">
        <v>97.982708933717575</v>
      </c>
      <c r="C132" s="14">
        <v>97.493036211699163</v>
      </c>
      <c r="D132" s="14">
        <v>97.239263803680984</v>
      </c>
      <c r="E132" s="14">
        <v>97.012802275960169</v>
      </c>
    </row>
    <row r="133" spans="1:5" x14ac:dyDescent="0.35">
      <c r="A133">
        <v>899</v>
      </c>
      <c r="B133" s="14">
        <v>98.214285714285708</v>
      </c>
      <c r="C133" s="14">
        <v>97.169811320754718</v>
      </c>
      <c r="D133" s="14">
        <v>98.168498168498161</v>
      </c>
      <c r="E133" s="14">
        <v>97.97794117647058</v>
      </c>
    </row>
    <row r="134" spans="1:5" x14ac:dyDescent="0.35">
      <c r="A134">
        <v>906</v>
      </c>
      <c r="B134" s="14">
        <v>98.296836982968372</v>
      </c>
      <c r="C134" s="14">
        <v>97.633136094674555</v>
      </c>
      <c r="D134" s="14">
        <v>96.785714285714292</v>
      </c>
      <c r="E134" s="14">
        <v>98.578595317725743</v>
      </c>
    </row>
    <row r="135" spans="1:5" x14ac:dyDescent="0.35">
      <c r="A135">
        <v>914</v>
      </c>
      <c r="B135" s="14">
        <v>98.283261802575112</v>
      </c>
      <c r="C135" s="14">
        <v>97.834645669291348</v>
      </c>
      <c r="D135" s="14">
        <v>96.90844233055887</v>
      </c>
      <c r="E135" s="14">
        <v>97.583429228998853</v>
      </c>
    </row>
    <row r="136" spans="1:5" x14ac:dyDescent="0.35">
      <c r="A136">
        <v>921</v>
      </c>
      <c r="B136" s="14">
        <v>96.100917431192656</v>
      </c>
      <c r="C136" s="14">
        <v>97.275204359673026</v>
      </c>
      <c r="D136" s="14">
        <v>91.153846153846146</v>
      </c>
      <c r="E136" s="14">
        <v>93.17647058823529</v>
      </c>
    </row>
    <row r="137" spans="1:5" x14ac:dyDescent="0.35">
      <c r="A137">
        <v>928</v>
      </c>
      <c r="B137" s="14">
        <v>97.058823529411768</v>
      </c>
      <c r="C137" s="14">
        <v>98.064516129032256</v>
      </c>
      <c r="D137" s="14">
        <v>91.25</v>
      </c>
      <c r="E137" s="14">
        <v>86.451612903225808</v>
      </c>
    </row>
    <row r="138" spans="1:5" x14ac:dyDescent="0.35">
      <c r="A138">
        <v>935</v>
      </c>
      <c r="B138" s="14">
        <v>98.048780487804876</v>
      </c>
      <c r="C138" s="14">
        <v>96.666666666666671</v>
      </c>
      <c r="D138" s="14">
        <v>88.505747126436788</v>
      </c>
      <c r="E138" s="14">
        <v>75.675675675675677</v>
      </c>
    </row>
    <row r="139" spans="1:5" x14ac:dyDescent="0.35">
      <c r="A139">
        <v>942</v>
      </c>
      <c r="B139" s="14">
        <v>97.457627118644069</v>
      </c>
      <c r="C139" s="14">
        <v>97.890295358649794</v>
      </c>
      <c r="D139" s="14">
        <v>94.814814814814824</v>
      </c>
      <c r="E139" s="14">
        <v>86.963696369636963</v>
      </c>
    </row>
    <row r="140" spans="1:5" x14ac:dyDescent="0.35">
      <c r="A140">
        <v>949</v>
      </c>
      <c r="B140" s="14">
        <v>95.939086294416242</v>
      </c>
      <c r="C140" s="14">
        <v>93.409742120343836</v>
      </c>
      <c r="D140" s="14">
        <v>97.338403041825089</v>
      </c>
      <c r="E140" s="14">
        <v>92.621870882740438</v>
      </c>
    </row>
    <row r="141" spans="1:5" x14ac:dyDescent="0.35">
      <c r="A141">
        <v>956</v>
      </c>
      <c r="B141" s="14">
        <v>96.981891348088539</v>
      </c>
      <c r="C141" s="14">
        <v>96.394686907020883</v>
      </c>
      <c r="D141" s="14">
        <v>92.549019607843135</v>
      </c>
      <c r="E141" s="14">
        <v>93.607305936073061</v>
      </c>
    </row>
    <row r="142" spans="1:5" x14ac:dyDescent="0.35">
      <c r="A142">
        <v>963</v>
      </c>
      <c r="B142" s="14">
        <v>96.320346320346317</v>
      </c>
      <c r="C142" s="14">
        <v>96.457765667574932</v>
      </c>
      <c r="D142" s="14">
        <v>95.6989247311828</v>
      </c>
      <c r="E142" s="14">
        <v>92.467248908296938</v>
      </c>
    </row>
    <row r="143" spans="1:5" x14ac:dyDescent="0.35">
      <c r="A143">
        <v>970</v>
      </c>
      <c r="B143" s="14">
        <v>96</v>
      </c>
      <c r="C143" s="14">
        <v>96.652719665271974</v>
      </c>
      <c r="D143" s="14">
        <v>94.986807387862797</v>
      </c>
      <c r="E143" s="14">
        <v>91.988555078683831</v>
      </c>
    </row>
    <row r="144" spans="1:5" x14ac:dyDescent="0.35">
      <c r="A144">
        <v>977</v>
      </c>
      <c r="B144" s="14">
        <v>95.943204868154154</v>
      </c>
      <c r="C144" s="14">
        <v>96.92307692307692</v>
      </c>
      <c r="D144" s="14">
        <v>91.341256366723258</v>
      </c>
      <c r="E144" s="14">
        <v>93.378995433789953</v>
      </c>
    </row>
    <row r="145" spans="1:5" x14ac:dyDescent="0.35">
      <c r="A145">
        <v>984</v>
      </c>
      <c r="B145" s="14">
        <v>96.443514644351467</v>
      </c>
      <c r="C145" s="14">
        <v>96.964586846543</v>
      </c>
      <c r="D145" s="14">
        <v>96.085409252669038</v>
      </c>
      <c r="E145" s="14">
        <v>93.912063134160093</v>
      </c>
    </row>
    <row r="146" spans="1:5" x14ac:dyDescent="0.35">
      <c r="A146">
        <v>991</v>
      </c>
      <c r="B146" s="14">
        <v>96.975425330812854</v>
      </c>
      <c r="C146" s="14">
        <v>97.25158562367865</v>
      </c>
      <c r="D146" s="14">
        <v>96.969696969696969</v>
      </c>
      <c r="E146" s="14">
        <v>91.597633136094672</v>
      </c>
    </row>
    <row r="147" spans="1:5" x14ac:dyDescent="0.35">
      <c r="A147">
        <v>998</v>
      </c>
      <c r="B147" s="14">
        <v>97.101449275362313</v>
      </c>
      <c r="C147" s="14">
        <v>93.191964285714292</v>
      </c>
      <c r="D147" s="14">
        <v>88.02721088435375</v>
      </c>
      <c r="E147" s="14">
        <v>70.281862745098039</v>
      </c>
    </row>
    <row r="148" spans="1:5" x14ac:dyDescent="0.35">
      <c r="A148">
        <v>1005</v>
      </c>
      <c r="B148" s="14">
        <v>96.650717703349287</v>
      </c>
      <c r="C148" s="14">
        <v>96.103896103896105</v>
      </c>
      <c r="D148" s="14">
        <v>93.518518518518519</v>
      </c>
      <c r="E148" s="14">
        <v>89.275766016713092</v>
      </c>
    </row>
    <row r="149" spans="1:5" x14ac:dyDescent="0.35">
      <c r="A149">
        <v>1012</v>
      </c>
      <c r="B149" s="14">
        <v>95.681818181818173</v>
      </c>
      <c r="C149" s="14">
        <v>97.476340694006311</v>
      </c>
      <c r="D149" s="14">
        <v>92.361111111111114</v>
      </c>
      <c r="E149" s="14">
        <v>89.367429340511435</v>
      </c>
    </row>
    <row r="150" spans="1:5" x14ac:dyDescent="0.35">
      <c r="A150">
        <v>1019</v>
      </c>
      <c r="B150" s="14">
        <v>95.197740112994353</v>
      </c>
      <c r="C150" s="14">
        <v>97.714285714285708</v>
      </c>
      <c r="D150" s="14">
        <v>94.827586206896555</v>
      </c>
      <c r="E150" s="14">
        <v>93.14359637774902</v>
      </c>
    </row>
    <row r="151" spans="1:5" x14ac:dyDescent="0.35">
      <c r="A151">
        <v>1026</v>
      </c>
      <c r="B151" s="14">
        <v>97.830802603036886</v>
      </c>
      <c r="C151" s="14">
        <v>97.515527950310556</v>
      </c>
      <c r="D151" s="14">
        <v>94.756554307116104</v>
      </c>
      <c r="E151" s="14">
        <v>91.290322580645167</v>
      </c>
    </row>
    <row r="152" spans="1:5" x14ac:dyDescent="0.35">
      <c r="A152">
        <v>1033</v>
      </c>
      <c r="B152" s="14">
        <v>97.540983606557376</v>
      </c>
      <c r="C152" s="14">
        <v>97.142857142857139</v>
      </c>
      <c r="D152" s="14">
        <v>96.212121212121218</v>
      </c>
      <c r="E152" s="14">
        <v>91.902834008097173</v>
      </c>
    </row>
    <row r="153" spans="1:5" x14ac:dyDescent="0.35">
      <c r="A153">
        <v>1040</v>
      </c>
      <c r="B153" s="14">
        <v>97.9381443298969</v>
      </c>
      <c r="C153" s="14">
        <v>98.203592814371248</v>
      </c>
      <c r="D153" s="14">
        <v>93.238434163701072</v>
      </c>
      <c r="E153" s="14">
        <v>91.830708661417333</v>
      </c>
    </row>
    <row r="154" spans="1:5" x14ac:dyDescent="0.35">
      <c r="A154">
        <v>1047</v>
      </c>
      <c r="B154" s="14">
        <v>97.614678899082577</v>
      </c>
      <c r="C154" s="14">
        <v>98.099762470308789</v>
      </c>
      <c r="D154" s="14">
        <v>90.211132437619952</v>
      </c>
      <c r="E154" s="14">
        <v>92.182410423452765</v>
      </c>
    </row>
    <row r="155" spans="1:5" x14ac:dyDescent="0.35">
      <c r="A155">
        <v>1054</v>
      </c>
      <c r="B155" s="14">
        <v>96.753246753246756</v>
      </c>
      <c r="C155" s="14">
        <v>97.485207100591722</v>
      </c>
      <c r="D155" s="14">
        <v>94.421199442119942</v>
      </c>
      <c r="E155" s="14">
        <v>92.100840336134453</v>
      </c>
    </row>
    <row r="156" spans="1:5" x14ac:dyDescent="0.35">
      <c r="A156">
        <v>1061</v>
      </c>
      <c r="B156" s="14">
        <v>94.444444444444443</v>
      </c>
      <c r="C156" s="14">
        <v>96.927374301675968</v>
      </c>
      <c r="D156" s="14">
        <v>95.728155339805824</v>
      </c>
      <c r="E156" s="14">
        <v>91.769041769041763</v>
      </c>
    </row>
    <row r="157" spans="1:5" x14ac:dyDescent="0.35">
      <c r="A157">
        <v>1068</v>
      </c>
      <c r="B157" s="14">
        <v>97.064989517819711</v>
      </c>
      <c r="C157" s="14">
        <v>97.171717171717177</v>
      </c>
      <c r="D157" s="14">
        <v>93.387589013224826</v>
      </c>
      <c r="E157" s="14">
        <v>91.578947368421055</v>
      </c>
    </row>
    <row r="158" spans="1:5" x14ac:dyDescent="0.35">
      <c r="A158">
        <v>1075</v>
      </c>
      <c r="B158" s="14">
        <v>97.382198952879577</v>
      </c>
      <c r="C158" s="14">
        <v>97.383720930232556</v>
      </c>
      <c r="D158" s="14">
        <v>91.575663026521056</v>
      </c>
      <c r="E158" s="14">
        <v>91.266912669126683</v>
      </c>
    </row>
    <row r="159" spans="1:5" x14ac:dyDescent="0.35">
      <c r="A159">
        <v>1082</v>
      </c>
      <c r="B159" s="14">
        <v>97.47899159663865</v>
      </c>
      <c r="C159" s="14">
        <v>96.701030927835049</v>
      </c>
      <c r="D159" s="14">
        <v>89.345314505776642</v>
      </c>
      <c r="E159" s="14">
        <v>87.279480037140203</v>
      </c>
    </row>
    <row r="160" spans="1:5" x14ac:dyDescent="0.35">
      <c r="A160">
        <v>1089</v>
      </c>
      <c r="B160" s="14">
        <v>96.068796068796075</v>
      </c>
      <c r="C160" s="14">
        <v>96.586345381526101</v>
      </c>
      <c r="D160" s="14">
        <v>87.318361955085862</v>
      </c>
      <c r="E160" s="14">
        <v>88.551859099804304</v>
      </c>
    </row>
    <row r="161" spans="1:5" x14ac:dyDescent="0.35">
      <c r="A161">
        <v>1096</v>
      </c>
      <c r="B161" s="14">
        <v>93.955094991364419</v>
      </c>
      <c r="C161" s="14">
        <v>94.281045751633982</v>
      </c>
      <c r="D161" s="14">
        <v>84.117125110913932</v>
      </c>
      <c r="E161" s="14">
        <v>90.201465201465197</v>
      </c>
    </row>
    <row r="162" spans="1:5" x14ac:dyDescent="0.35">
      <c r="A162">
        <v>1103</v>
      </c>
      <c r="B162" s="14">
        <v>94.14414414414415</v>
      </c>
      <c r="C162" s="14">
        <v>94.318181818181827</v>
      </c>
      <c r="D162" s="14">
        <v>74.285714285714292</v>
      </c>
      <c r="E162" s="14">
        <v>86.111111111111114</v>
      </c>
    </row>
    <row r="163" spans="1:5" x14ac:dyDescent="0.35">
      <c r="A163">
        <v>1110</v>
      </c>
      <c r="B163" s="14">
        <v>94.155844155844164</v>
      </c>
      <c r="C163" s="14">
        <v>96.774193548387103</v>
      </c>
      <c r="D163" s="14">
        <v>89.306358381502889</v>
      </c>
      <c r="E163" s="14">
        <v>85.467479674796749</v>
      </c>
    </row>
    <row r="164" spans="1:5" x14ac:dyDescent="0.35">
      <c r="A164">
        <v>1117</v>
      </c>
      <c r="B164" s="14">
        <v>96.839080459770116</v>
      </c>
      <c r="C164" s="14">
        <v>96.166134185303505</v>
      </c>
      <c r="D164" s="14">
        <v>96.389891696750908</v>
      </c>
      <c r="E164" s="14">
        <v>96.714579055441476</v>
      </c>
    </row>
    <row r="165" spans="1:5" x14ac:dyDescent="0.35">
      <c r="A165">
        <v>1124</v>
      </c>
      <c r="B165" s="14">
        <v>98.122065727699521</v>
      </c>
      <c r="C165" s="14">
        <v>97.269624573378849</v>
      </c>
      <c r="D165" s="14">
        <v>97.406807131280388</v>
      </c>
      <c r="E165" s="14">
        <v>96.21848739495799</v>
      </c>
    </row>
    <row r="166" spans="1:5" x14ac:dyDescent="0.35">
      <c r="A166">
        <v>1131</v>
      </c>
      <c r="B166" s="14">
        <v>98.326359832635973</v>
      </c>
      <c r="C166" s="14">
        <v>96</v>
      </c>
      <c r="D166" s="14">
        <v>93.407613741875579</v>
      </c>
      <c r="E166" s="14">
        <v>85.907859078590789</v>
      </c>
    </row>
    <row r="167" spans="1:5" x14ac:dyDescent="0.35">
      <c r="A167">
        <v>1138</v>
      </c>
      <c r="B167" s="14">
        <v>95.141700404858298</v>
      </c>
      <c r="C167" s="14">
        <v>98.816568047337284</v>
      </c>
      <c r="D167" s="14">
        <v>95.739348370927317</v>
      </c>
      <c r="E167" s="14">
        <v>92.625899280575538</v>
      </c>
    </row>
    <row r="168" spans="1:5" x14ac:dyDescent="0.35">
      <c r="A168">
        <v>1145</v>
      </c>
      <c r="B168" s="14">
        <v>94.85861182519281</v>
      </c>
      <c r="C168" s="14">
        <v>97.629629629629633</v>
      </c>
      <c r="D168" s="14">
        <v>95.3125</v>
      </c>
      <c r="E168" s="14">
        <v>92.70216962524654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5313-1810-4C14-A2BE-10924BAF06A2}">
  <dimension ref="A1:E146"/>
  <sheetViews>
    <sheetView workbookViewId="0">
      <selection activeCell="O6" sqref="O6"/>
    </sheetView>
  </sheetViews>
  <sheetFormatPr defaultRowHeight="14.5" x14ac:dyDescent="0.35"/>
  <sheetData>
    <row r="1" spans="1:5" x14ac:dyDescent="0.35">
      <c r="A1" s="140" t="s">
        <v>80</v>
      </c>
    </row>
    <row r="2" spans="1:5" x14ac:dyDescent="0.35">
      <c r="A2" t="s">
        <v>48</v>
      </c>
      <c r="B2" t="s">
        <v>44</v>
      </c>
      <c r="C2" t="s">
        <v>45</v>
      </c>
      <c r="D2" t="s">
        <v>46</v>
      </c>
      <c r="E2" t="s">
        <v>47</v>
      </c>
    </row>
    <row r="3" spans="1:5" x14ac:dyDescent="0.35">
      <c r="A3">
        <v>3</v>
      </c>
      <c r="B3" s="14">
        <v>0</v>
      </c>
      <c r="C3" s="14">
        <v>0.70175438596491224</v>
      </c>
      <c r="D3" s="14">
        <v>0.31948881789137379</v>
      </c>
      <c r="E3" s="14">
        <v>0</v>
      </c>
    </row>
    <row r="4" spans="1:5" x14ac:dyDescent="0.35">
      <c r="A4">
        <v>7</v>
      </c>
      <c r="B4" s="14">
        <v>0.4</v>
      </c>
      <c r="C4" s="14">
        <v>0.33783783783783783</v>
      </c>
      <c r="D4" s="14">
        <v>0.29940119760479045</v>
      </c>
      <c r="E4" s="14">
        <v>0</v>
      </c>
    </row>
    <row r="5" spans="1:5" x14ac:dyDescent="0.35">
      <c r="A5">
        <v>10</v>
      </c>
      <c r="B5" s="14">
        <v>0</v>
      </c>
      <c r="C5" s="14">
        <v>0.67567567567567566</v>
      </c>
      <c r="D5" s="14">
        <v>0</v>
      </c>
      <c r="E5" s="14">
        <v>0</v>
      </c>
    </row>
    <row r="6" spans="1:5" x14ac:dyDescent="0.35">
      <c r="A6">
        <v>14</v>
      </c>
      <c r="B6" s="14">
        <v>0</v>
      </c>
      <c r="C6" s="14">
        <v>0</v>
      </c>
      <c r="D6" s="14">
        <v>0.69930069930069927</v>
      </c>
      <c r="E6" s="14">
        <v>0</v>
      </c>
    </row>
    <row r="7" spans="1:5" x14ac:dyDescent="0.35">
      <c r="A7">
        <v>21</v>
      </c>
      <c r="B7" s="14">
        <v>0</v>
      </c>
      <c r="C7" s="14">
        <v>0</v>
      </c>
      <c r="D7" s="14">
        <v>0</v>
      </c>
      <c r="E7" s="14">
        <v>0</v>
      </c>
    </row>
    <row r="8" spans="1:5" x14ac:dyDescent="0.35">
      <c r="A8">
        <v>28</v>
      </c>
      <c r="B8" s="14">
        <v>0</v>
      </c>
      <c r="C8" s="14">
        <v>1.3215859030837005</v>
      </c>
      <c r="D8" s="14">
        <v>4.4534412955465585</v>
      </c>
      <c r="E8" s="14">
        <v>1.5151515151515151</v>
      </c>
    </row>
    <row r="9" spans="1:5" x14ac:dyDescent="0.35">
      <c r="A9">
        <v>35</v>
      </c>
      <c r="B9" s="14">
        <v>1.4634146341463417</v>
      </c>
      <c r="C9" s="14">
        <v>3.9548022598870061</v>
      </c>
      <c r="D9" s="14">
        <v>4.2553191489361701</v>
      </c>
      <c r="E9" s="14">
        <v>3.2432432432432434</v>
      </c>
    </row>
    <row r="10" spans="1:5" x14ac:dyDescent="0.35">
      <c r="A10">
        <v>42</v>
      </c>
      <c r="B10" s="14">
        <v>1.680672268907563</v>
      </c>
      <c r="C10" s="14">
        <v>1.3698630136986301</v>
      </c>
      <c r="D10" s="14">
        <v>0.86956521739130432</v>
      </c>
      <c r="E10" s="14">
        <v>3.763440860215054</v>
      </c>
    </row>
    <row r="11" spans="1:5" x14ac:dyDescent="0.35">
      <c r="A11">
        <v>49</v>
      </c>
      <c r="B11" s="14">
        <v>1.5267175572519083</v>
      </c>
      <c r="C11" s="14">
        <v>2.9197080291970803</v>
      </c>
      <c r="D11" s="14">
        <v>8.5271317829457356</v>
      </c>
      <c r="E11" s="14">
        <v>6.1855670103092786</v>
      </c>
    </row>
    <row r="12" spans="1:5" x14ac:dyDescent="0.35">
      <c r="A12">
        <v>56</v>
      </c>
      <c r="B12" s="14">
        <v>4.3010752688172049</v>
      </c>
      <c r="C12" s="14">
        <v>8.5470085470085468</v>
      </c>
      <c r="D12" s="14">
        <v>2.1428571428571428</v>
      </c>
      <c r="E12" s="14">
        <v>5.8823529411764701</v>
      </c>
    </row>
    <row r="13" spans="1:5" x14ac:dyDescent="0.35">
      <c r="A13">
        <v>63</v>
      </c>
      <c r="B13" s="14">
        <v>8.0357142857142865</v>
      </c>
      <c r="C13" s="14">
        <v>11.016949152542372</v>
      </c>
      <c r="D13" s="14">
        <v>13.756613756613756</v>
      </c>
      <c r="E13" s="14">
        <v>10.362694300518134</v>
      </c>
    </row>
    <row r="14" spans="1:5" x14ac:dyDescent="0.35">
      <c r="A14">
        <v>70</v>
      </c>
      <c r="B14" s="14">
        <v>4.5454545454545459</v>
      </c>
      <c r="C14" s="14">
        <v>19.852941176470587</v>
      </c>
      <c r="D14" s="14">
        <v>21.857923497267759</v>
      </c>
      <c r="E14" s="14">
        <v>14.367816091954023</v>
      </c>
    </row>
    <row r="15" spans="1:5" x14ac:dyDescent="0.35">
      <c r="A15">
        <v>77</v>
      </c>
      <c r="B15" s="14">
        <v>11.656441717791409</v>
      </c>
      <c r="C15" s="14">
        <v>7.0652173913043477</v>
      </c>
      <c r="D15" s="14">
        <v>22</v>
      </c>
      <c r="E15" s="14">
        <v>18.617021276595743</v>
      </c>
    </row>
    <row r="16" spans="1:5" x14ac:dyDescent="0.35">
      <c r="A16">
        <v>86</v>
      </c>
      <c r="B16" s="14">
        <v>1.9867549668874174</v>
      </c>
      <c r="C16" s="14">
        <v>5.4054054054054053</v>
      </c>
      <c r="D16" s="14">
        <v>13.815789473684212</v>
      </c>
      <c r="E16" s="14">
        <v>2.6190476190476191</v>
      </c>
    </row>
    <row r="17" spans="1:5" x14ac:dyDescent="0.35">
      <c r="A17">
        <v>98</v>
      </c>
      <c r="B17" s="14">
        <v>21.875</v>
      </c>
      <c r="C17" s="14">
        <v>19.424460431654676</v>
      </c>
      <c r="D17" s="14">
        <v>10.526315789473683</v>
      </c>
      <c r="E17" s="14">
        <v>9.7142857142857135</v>
      </c>
    </row>
    <row r="18" spans="1:5" x14ac:dyDescent="0.35">
      <c r="A18">
        <v>105</v>
      </c>
      <c r="B18" s="14">
        <v>13.178294573643413</v>
      </c>
      <c r="C18" s="14">
        <v>16.447368421052634</v>
      </c>
      <c r="D18" s="14">
        <v>13.23529411764706</v>
      </c>
      <c r="E18" s="14">
        <v>1.1428571428571428</v>
      </c>
    </row>
    <row r="19" spans="1:5" x14ac:dyDescent="0.35">
      <c r="A19">
        <v>112</v>
      </c>
      <c r="B19" s="14">
        <v>11.363636363636363</v>
      </c>
      <c r="C19" s="14">
        <v>17.592592592592592</v>
      </c>
      <c r="D19" s="14">
        <v>8.5626911314984699</v>
      </c>
      <c r="E19" s="14">
        <v>3.5087719298245612</v>
      </c>
    </row>
    <row r="20" spans="1:5" x14ac:dyDescent="0.35">
      <c r="A20">
        <v>119</v>
      </c>
      <c r="B20" s="14">
        <v>9.9290780141843982</v>
      </c>
      <c r="C20" s="14">
        <v>13.559322033898304</v>
      </c>
      <c r="D20" s="14">
        <v>1.6949152542372881</v>
      </c>
      <c r="E20" s="14">
        <v>1.834862385321101</v>
      </c>
    </row>
    <row r="21" spans="1:5" x14ac:dyDescent="0.35">
      <c r="A21">
        <v>126</v>
      </c>
      <c r="B21" s="14">
        <v>17.894736842105264</v>
      </c>
      <c r="C21" s="14">
        <v>14.553990610328638</v>
      </c>
      <c r="D21" s="14">
        <v>3.1496062992125982</v>
      </c>
      <c r="E21" s="14">
        <v>0</v>
      </c>
    </row>
    <row r="22" spans="1:5" x14ac:dyDescent="0.35">
      <c r="A22">
        <v>133</v>
      </c>
      <c r="B22" s="14">
        <v>14.399999999999999</v>
      </c>
      <c r="C22" s="14">
        <v>18.134715025906736</v>
      </c>
      <c r="D22" s="14">
        <v>1.0752688172043012</v>
      </c>
      <c r="E22" s="14">
        <v>0.60240963855421692</v>
      </c>
    </row>
    <row r="23" spans="1:5" x14ac:dyDescent="0.35">
      <c r="A23">
        <v>140</v>
      </c>
      <c r="B23" s="14">
        <v>22.834645669291341</v>
      </c>
      <c r="C23" s="14">
        <v>17.424242424242426</v>
      </c>
      <c r="D23" s="14">
        <v>0.70422535211267612</v>
      </c>
      <c r="E23" s="14">
        <v>0.53763440860215062</v>
      </c>
    </row>
    <row r="24" spans="1:5" x14ac:dyDescent="0.35">
      <c r="A24">
        <v>147</v>
      </c>
      <c r="B24" s="14">
        <v>18.681318681318682</v>
      </c>
      <c r="C24" s="14">
        <v>12.5</v>
      </c>
      <c r="D24" s="14">
        <v>1.5873015873015872</v>
      </c>
      <c r="E24" s="14">
        <v>0.70921985815602839</v>
      </c>
    </row>
    <row r="25" spans="1:5" x14ac:dyDescent="0.35">
      <c r="A25">
        <v>154</v>
      </c>
      <c r="B25" s="14">
        <v>13.20754716981132</v>
      </c>
      <c r="C25" s="14">
        <v>8.3720930232558146</v>
      </c>
      <c r="D25" s="14">
        <v>2.6315789473684208</v>
      </c>
      <c r="E25" s="14">
        <v>1.1834319526627219</v>
      </c>
    </row>
    <row r="26" spans="1:5" x14ac:dyDescent="0.35">
      <c r="A26">
        <v>161</v>
      </c>
      <c r="B26" s="14">
        <v>27</v>
      </c>
      <c r="C26" s="14">
        <v>6.1433447098976108</v>
      </c>
      <c r="D26" s="14">
        <v>1.4354066985645932</v>
      </c>
      <c r="E26" s="14">
        <v>1.5706806282722512</v>
      </c>
    </row>
    <row r="27" spans="1:5" x14ac:dyDescent="0.35">
      <c r="A27">
        <v>169</v>
      </c>
      <c r="B27" s="14">
        <v>20.454545454545457</v>
      </c>
      <c r="C27" s="14">
        <v>7.7348066298342539</v>
      </c>
      <c r="D27" s="14">
        <v>0</v>
      </c>
      <c r="E27" s="14">
        <v>0.79365079365079361</v>
      </c>
    </row>
    <row r="28" spans="1:5" x14ac:dyDescent="0.35">
      <c r="A28">
        <v>175</v>
      </c>
      <c r="B28" s="14">
        <v>19.642857142857142</v>
      </c>
      <c r="C28" s="14">
        <v>5.8139534883720927</v>
      </c>
      <c r="D28" s="14">
        <v>0.40322580645161288</v>
      </c>
      <c r="E28" s="14">
        <v>0</v>
      </c>
    </row>
    <row r="29" spans="1:5" x14ac:dyDescent="0.35">
      <c r="A29">
        <v>182</v>
      </c>
      <c r="B29" s="14">
        <v>21.29032258064516</v>
      </c>
      <c r="C29" s="14">
        <v>8.1967213114754092</v>
      </c>
      <c r="D29" s="14">
        <v>0</v>
      </c>
      <c r="E29" s="14">
        <v>1.0526315789473684</v>
      </c>
    </row>
    <row r="30" spans="1:5" x14ac:dyDescent="0.35">
      <c r="A30">
        <v>189</v>
      </c>
      <c r="B30" s="14">
        <v>17.714285714285712</v>
      </c>
      <c r="C30" s="14">
        <v>3.2520325203252036</v>
      </c>
      <c r="D30" s="14">
        <v>1.4218009478672986</v>
      </c>
      <c r="E30" s="14">
        <v>1.1320754716981132</v>
      </c>
    </row>
    <row r="31" spans="1:5" x14ac:dyDescent="0.35">
      <c r="A31">
        <v>196</v>
      </c>
      <c r="B31" s="14">
        <v>14.492753623188406</v>
      </c>
      <c r="C31" s="14">
        <v>2.1834061135371177</v>
      </c>
      <c r="D31" s="14">
        <v>1.3824884792626728</v>
      </c>
      <c r="E31" s="14">
        <v>0.95846645367412142</v>
      </c>
    </row>
    <row r="32" spans="1:5" x14ac:dyDescent="0.35">
      <c r="A32">
        <v>203</v>
      </c>
      <c r="B32" s="14">
        <v>6.25</v>
      </c>
      <c r="C32" s="14">
        <v>0.68965517241379315</v>
      </c>
      <c r="D32" s="14">
        <v>0</v>
      </c>
      <c r="E32" s="14">
        <v>0.50505050505050508</v>
      </c>
    </row>
    <row r="33" spans="1:5" x14ac:dyDescent="0.35">
      <c r="A33">
        <v>210</v>
      </c>
      <c r="B33" s="14">
        <v>11.904761904761903</v>
      </c>
      <c r="C33" s="14">
        <v>2.9962546816479403</v>
      </c>
      <c r="D33" s="14">
        <v>0</v>
      </c>
      <c r="E33" s="14">
        <v>0.27027027027027029</v>
      </c>
    </row>
    <row r="34" spans="1:5" x14ac:dyDescent="0.35">
      <c r="A34">
        <v>216</v>
      </c>
      <c r="B34" s="14">
        <v>5.5970149253731343</v>
      </c>
      <c r="C34" s="14">
        <v>3.6290322580645165</v>
      </c>
      <c r="D34" s="14">
        <v>2.0491803278688523</v>
      </c>
      <c r="E34" s="14">
        <v>2.2727272727272729</v>
      </c>
    </row>
    <row r="35" spans="1:5" x14ac:dyDescent="0.35">
      <c r="A35">
        <v>223</v>
      </c>
      <c r="B35" s="14">
        <v>1.5444015444015444</v>
      </c>
      <c r="C35" s="14">
        <v>2.0689655172413794</v>
      </c>
      <c r="D35" s="14">
        <v>1.9553072625698324</v>
      </c>
      <c r="E35" s="14">
        <v>1.0040160642570282</v>
      </c>
    </row>
    <row r="36" spans="1:5" x14ac:dyDescent="0.35">
      <c r="A36">
        <v>230</v>
      </c>
      <c r="B36" s="14">
        <v>0.84033613445378152</v>
      </c>
      <c r="C36" s="14">
        <v>0.68259385665529015</v>
      </c>
      <c r="D36" s="14">
        <v>2.610966057441253</v>
      </c>
      <c r="E36" s="14">
        <v>0.82644628099173556</v>
      </c>
    </row>
    <row r="37" spans="1:5" x14ac:dyDescent="0.35">
      <c r="A37">
        <v>236</v>
      </c>
      <c r="B37" s="14">
        <v>2.0779220779220777</v>
      </c>
      <c r="C37" s="14">
        <v>3.0303030303030303</v>
      </c>
      <c r="D37" s="14">
        <v>1.6949152542372881</v>
      </c>
      <c r="E37" s="14">
        <v>2.1739130434782608</v>
      </c>
    </row>
    <row r="38" spans="1:5" x14ac:dyDescent="0.35">
      <c r="A38">
        <v>243</v>
      </c>
      <c r="B38" s="14">
        <v>1.0356731875719216</v>
      </c>
      <c r="C38" s="14">
        <v>3.3980582524271843</v>
      </c>
      <c r="D38" s="14">
        <v>6.1643835616438354</v>
      </c>
      <c r="E38" s="14">
        <v>1.4634146341463417</v>
      </c>
    </row>
    <row r="39" spans="1:5" x14ac:dyDescent="0.35">
      <c r="A39">
        <v>250</v>
      </c>
      <c r="B39" s="14">
        <v>2.6825633383010432</v>
      </c>
      <c r="C39" s="14">
        <v>2.0512820512820511</v>
      </c>
      <c r="D39" s="14">
        <v>1.9736842105263157</v>
      </c>
      <c r="E39" s="14">
        <v>2.2448979591836733</v>
      </c>
    </row>
    <row r="40" spans="1:5" x14ac:dyDescent="0.35">
      <c r="A40">
        <v>257</v>
      </c>
      <c r="B40" s="14">
        <v>8.59375</v>
      </c>
      <c r="C40" s="14">
        <v>2.4038461538461542</v>
      </c>
      <c r="D40" s="14">
        <v>3.2544378698224854</v>
      </c>
      <c r="E40" s="14">
        <v>2.7139874739039667</v>
      </c>
    </row>
    <row r="41" spans="1:5" x14ac:dyDescent="0.35">
      <c r="A41">
        <v>264</v>
      </c>
      <c r="B41" s="14">
        <v>1.8315018315018317</v>
      </c>
      <c r="C41" s="14">
        <v>0.39370078740157477</v>
      </c>
      <c r="D41" s="14">
        <v>0.66225165562913912</v>
      </c>
      <c r="E41" s="14">
        <v>0.41152263374485598</v>
      </c>
    </row>
    <row r="42" spans="1:5" x14ac:dyDescent="0.35">
      <c r="A42">
        <v>270</v>
      </c>
      <c r="B42" s="14">
        <v>2.1739130434782608</v>
      </c>
      <c r="C42" s="14">
        <v>0</v>
      </c>
      <c r="D42" s="14">
        <v>0.50505050505050508</v>
      </c>
      <c r="E42" s="14">
        <v>0.65502183406113534</v>
      </c>
    </row>
    <row r="43" spans="1:5" x14ac:dyDescent="0.35">
      <c r="A43">
        <v>277</v>
      </c>
      <c r="B43" s="14">
        <v>2.0979020979020979</v>
      </c>
      <c r="C43" s="14">
        <v>0</v>
      </c>
      <c r="D43" s="14">
        <v>0</v>
      </c>
      <c r="E43" s="14">
        <v>0.53475935828876997</v>
      </c>
    </row>
    <row r="44" spans="1:5" x14ac:dyDescent="0.35">
      <c r="A44">
        <v>284</v>
      </c>
      <c r="B44" s="14">
        <v>1.0362694300518136</v>
      </c>
      <c r="C44" s="14">
        <v>0</v>
      </c>
      <c r="D44" s="14">
        <v>0</v>
      </c>
      <c r="E44" s="14">
        <v>0</v>
      </c>
    </row>
    <row r="45" spans="1:5" x14ac:dyDescent="0.35">
      <c r="A45">
        <v>291</v>
      </c>
      <c r="B45" s="14">
        <v>0.56497175141242939</v>
      </c>
      <c r="C45" s="14">
        <v>0</v>
      </c>
      <c r="D45" s="14">
        <v>0</v>
      </c>
      <c r="E45" s="14">
        <v>0</v>
      </c>
    </row>
    <row r="46" spans="1:5" x14ac:dyDescent="0.35">
      <c r="A46">
        <v>299</v>
      </c>
      <c r="B46" s="14">
        <v>0.64516129032258063</v>
      </c>
      <c r="C46" s="14">
        <v>0</v>
      </c>
      <c r="D46" s="14">
        <v>0</v>
      </c>
      <c r="E46" s="14">
        <v>0.17809439002671415</v>
      </c>
    </row>
    <row r="47" spans="1:5" x14ac:dyDescent="0.35">
      <c r="A47">
        <v>306</v>
      </c>
      <c r="B47" s="14">
        <v>0</v>
      </c>
      <c r="C47" s="14">
        <v>0.71599045346062051</v>
      </c>
      <c r="D47" s="14">
        <v>0.20576131687242799</v>
      </c>
      <c r="E47" s="14">
        <v>0.49504950495049505</v>
      </c>
    </row>
    <row r="48" spans="1:5" x14ac:dyDescent="0.35">
      <c r="A48">
        <v>313</v>
      </c>
      <c r="B48" s="14">
        <v>0.65359477124183007</v>
      </c>
      <c r="C48" s="14">
        <v>0</v>
      </c>
      <c r="D48" s="14">
        <v>0.2808988764044944</v>
      </c>
      <c r="E48" s="14">
        <v>0.84507042253521114</v>
      </c>
    </row>
    <row r="49" spans="1:5" x14ac:dyDescent="0.35">
      <c r="A49">
        <v>320</v>
      </c>
      <c r="B49" s="14">
        <v>0</v>
      </c>
      <c r="C49" s="14">
        <v>0</v>
      </c>
      <c r="D49" s="14">
        <v>0</v>
      </c>
      <c r="E49" s="14">
        <v>0.28818443804034583</v>
      </c>
    </row>
    <row r="50" spans="1:5" x14ac:dyDescent="0.35">
      <c r="A50">
        <v>327</v>
      </c>
      <c r="B50" s="14">
        <v>0</v>
      </c>
      <c r="C50" s="14">
        <v>0.69930069930069927</v>
      </c>
      <c r="D50" s="14">
        <v>0.41841004184100417</v>
      </c>
      <c r="E50" s="14">
        <v>0.20790020790020791</v>
      </c>
    </row>
    <row r="51" spans="1:5" x14ac:dyDescent="0.35">
      <c r="A51">
        <v>334</v>
      </c>
      <c r="B51" s="14">
        <v>0</v>
      </c>
      <c r="C51" s="14">
        <v>0.42553191489361702</v>
      </c>
      <c r="D51" s="14">
        <v>0</v>
      </c>
      <c r="E51" s="14">
        <v>0</v>
      </c>
    </row>
    <row r="52" spans="1:5" x14ac:dyDescent="0.35">
      <c r="A52">
        <v>343</v>
      </c>
      <c r="B52" s="14">
        <v>0</v>
      </c>
      <c r="C52" s="14">
        <v>0</v>
      </c>
      <c r="D52" s="14">
        <v>0.72859744990892528</v>
      </c>
      <c r="E52" s="14">
        <v>0</v>
      </c>
    </row>
    <row r="53" spans="1:5" x14ac:dyDescent="0.35">
      <c r="A53">
        <v>348</v>
      </c>
      <c r="B53" s="14">
        <v>0</v>
      </c>
      <c r="C53" s="14">
        <v>0.47619047619047622</v>
      </c>
      <c r="D53" s="14">
        <v>0</v>
      </c>
      <c r="E53" s="14">
        <v>0</v>
      </c>
    </row>
    <row r="54" spans="1:5" x14ac:dyDescent="0.35">
      <c r="A54">
        <v>355</v>
      </c>
      <c r="B54" s="14">
        <v>0.14947683109118087</v>
      </c>
      <c r="C54" s="14">
        <v>0.1564945226917058</v>
      </c>
      <c r="D54" s="14">
        <v>0.14814814814814814</v>
      </c>
      <c r="E54" s="14">
        <v>0.19267822736030829</v>
      </c>
    </row>
    <row r="55" spans="1:5" x14ac:dyDescent="0.35">
      <c r="A55">
        <v>363</v>
      </c>
      <c r="B55" s="14">
        <v>0</v>
      </c>
      <c r="C55" s="14">
        <v>0</v>
      </c>
      <c r="D55" s="14">
        <v>0</v>
      </c>
      <c r="E55" s="14">
        <v>0</v>
      </c>
    </row>
    <row r="56" spans="1:5" x14ac:dyDescent="0.35">
      <c r="A56">
        <v>369</v>
      </c>
      <c r="B56" s="14">
        <v>0.67114093959731547</v>
      </c>
      <c r="C56" s="14">
        <v>0</v>
      </c>
      <c r="D56" s="14">
        <v>0</v>
      </c>
      <c r="E56" s="14">
        <v>1.4492753623188406</v>
      </c>
    </row>
    <row r="57" spans="1:5" x14ac:dyDescent="0.35">
      <c r="A57">
        <v>376</v>
      </c>
      <c r="B57" s="14">
        <v>0</v>
      </c>
      <c r="C57" s="14">
        <v>0</v>
      </c>
      <c r="D57" s="14">
        <v>0.1295336787564767</v>
      </c>
      <c r="E57" s="14">
        <v>0.27247956403269752</v>
      </c>
    </row>
    <row r="58" spans="1:5" x14ac:dyDescent="0.35">
      <c r="A58">
        <v>383</v>
      </c>
      <c r="B58" s="14">
        <v>0</v>
      </c>
      <c r="C58" s="14">
        <v>0</v>
      </c>
      <c r="D58" s="14">
        <v>0</v>
      </c>
      <c r="E58" s="14">
        <v>0.43668122270742354</v>
      </c>
    </row>
    <row r="59" spans="1:5" x14ac:dyDescent="0.35">
      <c r="A59">
        <v>390</v>
      </c>
      <c r="B59" s="14">
        <v>0</v>
      </c>
      <c r="C59" s="14">
        <v>0</v>
      </c>
      <c r="D59" s="14">
        <v>0</v>
      </c>
      <c r="E59" s="14">
        <v>0</v>
      </c>
    </row>
    <row r="60" spans="1:5" x14ac:dyDescent="0.35">
      <c r="A60">
        <v>398</v>
      </c>
      <c r="B60" s="14">
        <v>0</v>
      </c>
      <c r="C60" s="14">
        <v>0</v>
      </c>
      <c r="D60" s="14">
        <v>0</v>
      </c>
      <c r="E60" s="14">
        <v>0.13227513227513227</v>
      </c>
    </row>
    <row r="61" spans="1:5" x14ac:dyDescent="0.35">
      <c r="A61">
        <v>404</v>
      </c>
      <c r="B61" s="14">
        <v>0</v>
      </c>
      <c r="C61" s="14">
        <v>0</v>
      </c>
      <c r="D61" s="14">
        <v>0</v>
      </c>
      <c r="E61" s="14">
        <v>0.20449897750511251</v>
      </c>
    </row>
    <row r="62" spans="1:5" x14ac:dyDescent="0.35">
      <c r="A62">
        <v>411</v>
      </c>
      <c r="B62" s="14">
        <v>9.3457943925233655E-2</v>
      </c>
      <c r="C62" s="14">
        <v>0</v>
      </c>
      <c r="D62" s="14">
        <v>0</v>
      </c>
      <c r="E62" s="14">
        <v>0</v>
      </c>
    </row>
    <row r="63" spans="1:5" x14ac:dyDescent="0.35">
      <c r="A63">
        <v>418</v>
      </c>
      <c r="B63" s="14">
        <v>0</v>
      </c>
      <c r="C63" s="14">
        <v>0</v>
      </c>
      <c r="D63" s="14">
        <v>0</v>
      </c>
      <c r="E63" s="14">
        <v>0.99502487562189057</v>
      </c>
    </row>
    <row r="64" spans="1:5" x14ac:dyDescent="0.35">
      <c r="A64">
        <v>425</v>
      </c>
      <c r="B64" s="14">
        <v>0.3401360544217687</v>
      </c>
      <c r="C64" s="14">
        <v>0</v>
      </c>
      <c r="D64" s="14">
        <v>0</v>
      </c>
      <c r="E64" s="14">
        <v>0</v>
      </c>
    </row>
    <row r="65" spans="1:5" x14ac:dyDescent="0.35">
      <c r="A65">
        <v>432</v>
      </c>
      <c r="B65" s="14">
        <v>0</v>
      </c>
      <c r="C65" s="14">
        <v>0</v>
      </c>
      <c r="D65" s="14">
        <v>0</v>
      </c>
      <c r="E65" s="14">
        <v>0</v>
      </c>
    </row>
    <row r="66" spans="1:5" x14ac:dyDescent="0.35">
      <c r="A66">
        <v>439</v>
      </c>
      <c r="B66" s="14">
        <v>0</v>
      </c>
      <c r="C66" s="14">
        <v>0</v>
      </c>
      <c r="D66" s="14">
        <v>0</v>
      </c>
      <c r="E66" s="14">
        <v>0</v>
      </c>
    </row>
    <row r="67" spans="1:5" x14ac:dyDescent="0.35">
      <c r="A67">
        <v>445</v>
      </c>
      <c r="B67" s="14">
        <v>0.51282051282051277</v>
      </c>
      <c r="C67" s="14">
        <v>0</v>
      </c>
      <c r="D67" s="14">
        <v>0</v>
      </c>
      <c r="E67" s="14">
        <v>0</v>
      </c>
    </row>
    <row r="68" spans="1:5" x14ac:dyDescent="0.35">
      <c r="A68">
        <v>452</v>
      </c>
      <c r="B68" s="14">
        <v>0</v>
      </c>
      <c r="C68" s="14">
        <v>0</v>
      </c>
      <c r="D68" s="14">
        <v>0</v>
      </c>
      <c r="E68" s="14">
        <v>0</v>
      </c>
    </row>
    <row r="69" spans="1:5" x14ac:dyDescent="0.35">
      <c r="A69">
        <v>460</v>
      </c>
      <c r="B69" s="14">
        <v>0</v>
      </c>
      <c r="C69" s="14">
        <v>0</v>
      </c>
      <c r="D69" s="14">
        <v>0</v>
      </c>
      <c r="E69" s="14">
        <v>0.16420361247947454</v>
      </c>
    </row>
    <row r="70" spans="1:5" x14ac:dyDescent="0.35">
      <c r="A70">
        <v>466</v>
      </c>
      <c r="B70" s="14">
        <v>0</v>
      </c>
      <c r="C70" s="14">
        <v>0</v>
      </c>
      <c r="D70" s="14">
        <v>0</v>
      </c>
      <c r="E70" s="14">
        <v>0</v>
      </c>
    </row>
    <row r="71" spans="1:5" x14ac:dyDescent="0.35">
      <c r="A71">
        <v>473</v>
      </c>
      <c r="B71" s="14">
        <v>0</v>
      </c>
      <c r="C71" s="14">
        <v>0</v>
      </c>
      <c r="D71" s="14">
        <v>9.3109869646182494E-2</v>
      </c>
      <c r="E71" s="14">
        <v>0</v>
      </c>
    </row>
    <row r="72" spans="1:5" x14ac:dyDescent="0.35">
      <c r="A72">
        <v>480</v>
      </c>
      <c r="B72" s="14">
        <v>0</v>
      </c>
      <c r="C72" s="14">
        <v>0</v>
      </c>
      <c r="D72" s="14">
        <v>0</v>
      </c>
      <c r="E72" s="14">
        <v>0</v>
      </c>
    </row>
    <row r="73" spans="1:5" x14ac:dyDescent="0.35">
      <c r="A73">
        <v>487</v>
      </c>
      <c r="B73" s="14">
        <v>0</v>
      </c>
      <c r="C73" s="14">
        <v>0</v>
      </c>
      <c r="D73" s="14">
        <v>0</v>
      </c>
      <c r="E73" s="14">
        <v>0</v>
      </c>
    </row>
    <row r="74" spans="1:5" x14ac:dyDescent="0.35">
      <c r="A74">
        <v>494</v>
      </c>
      <c r="B74" s="14">
        <v>0</v>
      </c>
      <c r="C74" s="14">
        <v>0</v>
      </c>
      <c r="D74" s="14">
        <v>0</v>
      </c>
      <c r="E74" s="14">
        <v>0</v>
      </c>
    </row>
    <row r="75" spans="1:5" x14ac:dyDescent="0.35">
      <c r="A75">
        <v>501</v>
      </c>
      <c r="B75" s="14">
        <v>0</v>
      </c>
      <c r="C75" s="14">
        <v>0.30303030303030304</v>
      </c>
      <c r="D75" s="14">
        <v>0</v>
      </c>
      <c r="E75" s="14">
        <v>0</v>
      </c>
    </row>
    <row r="76" spans="1:5" x14ac:dyDescent="0.35">
      <c r="A76">
        <v>508</v>
      </c>
      <c r="B76" s="14">
        <v>0</v>
      </c>
      <c r="C76" s="14">
        <v>0</v>
      </c>
      <c r="D76" s="14">
        <v>0</v>
      </c>
      <c r="E76" s="14">
        <v>0</v>
      </c>
    </row>
    <row r="77" spans="1:5" x14ac:dyDescent="0.35">
      <c r="A77">
        <v>515</v>
      </c>
      <c r="B77" s="14">
        <v>0</v>
      </c>
      <c r="C77" s="14">
        <v>0</v>
      </c>
      <c r="D77" s="14">
        <v>0</v>
      </c>
      <c r="E77" s="14">
        <v>0</v>
      </c>
    </row>
    <row r="78" spans="1:5" x14ac:dyDescent="0.35">
      <c r="A78">
        <v>522</v>
      </c>
      <c r="B78" s="14">
        <v>0</v>
      </c>
      <c r="C78" s="14">
        <v>0</v>
      </c>
      <c r="D78" s="14">
        <v>0</v>
      </c>
      <c r="E78" s="14">
        <v>0</v>
      </c>
    </row>
    <row r="79" spans="1:5" x14ac:dyDescent="0.35">
      <c r="A79">
        <v>529</v>
      </c>
      <c r="B79" s="14">
        <v>0</v>
      </c>
      <c r="C79" s="14">
        <v>0</v>
      </c>
      <c r="D79" s="14">
        <v>0</v>
      </c>
      <c r="E79" s="14">
        <v>0</v>
      </c>
    </row>
    <row r="80" spans="1:5" x14ac:dyDescent="0.35">
      <c r="A80">
        <v>536</v>
      </c>
      <c r="B80" s="14">
        <v>0</v>
      </c>
      <c r="C80" s="14">
        <v>0</v>
      </c>
      <c r="D80" s="14">
        <v>0</v>
      </c>
      <c r="E80" s="14">
        <v>0</v>
      </c>
    </row>
    <row r="81" spans="1:5" x14ac:dyDescent="0.35">
      <c r="A81">
        <v>543</v>
      </c>
      <c r="B81" s="14">
        <v>0</v>
      </c>
      <c r="C81" s="14">
        <v>0</v>
      </c>
      <c r="D81" s="14">
        <v>0</v>
      </c>
      <c r="E81" s="14">
        <v>0</v>
      </c>
    </row>
    <row r="82" spans="1:5" x14ac:dyDescent="0.35">
      <c r="A82">
        <v>550</v>
      </c>
      <c r="B82" s="14">
        <v>0.19047619047619047</v>
      </c>
      <c r="C82" s="14">
        <v>0</v>
      </c>
      <c r="D82" s="14">
        <v>0</v>
      </c>
      <c r="E82" s="14">
        <v>0</v>
      </c>
    </row>
    <row r="83" spans="1:5" x14ac:dyDescent="0.35">
      <c r="A83">
        <v>557</v>
      </c>
      <c r="B83" s="14">
        <v>0</v>
      </c>
      <c r="C83" s="14">
        <v>0</v>
      </c>
      <c r="D83" s="14">
        <v>0</v>
      </c>
      <c r="E83" s="14">
        <v>0</v>
      </c>
    </row>
    <row r="84" spans="1:5" x14ac:dyDescent="0.35">
      <c r="A84">
        <v>564</v>
      </c>
      <c r="B84" s="14">
        <v>0</v>
      </c>
      <c r="C84" s="14">
        <v>0</v>
      </c>
      <c r="D84" s="14">
        <v>0</v>
      </c>
      <c r="E84" s="14">
        <v>0</v>
      </c>
    </row>
    <row r="85" spans="1:5" x14ac:dyDescent="0.35">
      <c r="A85">
        <v>572</v>
      </c>
      <c r="B85" s="14">
        <v>0</v>
      </c>
      <c r="C85" s="14">
        <v>0</v>
      </c>
      <c r="D85" s="14">
        <v>0</v>
      </c>
      <c r="E85" s="14">
        <v>0</v>
      </c>
    </row>
    <row r="86" spans="1:5" x14ac:dyDescent="0.35">
      <c r="A86">
        <v>578</v>
      </c>
      <c r="B86" s="14">
        <v>0</v>
      </c>
      <c r="C86" s="14">
        <v>0.2364066193853428</v>
      </c>
      <c r="D86" s="14">
        <v>0</v>
      </c>
      <c r="E86" s="14">
        <v>0</v>
      </c>
    </row>
    <row r="87" spans="1:5" x14ac:dyDescent="0.35">
      <c r="A87">
        <v>584</v>
      </c>
      <c r="B87" s="14">
        <v>0</v>
      </c>
      <c r="C87" s="14">
        <v>0</v>
      </c>
      <c r="D87" s="14">
        <v>0</v>
      </c>
      <c r="E87" s="14">
        <v>0</v>
      </c>
    </row>
    <row r="88" spans="1:5" x14ac:dyDescent="0.35">
      <c r="A88">
        <v>592</v>
      </c>
      <c r="B88" s="14">
        <v>0</v>
      </c>
      <c r="C88" s="14">
        <v>0</v>
      </c>
      <c r="D88" s="14">
        <v>0</v>
      </c>
      <c r="E88" s="14">
        <v>0</v>
      </c>
    </row>
    <row r="89" spans="1:5" x14ac:dyDescent="0.35">
      <c r="A89">
        <v>598</v>
      </c>
      <c r="B89" s="14">
        <v>0.23529411764705879</v>
      </c>
      <c r="C89" s="14">
        <v>0</v>
      </c>
      <c r="D89" s="14">
        <v>0</v>
      </c>
      <c r="E89" s="14">
        <v>0</v>
      </c>
    </row>
    <row r="90" spans="1:5" x14ac:dyDescent="0.35">
      <c r="A90">
        <v>606</v>
      </c>
      <c r="B90" s="14">
        <v>0</v>
      </c>
      <c r="C90" s="14">
        <v>0</v>
      </c>
      <c r="D90" s="14">
        <v>0</v>
      </c>
      <c r="E90" s="14">
        <v>0</v>
      </c>
    </row>
    <row r="91" spans="1:5" x14ac:dyDescent="0.35">
      <c r="A91">
        <v>612</v>
      </c>
      <c r="B91" s="14">
        <v>0</v>
      </c>
      <c r="C91" s="14">
        <v>0</v>
      </c>
      <c r="D91" s="14">
        <v>0</v>
      </c>
      <c r="E91" s="14">
        <v>0</v>
      </c>
    </row>
    <row r="92" spans="1:5" x14ac:dyDescent="0.35">
      <c r="A92">
        <v>619</v>
      </c>
      <c r="B92" s="14">
        <v>0</v>
      </c>
      <c r="C92" s="14">
        <v>0</v>
      </c>
      <c r="D92" s="14">
        <v>0</v>
      </c>
      <c r="E92" s="14">
        <v>0</v>
      </c>
    </row>
    <row r="93" spans="1:5" x14ac:dyDescent="0.35">
      <c r="A93">
        <v>626</v>
      </c>
      <c r="B93" s="14">
        <v>0</v>
      </c>
      <c r="C93" s="14">
        <v>0</v>
      </c>
      <c r="D93" s="14">
        <v>0</v>
      </c>
      <c r="E93" s="14">
        <v>0</v>
      </c>
    </row>
    <row r="94" spans="1:5" x14ac:dyDescent="0.35">
      <c r="A94">
        <v>633</v>
      </c>
      <c r="B94" s="14">
        <v>0</v>
      </c>
      <c r="C94" s="14">
        <v>0</v>
      </c>
      <c r="D94" s="14">
        <v>0</v>
      </c>
      <c r="E94" s="14">
        <v>0</v>
      </c>
    </row>
    <row r="95" spans="1:5" x14ac:dyDescent="0.35">
      <c r="A95">
        <v>640</v>
      </c>
      <c r="B95" s="14">
        <v>0</v>
      </c>
      <c r="C95" s="14">
        <v>0</v>
      </c>
      <c r="D95" s="14">
        <v>0</v>
      </c>
      <c r="E95" s="14">
        <v>0</v>
      </c>
    </row>
    <row r="96" spans="1:5" x14ac:dyDescent="0.35">
      <c r="A96">
        <v>647</v>
      </c>
      <c r="B96" s="14">
        <v>0</v>
      </c>
      <c r="C96" s="14">
        <v>0</v>
      </c>
      <c r="D96" s="14">
        <v>0</v>
      </c>
      <c r="E96" s="14">
        <v>0</v>
      </c>
    </row>
    <row r="97" spans="1:5" x14ac:dyDescent="0.35">
      <c r="A97">
        <v>654</v>
      </c>
      <c r="B97" s="14">
        <v>0</v>
      </c>
      <c r="C97" s="14">
        <v>0</v>
      </c>
      <c r="D97" s="14">
        <v>0</v>
      </c>
      <c r="E97" s="14">
        <v>0</v>
      </c>
    </row>
    <row r="98" spans="1:5" x14ac:dyDescent="0.35">
      <c r="A98">
        <v>661</v>
      </c>
      <c r="B98" s="14">
        <v>0</v>
      </c>
      <c r="C98" s="14">
        <v>0</v>
      </c>
      <c r="D98" s="14">
        <v>0</v>
      </c>
      <c r="E98" s="14">
        <v>0</v>
      </c>
    </row>
    <row r="99" spans="1:5" x14ac:dyDescent="0.35">
      <c r="A99">
        <v>668</v>
      </c>
      <c r="B99" s="14">
        <v>0</v>
      </c>
      <c r="C99" s="14">
        <v>0</v>
      </c>
      <c r="D99" s="14">
        <v>0</v>
      </c>
      <c r="E99" s="14">
        <v>0</v>
      </c>
    </row>
    <row r="100" spans="1:5" x14ac:dyDescent="0.35">
      <c r="A100">
        <v>675</v>
      </c>
      <c r="B100" s="14">
        <v>0</v>
      </c>
      <c r="C100" s="14">
        <v>0</v>
      </c>
      <c r="D100" s="14">
        <v>0</v>
      </c>
      <c r="E100" s="14">
        <v>0</v>
      </c>
    </row>
    <row r="101" spans="1:5" x14ac:dyDescent="0.35">
      <c r="A101">
        <v>682</v>
      </c>
      <c r="B101" s="14">
        <v>0</v>
      </c>
      <c r="C101" s="14">
        <v>0</v>
      </c>
      <c r="D101" s="14">
        <v>0</v>
      </c>
      <c r="E101" s="14">
        <v>0</v>
      </c>
    </row>
    <row r="102" spans="1:5" x14ac:dyDescent="0.35">
      <c r="A102">
        <v>689</v>
      </c>
      <c r="B102" s="14">
        <v>0</v>
      </c>
      <c r="C102" s="14">
        <v>0</v>
      </c>
      <c r="D102" s="14">
        <v>0</v>
      </c>
      <c r="E102" s="14">
        <v>0</v>
      </c>
    </row>
    <row r="103" spans="1:5" x14ac:dyDescent="0.35">
      <c r="A103">
        <v>696</v>
      </c>
      <c r="B103" s="14">
        <v>0</v>
      </c>
      <c r="C103" s="14">
        <v>0</v>
      </c>
      <c r="D103" s="14">
        <v>0</v>
      </c>
      <c r="E103" s="14">
        <v>0</v>
      </c>
    </row>
    <row r="104" spans="1:5" x14ac:dyDescent="0.35">
      <c r="A104">
        <v>703</v>
      </c>
      <c r="B104" s="14">
        <v>0</v>
      </c>
      <c r="C104" s="14">
        <v>0</v>
      </c>
      <c r="D104" s="14">
        <v>0</v>
      </c>
      <c r="E104" s="14">
        <v>0</v>
      </c>
    </row>
    <row r="105" spans="1:5" x14ac:dyDescent="0.35">
      <c r="A105">
        <v>710</v>
      </c>
      <c r="B105" s="14">
        <v>0</v>
      </c>
      <c r="C105" s="14">
        <v>0</v>
      </c>
      <c r="D105" s="14">
        <v>0</v>
      </c>
      <c r="E105" s="14">
        <v>0</v>
      </c>
    </row>
    <row r="106" spans="1:5" x14ac:dyDescent="0.35">
      <c r="A106">
        <v>717</v>
      </c>
      <c r="B106" s="14">
        <v>0</v>
      </c>
      <c r="C106" s="14">
        <v>0</v>
      </c>
      <c r="D106" s="14">
        <v>0</v>
      </c>
      <c r="E106" s="14">
        <v>0</v>
      </c>
    </row>
    <row r="107" spans="1:5" x14ac:dyDescent="0.35">
      <c r="A107">
        <v>724</v>
      </c>
      <c r="B107" s="14">
        <v>0</v>
      </c>
      <c r="C107" s="14">
        <v>0</v>
      </c>
      <c r="D107" s="14">
        <v>0</v>
      </c>
      <c r="E107" s="14">
        <v>0</v>
      </c>
    </row>
    <row r="108" spans="1:5" x14ac:dyDescent="0.35">
      <c r="A108">
        <v>731</v>
      </c>
      <c r="B108" s="14">
        <v>0</v>
      </c>
      <c r="C108" s="14">
        <v>0</v>
      </c>
      <c r="D108" s="14">
        <v>0</v>
      </c>
      <c r="E108" s="14">
        <v>0</v>
      </c>
    </row>
    <row r="109" spans="1:5" x14ac:dyDescent="0.35">
      <c r="A109">
        <v>738</v>
      </c>
      <c r="B109" s="14">
        <v>0</v>
      </c>
      <c r="C109" s="14">
        <v>0</v>
      </c>
      <c r="D109" s="14">
        <v>0</v>
      </c>
      <c r="E109" s="14">
        <v>0</v>
      </c>
    </row>
    <row r="110" spans="1:5" x14ac:dyDescent="0.35">
      <c r="A110">
        <v>745</v>
      </c>
      <c r="B110" s="14">
        <v>0</v>
      </c>
      <c r="C110" s="14">
        <v>0</v>
      </c>
      <c r="D110" s="14">
        <v>0</v>
      </c>
      <c r="E110" s="14">
        <v>0</v>
      </c>
    </row>
    <row r="111" spans="1:5" x14ac:dyDescent="0.35">
      <c r="A111">
        <v>752</v>
      </c>
      <c r="B111" s="14">
        <v>0</v>
      </c>
      <c r="C111" s="14">
        <v>0</v>
      </c>
      <c r="D111" s="14">
        <v>0</v>
      </c>
      <c r="E111" s="14">
        <v>0</v>
      </c>
    </row>
    <row r="112" spans="1:5" x14ac:dyDescent="0.35">
      <c r="A112">
        <v>761</v>
      </c>
      <c r="B112" s="14">
        <v>0</v>
      </c>
      <c r="C112" s="14">
        <v>0</v>
      </c>
      <c r="D112" s="14">
        <v>0</v>
      </c>
      <c r="E112" s="14">
        <v>0</v>
      </c>
    </row>
    <row r="113" spans="1:5" x14ac:dyDescent="0.35">
      <c r="A113">
        <v>766</v>
      </c>
      <c r="B113" s="14">
        <v>0</v>
      </c>
      <c r="C113" s="14">
        <v>0</v>
      </c>
      <c r="D113" s="14">
        <v>0</v>
      </c>
      <c r="E113" s="14">
        <v>0</v>
      </c>
    </row>
    <row r="114" spans="1:5" x14ac:dyDescent="0.35">
      <c r="A114">
        <v>773</v>
      </c>
      <c r="B114" s="14">
        <v>0</v>
      </c>
      <c r="C114" s="14">
        <v>0</v>
      </c>
      <c r="D114" s="14">
        <v>0</v>
      </c>
      <c r="E114" s="14">
        <v>0</v>
      </c>
    </row>
    <row r="115" spans="1:5" x14ac:dyDescent="0.35">
      <c r="A115">
        <v>780</v>
      </c>
      <c r="B115" s="14">
        <v>0</v>
      </c>
      <c r="C115" s="14">
        <v>0</v>
      </c>
      <c r="D115" s="14">
        <v>0</v>
      </c>
      <c r="E115" s="14">
        <v>0</v>
      </c>
    </row>
    <row r="116" spans="1:5" x14ac:dyDescent="0.35">
      <c r="A116">
        <v>787</v>
      </c>
      <c r="B116" s="14">
        <v>0</v>
      </c>
      <c r="C116" s="14">
        <v>0</v>
      </c>
      <c r="D116" s="14">
        <v>0</v>
      </c>
      <c r="E116" s="14">
        <v>0</v>
      </c>
    </row>
    <row r="117" spans="1:5" x14ac:dyDescent="0.35">
      <c r="A117">
        <v>794</v>
      </c>
      <c r="B117" s="14">
        <v>0</v>
      </c>
      <c r="C117" s="14">
        <v>0</v>
      </c>
      <c r="D117" s="14">
        <v>0</v>
      </c>
      <c r="E117" s="14">
        <v>0</v>
      </c>
    </row>
    <row r="118" spans="1:5" x14ac:dyDescent="0.35">
      <c r="A118">
        <v>801</v>
      </c>
      <c r="B118" s="14">
        <v>0</v>
      </c>
      <c r="C118" s="14">
        <v>0</v>
      </c>
      <c r="D118" s="14">
        <v>0</v>
      </c>
      <c r="E118" s="14">
        <v>0</v>
      </c>
    </row>
    <row r="119" spans="1:5" x14ac:dyDescent="0.35">
      <c r="A119">
        <v>808</v>
      </c>
      <c r="B119" s="14">
        <v>0</v>
      </c>
      <c r="C119" s="14">
        <v>0</v>
      </c>
      <c r="D119" s="14">
        <v>0</v>
      </c>
      <c r="E119" s="14">
        <v>0</v>
      </c>
    </row>
    <row r="120" spans="1:5" x14ac:dyDescent="0.35">
      <c r="A120">
        <v>815</v>
      </c>
      <c r="B120" s="14">
        <v>0</v>
      </c>
      <c r="C120" s="14">
        <v>0</v>
      </c>
      <c r="D120" s="14">
        <v>0</v>
      </c>
      <c r="E120" s="14">
        <v>0</v>
      </c>
    </row>
    <row r="121" spans="1:5" x14ac:dyDescent="0.35">
      <c r="A121">
        <v>823</v>
      </c>
      <c r="B121" s="14">
        <v>0</v>
      </c>
      <c r="C121" s="14">
        <v>0</v>
      </c>
      <c r="D121" s="14">
        <v>0</v>
      </c>
      <c r="E121" s="14">
        <v>0</v>
      </c>
    </row>
    <row r="122" spans="1:5" x14ac:dyDescent="0.35">
      <c r="A122">
        <v>829</v>
      </c>
      <c r="B122" s="14">
        <v>0</v>
      </c>
      <c r="C122" s="14">
        <v>0</v>
      </c>
      <c r="D122" s="14">
        <v>0</v>
      </c>
      <c r="E122" s="14">
        <v>0</v>
      </c>
    </row>
    <row r="123" spans="1:5" x14ac:dyDescent="0.35">
      <c r="A123">
        <v>836</v>
      </c>
      <c r="B123" s="14">
        <v>0</v>
      </c>
      <c r="C123" s="14">
        <v>0</v>
      </c>
      <c r="D123" s="14">
        <v>0</v>
      </c>
      <c r="E123" s="14">
        <v>0</v>
      </c>
    </row>
    <row r="124" spans="1:5" x14ac:dyDescent="0.35">
      <c r="A124">
        <v>843</v>
      </c>
      <c r="B124" s="14">
        <v>0</v>
      </c>
      <c r="C124" s="14">
        <v>0</v>
      </c>
      <c r="D124" s="14">
        <v>0</v>
      </c>
      <c r="E124" s="14">
        <v>0</v>
      </c>
    </row>
    <row r="125" spans="1:5" x14ac:dyDescent="0.35">
      <c r="A125">
        <v>850</v>
      </c>
      <c r="B125" s="14">
        <v>0</v>
      </c>
      <c r="C125" s="14">
        <v>0</v>
      </c>
      <c r="D125" s="14">
        <v>0</v>
      </c>
      <c r="E125" s="14">
        <v>0</v>
      </c>
    </row>
    <row r="126" spans="1:5" x14ac:dyDescent="0.35">
      <c r="A126">
        <v>857</v>
      </c>
      <c r="B126" s="14">
        <v>0</v>
      </c>
      <c r="C126" s="14">
        <v>0</v>
      </c>
      <c r="D126" s="14">
        <v>0</v>
      </c>
      <c r="E126" s="14">
        <v>0</v>
      </c>
    </row>
    <row r="127" spans="1:5" x14ac:dyDescent="0.35">
      <c r="A127">
        <v>864</v>
      </c>
      <c r="B127" s="14">
        <v>0</v>
      </c>
      <c r="C127" s="14">
        <v>0</v>
      </c>
      <c r="D127" s="14">
        <v>0</v>
      </c>
      <c r="E127" s="14">
        <v>0</v>
      </c>
    </row>
    <row r="128" spans="1:5" x14ac:dyDescent="0.35">
      <c r="A128">
        <v>871</v>
      </c>
      <c r="B128" s="14">
        <v>0</v>
      </c>
      <c r="C128" s="14">
        <v>0</v>
      </c>
      <c r="D128" s="14">
        <v>0</v>
      </c>
      <c r="E128" s="14">
        <v>0</v>
      </c>
    </row>
    <row r="129" spans="1:5" x14ac:dyDescent="0.35">
      <c r="A129">
        <v>878</v>
      </c>
      <c r="B129" s="14">
        <v>0</v>
      </c>
      <c r="C129" s="14">
        <v>0</v>
      </c>
      <c r="D129" s="14">
        <v>0</v>
      </c>
      <c r="E129" s="14">
        <v>0</v>
      </c>
    </row>
    <row r="130" spans="1:5" x14ac:dyDescent="0.35">
      <c r="A130">
        <v>885</v>
      </c>
      <c r="B130" s="14">
        <v>0</v>
      </c>
      <c r="C130" s="14">
        <v>0</v>
      </c>
      <c r="D130" s="14">
        <v>0</v>
      </c>
      <c r="E130" s="14">
        <v>0</v>
      </c>
    </row>
    <row r="131" spans="1:5" x14ac:dyDescent="0.35">
      <c r="A131">
        <v>892</v>
      </c>
      <c r="B131" s="14">
        <v>0</v>
      </c>
      <c r="C131" s="14">
        <v>0</v>
      </c>
      <c r="D131" s="14">
        <v>0</v>
      </c>
      <c r="E131" s="14">
        <v>0</v>
      </c>
    </row>
    <row r="132" spans="1:5" x14ac:dyDescent="0.35">
      <c r="A132">
        <v>899</v>
      </c>
      <c r="B132" s="14">
        <v>0</v>
      </c>
      <c r="C132" s="14">
        <v>0</v>
      </c>
      <c r="D132" s="14">
        <v>0</v>
      </c>
      <c r="E132" s="14">
        <v>0</v>
      </c>
    </row>
    <row r="133" spans="1:5" x14ac:dyDescent="0.35">
      <c r="A133">
        <v>906</v>
      </c>
      <c r="B133" s="14">
        <v>0</v>
      </c>
      <c r="C133" s="14">
        <v>0</v>
      </c>
      <c r="D133" s="14">
        <v>0</v>
      </c>
      <c r="E133" s="14">
        <v>0</v>
      </c>
    </row>
    <row r="134" spans="1:5" x14ac:dyDescent="0.35">
      <c r="A134">
        <v>914</v>
      </c>
      <c r="B134" s="14">
        <v>0</v>
      </c>
      <c r="C134" s="14">
        <v>0</v>
      </c>
      <c r="D134" s="14">
        <v>0.1226993865030675</v>
      </c>
      <c r="E134" s="14">
        <v>0</v>
      </c>
    </row>
    <row r="135" spans="1:5" x14ac:dyDescent="0.35">
      <c r="A135">
        <v>921</v>
      </c>
      <c r="B135" s="14">
        <v>0</v>
      </c>
      <c r="C135" s="14">
        <v>0</v>
      </c>
      <c r="D135" s="14">
        <v>0</v>
      </c>
      <c r="E135" s="14">
        <v>0</v>
      </c>
    </row>
    <row r="136" spans="1:5" x14ac:dyDescent="0.35">
      <c r="A136">
        <v>928</v>
      </c>
      <c r="B136" s="14">
        <v>0</v>
      </c>
      <c r="C136" s="14">
        <v>0</v>
      </c>
      <c r="D136" s="14">
        <v>0</v>
      </c>
      <c r="E136" s="14">
        <v>0</v>
      </c>
    </row>
    <row r="137" spans="1:5" x14ac:dyDescent="0.35">
      <c r="A137">
        <v>935</v>
      </c>
      <c r="B137" s="14">
        <v>0</v>
      </c>
      <c r="C137" s="14">
        <v>0</v>
      </c>
      <c r="D137" s="14">
        <v>0</v>
      </c>
      <c r="E137" s="14">
        <v>0</v>
      </c>
    </row>
    <row r="138" spans="1:5" x14ac:dyDescent="0.35">
      <c r="A138">
        <v>942</v>
      </c>
      <c r="B138" s="14">
        <v>0</v>
      </c>
      <c r="C138" s="14">
        <v>0</v>
      </c>
      <c r="D138" s="14">
        <v>0</v>
      </c>
      <c r="E138" s="14">
        <v>0</v>
      </c>
    </row>
    <row r="139" spans="1:5" x14ac:dyDescent="0.35">
      <c r="A139">
        <v>949</v>
      </c>
      <c r="B139" s="14">
        <v>0</v>
      </c>
      <c r="C139" s="14">
        <v>0</v>
      </c>
      <c r="D139" s="14">
        <v>0</v>
      </c>
      <c r="E139" s="14">
        <v>0</v>
      </c>
    </row>
    <row r="140" spans="1:5" x14ac:dyDescent="0.35">
      <c r="A140">
        <v>956</v>
      </c>
      <c r="B140" s="14">
        <v>0</v>
      </c>
      <c r="C140" s="14">
        <v>0</v>
      </c>
      <c r="D140" s="14">
        <v>0</v>
      </c>
      <c r="E140" s="14">
        <v>0</v>
      </c>
    </row>
    <row r="141" spans="1:5" x14ac:dyDescent="0.35">
      <c r="A141">
        <v>963</v>
      </c>
      <c r="B141" s="14">
        <v>0</v>
      </c>
      <c r="C141" s="14">
        <v>0</v>
      </c>
      <c r="D141" s="14">
        <v>0</v>
      </c>
      <c r="E141" s="14">
        <v>0</v>
      </c>
    </row>
    <row r="142" spans="1:5" x14ac:dyDescent="0.35">
      <c r="A142">
        <v>970</v>
      </c>
      <c r="B142" s="14">
        <v>0</v>
      </c>
      <c r="C142" s="14">
        <v>0</v>
      </c>
      <c r="D142" s="14">
        <v>0</v>
      </c>
      <c r="E142" s="14">
        <v>0</v>
      </c>
    </row>
    <row r="143" spans="1:5" x14ac:dyDescent="0.35">
      <c r="A143">
        <v>977</v>
      </c>
      <c r="B143" s="14">
        <v>0</v>
      </c>
      <c r="C143" s="14">
        <v>0</v>
      </c>
      <c r="D143" s="14">
        <v>0</v>
      </c>
      <c r="E143" s="14">
        <v>0</v>
      </c>
    </row>
    <row r="144" spans="1:5" x14ac:dyDescent="0.35">
      <c r="A144">
        <v>984</v>
      </c>
      <c r="B144" s="14">
        <v>0</v>
      </c>
      <c r="C144" s="14">
        <v>0</v>
      </c>
      <c r="D144" s="14">
        <v>0</v>
      </c>
      <c r="E144" s="14">
        <v>0</v>
      </c>
    </row>
    <row r="145" spans="1:5" x14ac:dyDescent="0.35">
      <c r="A145">
        <v>991</v>
      </c>
      <c r="B145" s="14">
        <v>0</v>
      </c>
      <c r="C145" s="14">
        <v>0</v>
      </c>
      <c r="D145" s="14">
        <v>0</v>
      </c>
      <c r="E145" s="14">
        <v>0</v>
      </c>
    </row>
    <row r="146" spans="1:5" x14ac:dyDescent="0.35">
      <c r="B146" s="14"/>
      <c r="C146" s="14"/>
      <c r="D146" s="14"/>
      <c r="E146" s="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abArchives xmlns:xsi="http://www.w3.org/2001/XMLSchema-instance" xmlns:xsd="http://www.w3.org/2001/XMLSchema">
  <BaseUri>https://mynotebook.labarchives.com</BaseUri>
  <eid>NTIwNy44fDQ1OTY1Mi80MDA2L0VudHJ5UGFydC8zNzE4Nzg2NjY0fDEzMjE5Ljg=</eid>
  <version>1</version>
  <updated-at>2024-02-20T20:56:29Z</updated-at>
</LabArchives>
</file>

<file path=customXml/itemProps1.xml><?xml version="1.0" encoding="utf-8"?>
<ds:datastoreItem xmlns:ds="http://schemas.openxmlformats.org/officeDocument/2006/customXml" ds:itemID="{95BEE3B8-C399-4AD5-823B-A366AAED1AE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3%FBS</vt:lpstr>
      <vt:lpstr>5%FBS</vt:lpstr>
      <vt:lpstr>10%FBS</vt:lpstr>
      <vt:lpstr>15%FBS</vt:lpstr>
      <vt:lpstr>Growth Summary</vt:lpstr>
      <vt:lpstr>Viability Summary</vt:lpstr>
      <vt:lpstr>Red Cells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Castellano</dc:creator>
  <cp:keywords/>
  <dc:description/>
  <cp:lastModifiedBy>Andrea Bodnar</cp:lastModifiedBy>
  <cp:revision/>
  <dcterms:created xsi:type="dcterms:W3CDTF">2022-09-23T13:49:33Z</dcterms:created>
  <dcterms:modified xsi:type="dcterms:W3CDTF">2024-12-17T16:30:06Z</dcterms:modified>
  <cp:category/>
  <cp:contentStatus/>
</cp:coreProperties>
</file>