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7"/>
  <workbookPr/>
  <mc:AlternateContent xmlns:mc="http://schemas.openxmlformats.org/markup-compatibility/2006">
    <mc:Choice Requires="x15">
      <x15ac:absPath xmlns:x15ac="http://schemas.microsoft.com/office/spreadsheetml/2010/11/ac" url="/Users/rxie/Library/CloudStorage/Box-Box/Xie_Richard/Project/ISPOR 2024_NPV Model Write-up/"/>
    </mc:Choice>
  </mc:AlternateContent>
  <xr:revisionPtr revIDLastSave="0" documentId="13_ncr:1_{832FE945-2DF6-C841-AE22-C3F7BC697B5C}" xr6:coauthVersionLast="47" xr6:coauthVersionMax="47" xr10:uidLastSave="{00000000-0000-0000-0000-000000000000}"/>
  <bookViews>
    <workbookView xWindow="19480" yWindow="500" windowWidth="44160" windowHeight="31500" activeTab="4" xr2:uid="{00000000-000D-0000-FFFF-FFFF00000000}"/>
  </bookViews>
  <sheets>
    <sheet name="Supp Table 1" sheetId="4" r:id="rId1"/>
    <sheet name="Supp Table 2" sheetId="10" r:id="rId2"/>
    <sheet name="Supp 3 - Underlying Model ----&gt;" sheetId="11" r:id="rId3"/>
    <sheet name="CV drug" sheetId="2" r:id="rId4"/>
    <sheet name="By phase" sheetId="1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11" roundtripDataSignature="AMtx7mgK6KiGVRrz/9UcxUw5fyKK/W15HA=="/>
    </ext>
  </extLst>
</workbook>
</file>

<file path=xl/calcChain.xml><?xml version="1.0" encoding="utf-8"?>
<calcChain xmlns="http://schemas.openxmlformats.org/spreadsheetml/2006/main">
  <c r="K57" i="1" l="1"/>
  <c r="K60" i="1" s="1"/>
  <c r="K52" i="1"/>
  <c r="K47" i="1"/>
  <c r="K41" i="1"/>
  <c r="K36" i="1"/>
  <c r="K30" i="1"/>
  <c r="K25" i="1"/>
  <c r="K19" i="1"/>
  <c r="K14" i="1"/>
  <c r="J57" i="1"/>
  <c r="J56" i="1" s="1"/>
  <c r="J52" i="1"/>
  <c r="J47" i="1"/>
  <c r="J41" i="1"/>
  <c r="J36" i="1"/>
  <c r="J30" i="1"/>
  <c r="J25" i="1"/>
  <c r="J19" i="1"/>
  <c r="J14" i="1"/>
  <c r="I57" i="1"/>
  <c r="I60" i="1" s="1"/>
  <c r="I52" i="1"/>
  <c r="I47" i="1"/>
  <c r="I41" i="1"/>
  <c r="I36" i="1"/>
  <c r="I30" i="1"/>
  <c r="I25" i="1"/>
  <c r="I19" i="1"/>
  <c r="I14" i="1"/>
  <c r="H57" i="1"/>
  <c r="H60" i="1" s="1"/>
  <c r="H52" i="1"/>
  <c r="H47" i="1"/>
  <c r="H41" i="1"/>
  <c r="H36" i="1"/>
  <c r="H30" i="1"/>
  <c r="H25" i="1"/>
  <c r="H19" i="1"/>
  <c r="H14" i="1"/>
  <c r="G57" i="1"/>
  <c r="G60" i="1" s="1"/>
  <c r="G47" i="1"/>
  <c r="G36" i="1"/>
  <c r="G25" i="1"/>
  <c r="G14" i="1"/>
  <c r="G52" i="1"/>
  <c r="G41" i="1"/>
  <c r="G30" i="1"/>
  <c r="G19" i="1"/>
  <c r="C6" i="4"/>
  <c r="D14" i="4"/>
  <c r="C14" i="4"/>
  <c r="C11" i="4"/>
  <c r="C9" i="4"/>
  <c r="C30" i="1"/>
  <c r="C19" i="1"/>
  <c r="C56" i="1"/>
  <c r="D57" i="1"/>
  <c r="G50" i="2"/>
  <c r="U44" i="2"/>
  <c r="V44" i="2" s="1"/>
  <c r="W44" i="2" s="1"/>
  <c r="O42" i="2"/>
  <c r="P42" i="2" s="1"/>
  <c r="Q42" i="2" s="1"/>
  <c r="R42" i="2" s="1"/>
  <c r="S42" i="2" s="1"/>
  <c r="T42" i="2" s="1"/>
  <c r="U42" i="2" s="1"/>
  <c r="V42" i="2" s="1"/>
  <c r="W42" i="2" s="1"/>
  <c r="I41" i="2"/>
  <c r="J41" i="2" s="1"/>
  <c r="K41" i="2" s="1"/>
  <c r="E38" i="2"/>
  <c r="E39" i="2" s="1"/>
  <c r="E46" i="2" s="1"/>
  <c r="C13" i="4" s="1"/>
  <c r="G33" i="2"/>
  <c r="H33" i="2" s="1"/>
  <c r="I33" i="2" s="1"/>
  <c r="J33" i="2" s="1"/>
  <c r="K33" i="2" s="1"/>
  <c r="L33" i="2" s="1"/>
  <c r="M33" i="2" s="1"/>
  <c r="N33" i="2" s="1"/>
  <c r="O33" i="2" s="1"/>
  <c r="P33" i="2" s="1"/>
  <c r="Q33" i="2" s="1"/>
  <c r="R33" i="2" s="1"/>
  <c r="S33" i="2" s="1"/>
  <c r="T33" i="2" s="1"/>
  <c r="U33" i="2" s="1"/>
  <c r="V33" i="2" s="1"/>
  <c r="W33" i="2" s="1"/>
  <c r="G28" i="2"/>
  <c r="U22" i="2"/>
  <c r="V22" i="2" s="1"/>
  <c r="W22" i="2" s="1"/>
  <c r="I22" i="2"/>
  <c r="H22" i="2"/>
  <c r="G22" i="2"/>
  <c r="G19" i="2"/>
  <c r="E17" i="2"/>
  <c r="E24" i="2" s="1"/>
  <c r="G16" i="2"/>
  <c r="I16" i="2" s="1"/>
  <c r="F16" i="2"/>
  <c r="H16" i="2" s="1"/>
  <c r="N12" i="2"/>
  <c r="J12" i="2" s="1"/>
  <c r="G6" i="4" s="1"/>
  <c r="G11" i="2"/>
  <c r="H11" i="2" s="1"/>
  <c r="I11" i="2" s="1"/>
  <c r="J11" i="2" s="1"/>
  <c r="K11" i="2" s="1"/>
  <c r="L11" i="2" s="1"/>
  <c r="M11" i="2" s="1"/>
  <c r="N11" i="2" s="1"/>
  <c r="O11" i="2" s="1"/>
  <c r="P11" i="2" s="1"/>
  <c r="Q11" i="2" s="1"/>
  <c r="R11" i="2" s="1"/>
  <c r="S11" i="2" s="1"/>
  <c r="T11" i="2" s="1"/>
  <c r="U11" i="2" s="1"/>
  <c r="V11" i="2" s="1"/>
  <c r="W11" i="2" s="1"/>
  <c r="G9" i="2"/>
  <c r="H50" i="2" s="1"/>
  <c r="D7" i="2"/>
  <c r="C60" i="1"/>
  <c r="D52" i="1"/>
  <c r="C52" i="1"/>
  <c r="D47" i="1"/>
  <c r="D41" i="1"/>
  <c r="C41" i="1"/>
  <c r="D36" i="1"/>
  <c r="D30" i="1"/>
  <c r="D25" i="1"/>
  <c r="D19" i="1"/>
  <c r="D14" i="1"/>
  <c r="H56" i="1" l="1"/>
  <c r="O12" i="2"/>
  <c r="K56" i="1"/>
  <c r="G56" i="1"/>
  <c r="J60" i="1"/>
  <c r="I56" i="1"/>
  <c r="K12" i="2"/>
  <c r="H6" i="4" s="1"/>
  <c r="M12" i="2"/>
  <c r="J6" i="4" s="1"/>
  <c r="C12" i="4"/>
  <c r="K6" i="4"/>
  <c r="G38" i="2"/>
  <c r="I38" i="2" s="1"/>
  <c r="I12" i="2"/>
  <c r="F6" i="4" s="1"/>
  <c r="J16" i="2"/>
  <c r="L41" i="2"/>
  <c r="J14" i="2"/>
  <c r="K16" i="2"/>
  <c r="F17" i="2"/>
  <c r="H19" i="2"/>
  <c r="F38" i="2"/>
  <c r="L12" i="2"/>
  <c r="O34" i="2"/>
  <c r="L11" i="4" s="1"/>
  <c r="L6" i="4"/>
  <c r="G12" i="2"/>
  <c r="H28" i="2"/>
  <c r="H9" i="2"/>
  <c r="H12" i="2"/>
  <c r="E6" i="4" s="1"/>
  <c r="D64" i="2" l="1"/>
  <c r="K14" i="2"/>
  <c r="D6" i="4"/>
  <c r="F24" i="2"/>
  <c r="C7" i="4"/>
  <c r="L14" i="2"/>
  <c r="I6" i="4"/>
  <c r="I17" i="2"/>
  <c r="F7" i="4" s="1"/>
  <c r="O41" i="2"/>
  <c r="I34" i="2"/>
  <c r="F11" i="4" s="1"/>
  <c r="P34" i="2"/>
  <c r="G34" i="2"/>
  <c r="M34" i="2"/>
  <c r="J11" i="4" s="1"/>
  <c r="L34" i="2"/>
  <c r="I11" i="4" s="1"/>
  <c r="K34" i="2"/>
  <c r="H11" i="4" s="1"/>
  <c r="J34" i="2"/>
  <c r="G11" i="4" s="1"/>
  <c r="H34" i="2"/>
  <c r="N34" i="2"/>
  <c r="M41" i="2"/>
  <c r="H14" i="2"/>
  <c r="G20" i="2"/>
  <c r="I50" i="2"/>
  <c r="I28" i="2"/>
  <c r="I9" i="2"/>
  <c r="I19" i="2"/>
  <c r="H20" i="2"/>
  <c r="K38" i="2"/>
  <c r="H17" i="2"/>
  <c r="F39" i="2"/>
  <c r="H38" i="2"/>
  <c r="M16" i="2"/>
  <c r="K17" i="2"/>
  <c r="H7" i="4" s="1"/>
  <c r="I14" i="2"/>
  <c r="J17" i="2"/>
  <c r="G7" i="4" s="1"/>
  <c r="L16" i="2"/>
  <c r="O19" i="2"/>
  <c r="P12" i="2"/>
  <c r="G17" i="2"/>
  <c r="D65" i="2" l="1"/>
  <c r="D66" i="2"/>
  <c r="D11" i="4"/>
  <c r="M11" i="4"/>
  <c r="M6" i="4"/>
  <c r="L42" i="2"/>
  <c r="F46" i="2"/>
  <c r="D12" i="4"/>
  <c r="H24" i="2"/>
  <c r="E8" i="4" s="1"/>
  <c r="E7" i="4"/>
  <c r="G24" i="2"/>
  <c r="D7" i="4"/>
  <c r="N36" i="2"/>
  <c r="K11" i="4"/>
  <c r="H42" i="2"/>
  <c r="E11" i="4"/>
  <c r="F27" i="2"/>
  <c r="C8" i="4"/>
  <c r="Q34" i="2"/>
  <c r="N11" i="4" s="1"/>
  <c r="P41" i="2"/>
  <c r="L17" i="2"/>
  <c r="I7" i="4" s="1"/>
  <c r="N16" i="2"/>
  <c r="J19" i="2"/>
  <c r="I20" i="2"/>
  <c r="I36" i="2"/>
  <c r="I42" i="2"/>
  <c r="J36" i="2"/>
  <c r="J42" i="2"/>
  <c r="J50" i="2"/>
  <c r="J28" i="2"/>
  <c r="J9" i="2"/>
  <c r="K36" i="2"/>
  <c r="K42" i="2"/>
  <c r="P19" i="2"/>
  <c r="Q12" i="2"/>
  <c r="N6" i="4" s="1"/>
  <c r="M17" i="2"/>
  <c r="J7" i="4" s="1"/>
  <c r="O16" i="2"/>
  <c r="L36" i="2"/>
  <c r="H39" i="2"/>
  <c r="J38" i="2"/>
  <c r="I24" i="2"/>
  <c r="F8" i="4" s="1"/>
  <c r="I39" i="2"/>
  <c r="M42" i="2"/>
  <c r="N41" i="2"/>
  <c r="M36" i="2"/>
  <c r="M38" i="2"/>
  <c r="K39" i="2"/>
  <c r="G39" i="2"/>
  <c r="D8" i="4" l="1"/>
  <c r="G27" i="2"/>
  <c r="G29" i="2" s="1"/>
  <c r="G25" i="2"/>
  <c r="G46" i="2"/>
  <c r="E12" i="4"/>
  <c r="I46" i="2"/>
  <c r="G13" i="4" s="1"/>
  <c r="G12" i="4"/>
  <c r="H46" i="2"/>
  <c r="F13" i="4" s="1"/>
  <c r="F12" i="4"/>
  <c r="K46" i="2"/>
  <c r="I13" i="4" s="1"/>
  <c r="I12" i="4"/>
  <c r="H25" i="2"/>
  <c r="H27" i="2"/>
  <c r="H29" i="2" s="1"/>
  <c r="E9" i="4" s="1"/>
  <c r="F49" i="2"/>
  <c r="D13" i="4"/>
  <c r="M39" i="2"/>
  <c r="O38" i="2"/>
  <c r="K50" i="2"/>
  <c r="K28" i="2"/>
  <c r="K9" i="2"/>
  <c r="J20" i="2"/>
  <c r="K19" i="2"/>
  <c r="Q16" i="2"/>
  <c r="O17" i="2"/>
  <c r="J24" i="2"/>
  <c r="G8" i="4" s="1"/>
  <c r="Q19" i="2"/>
  <c r="R12" i="2"/>
  <c r="O6" i="4" s="1"/>
  <c r="P16" i="2"/>
  <c r="N17" i="2"/>
  <c r="K7" i="4" s="1"/>
  <c r="R34" i="2"/>
  <c r="Q41" i="2"/>
  <c r="I27" i="2"/>
  <c r="I29" i="2" s="1"/>
  <c r="F9" i="4" s="1"/>
  <c r="I25" i="2"/>
  <c r="J39" i="2"/>
  <c r="L38" i="2"/>
  <c r="O11" i="4" l="1"/>
  <c r="I47" i="2"/>
  <c r="I49" i="2"/>
  <c r="I51" i="2" s="1"/>
  <c r="G14" i="4" s="1"/>
  <c r="E13" i="4"/>
  <c r="G47" i="2"/>
  <c r="D9" i="4"/>
  <c r="H47" i="2"/>
  <c r="J46" i="2"/>
  <c r="H13" i="4" s="1"/>
  <c r="H12" i="4"/>
  <c r="G49" i="2"/>
  <c r="G51" i="2" s="1"/>
  <c r="O24" i="2"/>
  <c r="L8" i="4" s="1"/>
  <c r="L7" i="4"/>
  <c r="K47" i="2"/>
  <c r="K49" i="2"/>
  <c r="K51" i="2" s="1"/>
  <c r="I14" i="4" s="1"/>
  <c r="M46" i="2"/>
  <c r="K13" i="4" s="1"/>
  <c r="K12" i="4"/>
  <c r="H49" i="2"/>
  <c r="H51" i="2" s="1"/>
  <c r="F14" i="4" s="1"/>
  <c r="J27" i="2"/>
  <c r="J29" i="2" s="1"/>
  <c r="G9" i="4" s="1"/>
  <c r="J25" i="2"/>
  <c r="R19" i="2"/>
  <c r="S12" i="2"/>
  <c r="S16" i="2"/>
  <c r="Q17" i="2"/>
  <c r="R41" i="2"/>
  <c r="S34" i="2"/>
  <c r="P11" i="4" s="1"/>
  <c r="R16" i="2"/>
  <c r="P17" i="2"/>
  <c r="Q38" i="2"/>
  <c r="O39" i="2"/>
  <c r="K20" i="2"/>
  <c r="L19" i="2"/>
  <c r="K24" i="2"/>
  <c r="N38" i="2"/>
  <c r="L39" i="2"/>
  <c r="J49" i="2"/>
  <c r="J51" i="2" s="1"/>
  <c r="H14" i="4" s="1"/>
  <c r="L50" i="2"/>
  <c r="L28" i="2"/>
  <c r="L9" i="2"/>
  <c r="P6" i="4" l="1"/>
  <c r="E65" i="2"/>
  <c r="O25" i="2"/>
  <c r="J47" i="2"/>
  <c r="O27" i="2"/>
  <c r="H8" i="4"/>
  <c r="M49" i="2"/>
  <c r="M47" i="2"/>
  <c r="Q24" i="2"/>
  <c r="N8" i="4" s="1"/>
  <c r="N7" i="4"/>
  <c r="E14" i="4"/>
  <c r="O46" i="2"/>
  <c r="M13" i="4" s="1"/>
  <c r="M12" i="4"/>
  <c r="P24" i="2"/>
  <c r="M7" i="4"/>
  <c r="L46" i="2"/>
  <c r="J12" i="4"/>
  <c r="K25" i="2"/>
  <c r="K27" i="2"/>
  <c r="K29" i="2" s="1"/>
  <c r="S19" i="2"/>
  <c r="T12" i="2"/>
  <c r="E64" i="2" s="1"/>
  <c r="L20" i="2"/>
  <c r="M19" i="2"/>
  <c r="L24" i="2"/>
  <c r="I8" i="4" s="1"/>
  <c r="Q39" i="2"/>
  <c r="S38" i="2"/>
  <c r="U16" i="2"/>
  <c r="S17" i="2"/>
  <c r="L49" i="2"/>
  <c r="L51" i="2" s="1"/>
  <c r="J14" i="4" s="1"/>
  <c r="R17" i="2"/>
  <c r="T16" i="2"/>
  <c r="M50" i="2"/>
  <c r="M51" i="2" s="1"/>
  <c r="K14" i="4" s="1"/>
  <c r="M28" i="2"/>
  <c r="M9" i="2"/>
  <c r="N39" i="2"/>
  <c r="P38" i="2"/>
  <c r="S41" i="2"/>
  <c r="T34" i="2"/>
  <c r="Q11" i="4" s="1"/>
  <c r="E66" i="2" l="1"/>
  <c r="H9" i="4"/>
  <c r="Q6" i="4"/>
  <c r="J13" i="4"/>
  <c r="M8" i="4"/>
  <c r="O47" i="2"/>
  <c r="O49" i="2"/>
  <c r="P27" i="2"/>
  <c r="Q25" i="2"/>
  <c r="Q27" i="2"/>
  <c r="R24" i="2"/>
  <c r="O8" i="4" s="1"/>
  <c r="O7" i="4"/>
  <c r="N46" i="2"/>
  <c r="L12" i="4"/>
  <c r="S24" i="2"/>
  <c r="P8" i="4" s="1"/>
  <c r="P7" i="4"/>
  <c r="L47" i="2"/>
  <c r="P25" i="2"/>
  <c r="Q46" i="2"/>
  <c r="O13" i="4" s="1"/>
  <c r="O12" i="4"/>
  <c r="N28" i="2"/>
  <c r="N9" i="2"/>
  <c r="N50" i="2"/>
  <c r="L25" i="2"/>
  <c r="L27" i="2"/>
  <c r="L29" i="2" s="1"/>
  <c r="I9" i="4" s="1"/>
  <c r="W16" i="2"/>
  <c r="M20" i="2"/>
  <c r="N19" i="2"/>
  <c r="M24" i="2"/>
  <c r="J8" i="4" s="1"/>
  <c r="S39" i="2"/>
  <c r="U38" i="2"/>
  <c r="U12" i="2"/>
  <c r="T19" i="2"/>
  <c r="T41" i="2"/>
  <c r="U34" i="2"/>
  <c r="P39" i="2"/>
  <c r="R38" i="2"/>
  <c r="V16" i="2"/>
  <c r="T17" i="2"/>
  <c r="Q7" i="4" s="1"/>
  <c r="L13" i="4" l="1"/>
  <c r="D69" i="2"/>
  <c r="R25" i="2"/>
  <c r="E68" i="2"/>
  <c r="R27" i="2"/>
  <c r="U17" i="2"/>
  <c r="N47" i="2"/>
  <c r="S27" i="2"/>
  <c r="P46" i="2"/>
  <c r="N12" i="4"/>
  <c r="S46" i="2"/>
  <c r="Q13" i="4" s="1"/>
  <c r="Q12" i="4"/>
  <c r="Q47" i="2"/>
  <c r="Q49" i="2"/>
  <c r="N49" i="2"/>
  <c r="N51" i="2" s="1"/>
  <c r="S25" i="2"/>
  <c r="O50" i="2"/>
  <c r="O51" i="2" s="1"/>
  <c r="O28" i="2"/>
  <c r="O29" i="2" s="1"/>
  <c r="O9" i="2"/>
  <c r="T24" i="2"/>
  <c r="Q8" i="4" s="1"/>
  <c r="V12" i="2"/>
  <c r="V17" i="2" s="1"/>
  <c r="U19" i="2"/>
  <c r="T38" i="2"/>
  <c r="R39" i="2"/>
  <c r="M25" i="2"/>
  <c r="M27" i="2"/>
  <c r="M29" i="2" s="1"/>
  <c r="W38" i="2"/>
  <c r="U39" i="2"/>
  <c r="N20" i="2"/>
  <c r="N24" i="2"/>
  <c r="U41" i="2"/>
  <c r="V34" i="2"/>
  <c r="D73" i="2" l="1"/>
  <c r="U24" i="2"/>
  <c r="K8" i="4"/>
  <c r="D68" i="2"/>
  <c r="L9" i="4"/>
  <c r="D72" i="2"/>
  <c r="F64" i="2"/>
  <c r="N13" i="4"/>
  <c r="P47" i="2"/>
  <c r="P49" i="2"/>
  <c r="L14" i="4"/>
  <c r="S49" i="2"/>
  <c r="M14" i="4"/>
  <c r="R46" i="2"/>
  <c r="P13" i="4" s="1"/>
  <c r="P12" i="4"/>
  <c r="U46" i="2"/>
  <c r="J9" i="4"/>
  <c r="S47" i="2"/>
  <c r="T25" i="2"/>
  <c r="T27" i="2"/>
  <c r="V38" i="2"/>
  <c r="V39" i="2" s="1"/>
  <c r="T39" i="2"/>
  <c r="T46" i="2" s="1"/>
  <c r="U27" i="2"/>
  <c r="U25" i="2"/>
  <c r="N27" i="2"/>
  <c r="N29" i="2" s="1"/>
  <c r="N25" i="2"/>
  <c r="V41" i="2"/>
  <c r="W34" i="2"/>
  <c r="V19" i="2"/>
  <c r="V24" i="2" s="1"/>
  <c r="W12" i="2"/>
  <c r="P28" i="2"/>
  <c r="P29" i="2" s="1"/>
  <c r="P9" i="2"/>
  <c r="P50" i="2"/>
  <c r="P51" i="2" s="1"/>
  <c r="G64" i="2" l="1"/>
  <c r="D74" i="2"/>
  <c r="E69" i="2"/>
  <c r="D70" i="2"/>
  <c r="W41" i="2"/>
  <c r="F65" i="2"/>
  <c r="G65" i="2" s="1"/>
  <c r="U47" i="2"/>
  <c r="K9" i="4"/>
  <c r="N14" i="4"/>
  <c r="M9" i="4"/>
  <c r="V46" i="2"/>
  <c r="V49" i="2" s="1"/>
  <c r="U49" i="2"/>
  <c r="R49" i="2"/>
  <c r="R47" i="2"/>
  <c r="V25" i="2"/>
  <c r="V27" i="2"/>
  <c r="Q28" i="2"/>
  <c r="Q29" i="2" s="1"/>
  <c r="Q9" i="2"/>
  <c r="Q50" i="2"/>
  <c r="Q51" i="2" s="1"/>
  <c r="O14" i="4" s="1"/>
  <c r="T49" i="2"/>
  <c r="T47" i="2"/>
  <c r="W19" i="2"/>
  <c r="W17" i="2"/>
  <c r="W39" i="2"/>
  <c r="W46" i="2" s="1"/>
  <c r="F69" i="2" l="1"/>
  <c r="G69" i="2"/>
  <c r="E70" i="2"/>
  <c r="F66" i="2"/>
  <c r="G66" i="2" s="1"/>
  <c r="V47" i="2"/>
  <c r="W24" i="2"/>
  <c r="F68" i="2" s="1"/>
  <c r="N9" i="4"/>
  <c r="R50" i="2"/>
  <c r="R51" i="2" s="1"/>
  <c r="P14" i="4" s="1"/>
  <c r="R9" i="2"/>
  <c r="R28" i="2"/>
  <c r="R29" i="2" s="1"/>
  <c r="W49" i="2"/>
  <c r="W47" i="2"/>
  <c r="F70" i="2" l="1"/>
  <c r="G70" i="2" s="1"/>
  <c r="G68" i="2"/>
  <c r="W25" i="2"/>
  <c r="W27" i="2"/>
  <c r="X27" i="2" s="1"/>
  <c r="O9" i="4"/>
  <c r="U50" i="2"/>
  <c r="U51" i="2" s="1"/>
  <c r="S50" i="2"/>
  <c r="S51" i="2" s="1"/>
  <c r="U28" i="2"/>
  <c r="U29" i="2" s="1"/>
  <c r="S9" i="2"/>
  <c r="S28" i="2"/>
  <c r="S29" i="2" s="1"/>
  <c r="P9" i="4" s="1"/>
  <c r="X49" i="2"/>
  <c r="Q14" i="4" l="1"/>
  <c r="T50" i="2"/>
  <c r="T51" i="2" s="1"/>
  <c r="E73" i="2" s="1"/>
  <c r="V50" i="2"/>
  <c r="V51" i="2" s="1"/>
  <c r="V28" i="2"/>
  <c r="V29" i="2" s="1"/>
  <c r="T9" i="2"/>
  <c r="T28" i="2"/>
  <c r="T29" i="2" s="1"/>
  <c r="E72" i="2" s="1"/>
  <c r="E74" i="2" l="1"/>
  <c r="Q9" i="4"/>
  <c r="W50" i="2"/>
  <c r="W28" i="2"/>
  <c r="U9" i="2"/>
  <c r="V9" i="2" s="1"/>
  <c r="W9" i="2" s="1"/>
  <c r="X9" i="2" s="1"/>
  <c r="Y9" i="2" s="1"/>
  <c r="X29" i="2" l="1"/>
  <c r="W29" i="2"/>
  <c r="F72" i="2" s="1"/>
  <c r="X51" i="2"/>
  <c r="W51" i="2"/>
  <c r="F73" i="2" s="1"/>
  <c r="G73" i="2" s="1"/>
  <c r="F74" i="2" l="1"/>
  <c r="G74" i="2" s="1"/>
  <c r="G72" i="2"/>
  <c r="D53" i="2"/>
  <c r="D31" i="2"/>
  <c r="H31" i="2" s="1"/>
  <c r="D56" i="2"/>
  <c r="M31" i="2"/>
  <c r="Q31" i="2"/>
  <c r="P31" i="2"/>
  <c r="O31" i="2"/>
  <c r="N31" i="2"/>
  <c r="I31" i="2" l="1"/>
  <c r="J31" i="2"/>
  <c r="K31" i="2"/>
  <c r="L31" i="2"/>
  <c r="J53" i="2"/>
  <c r="Q53" i="2"/>
  <c r="I53" i="2"/>
  <c r="L53" i="2"/>
  <c r="N53" i="2"/>
  <c r="M53" i="2"/>
  <c r="D57" i="2"/>
  <c r="P53" i="2"/>
  <c r="O53" i="2"/>
  <c r="K53" i="2"/>
  <c r="H53" i="2"/>
  <c r="D58" i="2" l="1"/>
  <c r="C8" i="1" l="1"/>
  <c r="E58" i="2"/>
  <c r="E56" i="2"/>
  <c r="E57" i="2"/>
  <c r="J8" i="1" l="1"/>
  <c r="K8" i="1"/>
  <c r="G8" i="1"/>
  <c r="D8" i="1"/>
  <c r="H8" i="1"/>
  <c r="I8" i="1"/>
  <c r="C12" i="1"/>
  <c r="C69" i="1"/>
  <c r="C7" i="10" s="1"/>
  <c r="D7" i="10" s="1"/>
  <c r="C13" i="1" l="1"/>
  <c r="H69" i="1"/>
  <c r="I7" i="10" s="1"/>
  <c r="H12" i="1"/>
  <c r="H13" i="1" s="1"/>
  <c r="K12" i="1"/>
  <c r="K13" i="1" s="1"/>
  <c r="K69" i="1"/>
  <c r="O7" i="10" s="1"/>
  <c r="I12" i="1"/>
  <c r="I13" i="1" s="1"/>
  <c r="I69" i="1"/>
  <c r="K7" i="10" s="1"/>
  <c r="J12" i="1"/>
  <c r="J13" i="1" s="1"/>
  <c r="J69" i="1"/>
  <c r="M7" i="10" s="1"/>
  <c r="G12" i="1"/>
  <c r="G13" i="1" s="1"/>
  <c r="G69" i="1"/>
  <c r="G7" i="10" s="1"/>
  <c r="H7" i="10" s="1"/>
  <c r="D12" i="1"/>
  <c r="D69" i="1"/>
  <c r="E69" i="1" l="1"/>
  <c r="E7" i="10"/>
  <c r="F7" i="10" s="1"/>
  <c r="J16" i="1"/>
  <c r="J70" i="1"/>
  <c r="M8" i="10" s="1"/>
  <c r="K16" i="1"/>
  <c r="K70" i="1"/>
  <c r="O8" i="10" s="1"/>
  <c r="H16" i="1"/>
  <c r="H70" i="1"/>
  <c r="I8" i="10" s="1"/>
  <c r="I16" i="1"/>
  <c r="I70" i="1"/>
  <c r="K8" i="10" s="1"/>
  <c r="G16" i="1"/>
  <c r="G70" i="1"/>
  <c r="G8" i="10" s="1"/>
  <c r="H8" i="10" s="1"/>
  <c r="C16" i="1"/>
  <c r="D13" i="1"/>
  <c r="C70" i="1"/>
  <c r="C8" i="10" s="1"/>
  <c r="D8" i="10" s="1"/>
  <c r="I24" i="1" l="1"/>
  <c r="I17" i="1"/>
  <c r="I18" i="1" s="1"/>
  <c r="I23" i="1" s="1"/>
  <c r="H24" i="1"/>
  <c r="H17" i="1"/>
  <c r="H18" i="1" s="1"/>
  <c r="H23" i="1" s="1"/>
  <c r="K24" i="1"/>
  <c r="K17" i="1"/>
  <c r="K18" i="1" s="1"/>
  <c r="K23" i="1" s="1"/>
  <c r="J24" i="1"/>
  <c r="J17" i="1"/>
  <c r="J18" i="1" s="1"/>
  <c r="J23" i="1" s="1"/>
  <c r="G24" i="1"/>
  <c r="G17" i="1"/>
  <c r="G18" i="1" s="1"/>
  <c r="G23" i="1" s="1"/>
  <c r="D16" i="1"/>
  <c r="C17" i="1"/>
  <c r="C24" i="1"/>
  <c r="D70" i="1"/>
  <c r="C18" i="1" l="1"/>
  <c r="C23" i="1" s="1"/>
  <c r="K26" i="1"/>
  <c r="H26" i="1"/>
  <c r="E70" i="1"/>
  <c r="E8" i="10"/>
  <c r="F8" i="10" s="1"/>
  <c r="J71" i="1"/>
  <c r="M9" i="10" s="1"/>
  <c r="J27" i="1"/>
  <c r="J26" i="1"/>
  <c r="K71" i="1"/>
  <c r="O9" i="10" s="1"/>
  <c r="K27" i="1"/>
  <c r="H71" i="1"/>
  <c r="I9" i="10" s="1"/>
  <c r="H27" i="1"/>
  <c r="I71" i="1"/>
  <c r="K9" i="10" s="1"/>
  <c r="I27" i="1"/>
  <c r="I26" i="1"/>
  <c r="G71" i="1"/>
  <c r="G9" i="10" s="1"/>
  <c r="H9" i="10" s="1"/>
  <c r="G27" i="1"/>
  <c r="G26" i="1"/>
  <c r="C27" i="1"/>
  <c r="D17" i="1"/>
  <c r="C71" i="1"/>
  <c r="C9" i="10" s="1"/>
  <c r="D9" i="10" s="1"/>
  <c r="D24" i="1"/>
  <c r="I28" i="1" l="1"/>
  <c r="I29" i="1" s="1"/>
  <c r="I34" i="1" s="1"/>
  <c r="I35" i="1"/>
  <c r="K35" i="1"/>
  <c r="K28" i="1"/>
  <c r="K29" i="1" s="1"/>
  <c r="K34" i="1" s="1"/>
  <c r="H35" i="1"/>
  <c r="H28" i="1"/>
  <c r="H29" i="1" s="1"/>
  <c r="H34" i="1" s="1"/>
  <c r="J35" i="1"/>
  <c r="J28" i="1"/>
  <c r="J29" i="1" s="1"/>
  <c r="J34" i="1" s="1"/>
  <c r="G35" i="1"/>
  <c r="G28" i="1"/>
  <c r="G29" i="1" s="1"/>
  <c r="G34" i="1" s="1"/>
  <c r="D18" i="1"/>
  <c r="C28" i="1"/>
  <c r="C26" i="1"/>
  <c r="D71" i="1"/>
  <c r="D27" i="1"/>
  <c r="C35" i="1"/>
  <c r="E71" i="1" l="1"/>
  <c r="E9" i="10"/>
  <c r="F9" i="10" s="1"/>
  <c r="J72" i="1"/>
  <c r="M10" i="10" s="1"/>
  <c r="J38" i="1"/>
  <c r="J37" i="1"/>
  <c r="I72" i="1"/>
  <c r="K10" i="10" s="1"/>
  <c r="I38" i="1"/>
  <c r="I37" i="1"/>
  <c r="H72" i="1"/>
  <c r="I10" i="10" s="1"/>
  <c r="H38" i="1"/>
  <c r="H37" i="1"/>
  <c r="K72" i="1"/>
  <c r="O10" i="10" s="1"/>
  <c r="K38" i="1"/>
  <c r="K37" i="1"/>
  <c r="C29" i="1"/>
  <c r="C34" i="1" s="1"/>
  <c r="G72" i="1"/>
  <c r="G10" i="10" s="1"/>
  <c r="H10" i="10" s="1"/>
  <c r="G38" i="1"/>
  <c r="G37" i="1"/>
  <c r="C38" i="1"/>
  <c r="D23" i="1"/>
  <c r="C72" i="1"/>
  <c r="C10" i="10" s="1"/>
  <c r="D10" i="10" s="1"/>
  <c r="D28" i="1"/>
  <c r="D35" i="1"/>
  <c r="I39" i="1" l="1"/>
  <c r="I40" i="1" s="1"/>
  <c r="I45" i="1" s="1"/>
  <c r="I46" i="1"/>
  <c r="J46" i="1"/>
  <c r="J39" i="1"/>
  <c r="J40" i="1" s="1"/>
  <c r="J45" i="1" s="1"/>
  <c r="H46" i="1"/>
  <c r="H39" i="1"/>
  <c r="H40" i="1" s="1"/>
  <c r="H45" i="1" s="1"/>
  <c r="K46" i="1"/>
  <c r="K39" i="1"/>
  <c r="K40" i="1" s="1"/>
  <c r="K45" i="1" s="1"/>
  <c r="C37" i="1"/>
  <c r="C46" i="1"/>
  <c r="G46" i="1"/>
  <c r="G39" i="1"/>
  <c r="G40" i="1" s="1"/>
  <c r="G45" i="1" s="1"/>
  <c r="C39" i="1"/>
  <c r="D26" i="1"/>
  <c r="D29" i="1"/>
  <c r="D38" i="1"/>
  <c r="D72" i="1"/>
  <c r="E72" i="1" l="1"/>
  <c r="E10" i="10"/>
  <c r="F10" i="10" s="1"/>
  <c r="K73" i="1"/>
  <c r="O11" i="10" s="1"/>
  <c r="K48" i="1"/>
  <c r="K49" i="1"/>
  <c r="H73" i="1"/>
  <c r="I11" i="10" s="1"/>
  <c r="H48" i="1"/>
  <c r="H49" i="1"/>
  <c r="J73" i="1"/>
  <c r="M11" i="10" s="1"/>
  <c r="J48" i="1"/>
  <c r="J49" i="1"/>
  <c r="I73" i="1"/>
  <c r="K11" i="10" s="1"/>
  <c r="I48" i="1"/>
  <c r="I49" i="1"/>
  <c r="G73" i="1"/>
  <c r="G11" i="10" s="1"/>
  <c r="H11" i="10" s="1"/>
  <c r="G48" i="1"/>
  <c r="G49" i="1"/>
  <c r="C40" i="1"/>
  <c r="C45" i="1" s="1"/>
  <c r="D34" i="1"/>
  <c r="C49" i="1"/>
  <c r="C73" i="1"/>
  <c r="C11" i="10" s="1"/>
  <c r="D11" i="10" s="1"/>
  <c r="D39" i="1"/>
  <c r="D46" i="1"/>
  <c r="J50" i="1" l="1"/>
  <c r="J51" i="1" s="1"/>
  <c r="J55" i="1" s="1"/>
  <c r="J74" i="1"/>
  <c r="H50" i="1"/>
  <c r="H51" i="1" s="1"/>
  <c r="H55" i="1" s="1"/>
  <c r="H74" i="1"/>
  <c r="K50" i="1"/>
  <c r="K51" i="1" s="1"/>
  <c r="K55" i="1" s="1"/>
  <c r="K74" i="1"/>
  <c r="I50" i="1"/>
  <c r="I51" i="1" s="1"/>
  <c r="I55" i="1" s="1"/>
  <c r="I74" i="1"/>
  <c r="G50" i="1"/>
  <c r="G51" i="1" s="1"/>
  <c r="G55" i="1" s="1"/>
  <c r="G74" i="1"/>
  <c r="C48" i="1"/>
  <c r="D40" i="1"/>
  <c r="C74" i="1"/>
  <c r="C75" i="1" s="1"/>
  <c r="D37" i="1"/>
  <c r="D73" i="1"/>
  <c r="D49" i="1"/>
  <c r="C50" i="1"/>
  <c r="C13" i="10" l="1"/>
  <c r="D13" i="10" s="1"/>
  <c r="C12" i="10"/>
  <c r="D12" i="10" s="1"/>
  <c r="H75" i="1"/>
  <c r="I13" i="10" s="1"/>
  <c r="I12" i="10"/>
  <c r="G75" i="1"/>
  <c r="G13" i="10" s="1"/>
  <c r="H13" i="10" s="1"/>
  <c r="G12" i="10"/>
  <c r="H12" i="10" s="1"/>
  <c r="E73" i="1"/>
  <c r="E11" i="10"/>
  <c r="F11" i="10" s="1"/>
  <c r="I75" i="1"/>
  <c r="K13" i="10" s="1"/>
  <c r="K12" i="10"/>
  <c r="J75" i="1"/>
  <c r="M13" i="10" s="1"/>
  <c r="M12" i="10"/>
  <c r="K75" i="1"/>
  <c r="O13" i="10" s="1"/>
  <c r="O12" i="10"/>
  <c r="K61" i="1"/>
  <c r="K58" i="1"/>
  <c r="I58" i="1"/>
  <c r="I61" i="1"/>
  <c r="H61" i="1"/>
  <c r="H58" i="1"/>
  <c r="J61" i="1"/>
  <c r="J58" i="1"/>
  <c r="G61" i="1"/>
  <c r="G58" i="1"/>
  <c r="C51" i="1"/>
  <c r="D45" i="1"/>
  <c r="D74" i="1"/>
  <c r="E74" i="1" s="1"/>
  <c r="D50" i="1"/>
  <c r="D60" i="1"/>
  <c r="D56" i="1"/>
  <c r="D75" i="1" l="1"/>
  <c r="E12" i="10"/>
  <c r="F12" i="10" s="1"/>
  <c r="D51" i="1"/>
  <c r="D48" i="1"/>
  <c r="C55" i="1"/>
  <c r="E13" i="10" l="1"/>
  <c r="F13" i="10" s="1"/>
  <c r="E75" i="1"/>
  <c r="D55" i="1"/>
  <c r="C61" i="1"/>
  <c r="C58" i="1"/>
  <c r="D58" i="1" l="1"/>
  <c r="D6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Richard Xie</author>
  </authors>
  <commentList>
    <comment ref="K5" authorId="0" shapeId="0" xr:uid="{8117E122-F602-9D48-B83F-A8C36748D26C}">
      <text>
        <r>
          <rPr>
            <b/>
            <sz val="10"/>
            <color rgb="FF000000"/>
            <rFont val="Tahoma"/>
            <family val="2"/>
          </rPr>
          <t>Richard Xie: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note the real IRA price negotiation discount from first round
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min discount equal to net price
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and how our estimates are conservative</t>
        </r>
      </text>
    </comment>
  </commentList>
</comments>
</file>

<file path=xl/sharedStrings.xml><?xml version="1.0" encoding="utf-8"?>
<sst xmlns="http://schemas.openxmlformats.org/spreadsheetml/2006/main" count="211" uniqueCount="107">
  <si>
    <t>Investor target return</t>
  </si>
  <si>
    <t>Value at approval</t>
  </si>
  <si>
    <t>POS of file --&gt; approval</t>
  </si>
  <si>
    <t>Duration (years)</t>
  </si>
  <si>
    <t>FV at Ph3 (before dilution)</t>
  </si>
  <si>
    <t>Post-money</t>
  </si>
  <si>
    <t>Amount to raise</t>
  </si>
  <si>
    <t>Discount to FV required to entice investors to participate</t>
  </si>
  <si>
    <t>Pre-money</t>
  </si>
  <si>
    <t>Dilution</t>
  </si>
  <si>
    <t>FV at Ph3 (after dilution)</t>
  </si>
  <si>
    <t>POS-adj step-up required vs prior round</t>
  </si>
  <si>
    <t>POS of Ph3 --&gt; file</t>
  </si>
  <si>
    <t>FV at Ph2 (before dilution)</t>
  </si>
  <si>
    <t>FV at Ph2 (after dilution)</t>
  </si>
  <si>
    <t>POS of Ph2 --&gt; Ph3</t>
  </si>
  <si>
    <t>FV at Ph1 (before dilution)</t>
  </si>
  <si>
    <t>FV at Ph1 (after dilution)</t>
  </si>
  <si>
    <t>POS of Ph1 --&gt; Ph2</t>
  </si>
  <si>
    <t>FV at PC (before dilution)</t>
  </si>
  <si>
    <t>Discount required to entice investors to participate</t>
  </si>
  <si>
    <t>FV at PC (after dilution)</t>
  </si>
  <si>
    <t>POS of PC --&gt; Ph1 (SEED)</t>
  </si>
  <si>
    <t>Seed investor ownership</t>
  </si>
  <si>
    <t>Mkt</t>
  </si>
  <si>
    <t>File</t>
  </si>
  <si>
    <t>Ph3</t>
  </si>
  <si>
    <t>Ph2</t>
  </si>
  <si>
    <t>Ph1</t>
  </si>
  <si>
    <t>PC</t>
  </si>
  <si>
    <t>P&amp;L for CV small molecule (pre-IRA)</t>
  </si>
  <si>
    <t>Peak US sales</t>
  </si>
  <si>
    <t>WW multiplier</t>
  </si>
  <si>
    <t>Price in ex-US vs. US</t>
  </si>
  <si>
    <t>% US</t>
  </si>
  <si>
    <t>Time</t>
  </si>
  <si>
    <t>US P&amp;L</t>
  </si>
  <si>
    <t>TV</t>
  </si>
  <si>
    <t>Notes</t>
  </si>
  <si>
    <t>US Sales</t>
  </si>
  <si>
    <t>xx</t>
  </si>
  <si>
    <t>Ramp</t>
  </si>
  <si>
    <t>Growth</t>
  </si>
  <si>
    <t>Gross Margin</t>
  </si>
  <si>
    <t>Gross Profit</t>
  </si>
  <si>
    <t>SG&amp;A</t>
  </si>
  <si>
    <t>% of Sales</t>
  </si>
  <si>
    <t>R&amp;D (required)</t>
  </si>
  <si>
    <t>EBIT</t>
  </si>
  <si>
    <t>CM</t>
  </si>
  <si>
    <t>Taxed</t>
  </si>
  <si>
    <t>Discount</t>
  </si>
  <si>
    <t>DCF</t>
  </si>
  <si>
    <t>NPV</t>
  </si>
  <si>
    <t>EV/Sales</t>
  </si>
  <si>
    <t>Ex-US P&amp;L</t>
  </si>
  <si>
    <t>Ex-US Sales</t>
  </si>
  <si>
    <t>% NPV</t>
  </si>
  <si>
    <t>US</t>
  </si>
  <si>
    <t>Ex-US</t>
  </si>
  <si>
    <t>Total</t>
  </si>
  <si>
    <t>Years 1-9</t>
  </si>
  <si>
    <t>Years 10-14</t>
  </si>
  <si>
    <t>Years 1-14</t>
  </si>
  <si>
    <t>WW</t>
  </si>
  <si>
    <t>&lt;&lt; plug for file to approval but calculated for all other stages</t>
  </si>
  <si>
    <t xml:space="preserve">&lt;&lt; plug for equivalence at the beginning… but practically pricing this at 20M woudl require a massive downround in the next round; in the chart, we show the pre-money as simply the pre-money for the Ph1 round minus $ raised to fund the seed </t>
  </si>
  <si>
    <t>Year</t>
  </si>
  <si>
    <t>Sales</t>
  </si>
  <si>
    <t>Discounted Profit</t>
  </si>
  <si>
    <t>Phase 3</t>
  </si>
  <si>
    <t>Phase 2</t>
  </si>
  <si>
    <t>Phase 1</t>
  </si>
  <si>
    <t>Pre-IRA</t>
  </si>
  <si>
    <t xml:space="preserve">Time Period </t>
  </si>
  <si>
    <t>Revenue (undiscounted)</t>
  </si>
  <si>
    <t>EBIT (undiscounted)</t>
  </si>
  <si>
    <t>NPV (discounted)</t>
  </si>
  <si>
    <t xml:space="preserve">Pre-IRA </t>
  </si>
  <si>
    <t>Post IRA</t>
  </si>
  <si>
    <t>Base (100%)</t>
  </si>
  <si>
    <t>Decision</t>
  </si>
  <si>
    <t>Scenario</t>
  </si>
  <si>
    <t>Profit Erosion Assumption</t>
  </si>
  <si>
    <t xml:space="preserve">Outcome </t>
  </si>
  <si>
    <t>After Year 14</t>
  </si>
  <si>
    <t xml:space="preserve"> Yes </t>
  </si>
  <si>
    <t xml:space="preserve"> No </t>
  </si>
  <si>
    <t>Notes:</t>
  </si>
  <si>
    <t>% of reduction in NPV</t>
  </si>
  <si>
    <t xml:space="preserve">Sales </t>
  </si>
  <si>
    <t>Supplementary Table 2 - Sensitivity Analysis - Reduction in Profit due to IRA (range 50% to 100% profit drop)</t>
  </si>
  <si>
    <t>Supplementary Table 1 - Revenue and Profits by Year and Region (in millions USD)</t>
  </si>
  <si>
    <t>Gross profit is calculated as the product of sales revenue and gross margin</t>
  </si>
  <si>
    <t xml:space="preserve">EBIT is calculated as gross profit minus selling, general, and administrative expenses, and the R&amp;D spending. </t>
  </si>
  <si>
    <t>A discount rate of 11% was used to calculate the present value of future profits at year 0 (time of approval)</t>
  </si>
  <si>
    <t>Market (approved)</t>
  </si>
  <si>
    <t xml:space="preserve">PreClinical </t>
  </si>
  <si>
    <t>Post-IRA - base case</t>
  </si>
  <si>
    <t>Post-IRA - sensitivity analyses</t>
  </si>
  <si>
    <t>Post-IRA - Base Case</t>
  </si>
  <si>
    <t>Sensitivity Analysis</t>
  </si>
  <si>
    <t>Seed</t>
  </si>
  <si>
    <t>User Notes</t>
  </si>
  <si>
    <t>Blue text indicates hard-coded values (by assumptions or based on historical data)</t>
  </si>
  <si>
    <t>Seeding</t>
  </si>
  <si>
    <t xml:space="preserve">Seeding refers to the decision point of whether to fund preclinical research.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</si>
</sst>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  <numFmt numFmtId="166" formatCode="0.0"/>
    <numFmt numFmtId="167" formatCode="_(&quot;$&quot;* #,##0.0_);_(&quot;$&quot;* \(#,##0.0\);_(&quot;$&quot;* &quot;-&quot;??_);_(@_)"/>
    <numFmt numFmtId="168" formatCode="_(&quot;$&quot;* #,##0_);_(&quot;$&quot;* \(#,##0\);_(&quot;$&quot;* &quot;-&quot;??_);_(@_)"/>
    <numFmt numFmtId="169" formatCode="0.0%"/>
    <numFmt numFmtId="170" formatCode="#,##0.0\x"/>
    <numFmt numFmtId="171" formatCode="#,###"/>
  </numFmts>
  <fonts count="1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4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6"/>
      <color theme="1"/>
      <name val="Calibri"/>
      <family val="2"/>
    </font>
    <font>
      <sz val="11"/>
      <color rgb="FF0000FF"/>
      <name val="Calibri"/>
      <family val="2"/>
    </font>
    <font>
      <sz val="11"/>
      <color theme="0"/>
      <name val="Calibri"/>
      <family val="2"/>
    </font>
    <font>
      <i/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rgb="FF000000"/>
      <name val="Tahoma"/>
      <family val="2"/>
    </font>
    <font>
      <b/>
      <sz val="10"/>
      <color rgb="FF000000"/>
      <name val="Tahoma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Aptos"/>
    </font>
    <font>
      <b/>
      <sz val="11"/>
      <name val="Aptos"/>
    </font>
  </fonts>
  <fills count="6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2E75B5"/>
        <bgColor rgb="FF2E75B5"/>
      </patternFill>
    </fill>
    <fill>
      <patternFill patternType="solid">
        <fgColor rgb="FF9CC2E5"/>
        <bgColor rgb="FF9CC2E5"/>
      </patternFill>
    </fill>
    <fill>
      <patternFill patternType="solid">
        <fgColor rgb="FFC8C8C8"/>
        <bgColor rgb="FFC8C8C8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3">
    <xf numFmtId="0" fontId="0" fillId="0" borderId="0"/>
    <xf numFmtId="44" fontId="11" fillId="0" borderId="0" applyFont="0" applyFill="0" applyBorder="0" applyAlignment="0" applyProtection="0"/>
    <xf numFmtId="9" fontId="11" fillId="0" borderId="0" applyFont="0" applyFill="0" applyBorder="0" applyAlignment="0" applyProtection="0"/>
  </cellStyleXfs>
  <cellXfs count="99">
    <xf numFmtId="0" fontId="0" fillId="0" borderId="0" xfId="0"/>
    <xf numFmtId="0" fontId="2" fillId="0" borderId="0" xfId="0" applyFont="1"/>
    <xf numFmtId="9" fontId="3" fillId="0" borderId="0" xfId="0" applyNumberFormat="1" applyFont="1"/>
    <xf numFmtId="3" fontId="4" fillId="0" borderId="0" xfId="0" applyNumberFormat="1" applyFont="1"/>
    <xf numFmtId="0" fontId="5" fillId="0" borderId="0" xfId="0" applyFont="1"/>
    <xf numFmtId="0" fontId="4" fillId="0" borderId="0" xfId="0" applyFont="1"/>
    <xf numFmtId="164" fontId="3" fillId="0" borderId="0" xfId="0" applyNumberFormat="1" applyFont="1"/>
    <xf numFmtId="165" fontId="4" fillId="0" borderId="0" xfId="0" applyNumberFormat="1" applyFont="1"/>
    <xf numFmtId="165" fontId="3" fillId="0" borderId="0" xfId="0" applyNumberFormat="1" applyFont="1"/>
    <xf numFmtId="9" fontId="4" fillId="0" borderId="0" xfId="0" applyNumberFormat="1" applyFont="1"/>
    <xf numFmtId="165" fontId="4" fillId="2" borderId="1" xfId="0" applyNumberFormat="1" applyFont="1" applyFill="1" applyBorder="1"/>
    <xf numFmtId="43" fontId="4" fillId="0" borderId="0" xfId="0" applyNumberFormat="1" applyFont="1"/>
    <xf numFmtId="0" fontId="6" fillId="0" borderId="0" xfId="0" applyFont="1"/>
    <xf numFmtId="0" fontId="7" fillId="0" borderId="0" xfId="0" applyFont="1"/>
    <xf numFmtId="9" fontId="7" fillId="0" borderId="0" xfId="0" applyNumberFormat="1" applyFont="1"/>
    <xf numFmtId="0" fontId="4" fillId="0" borderId="2" xfId="0" applyFont="1" applyBorder="1"/>
    <xf numFmtId="166" fontId="7" fillId="0" borderId="2" xfId="0" applyNumberFormat="1" applyFont="1" applyBorder="1"/>
    <xf numFmtId="166" fontId="4" fillId="0" borderId="2" xfId="0" applyNumberFormat="1" applyFont="1" applyBorder="1"/>
    <xf numFmtId="0" fontId="8" fillId="3" borderId="1" xfId="0" applyFont="1" applyFill="1" applyBorder="1"/>
    <xf numFmtId="167" fontId="7" fillId="0" borderId="0" xfId="0" applyNumberFormat="1" applyFont="1"/>
    <xf numFmtId="168" fontId="4" fillId="0" borderId="0" xfId="0" applyNumberFormat="1" applyFont="1"/>
    <xf numFmtId="168" fontId="7" fillId="0" borderId="3" xfId="0" applyNumberFormat="1" applyFont="1" applyBorder="1"/>
    <xf numFmtId="9" fontId="7" fillId="0" borderId="3" xfId="0" applyNumberFormat="1" applyFont="1" applyBorder="1"/>
    <xf numFmtId="169" fontId="4" fillId="0" borderId="0" xfId="0" applyNumberFormat="1" applyFont="1"/>
    <xf numFmtId="169" fontId="7" fillId="0" borderId="0" xfId="0" applyNumberFormat="1" applyFont="1"/>
    <xf numFmtId="169" fontId="7" fillId="0" borderId="3" xfId="0" applyNumberFormat="1" applyFont="1" applyBorder="1"/>
    <xf numFmtId="3" fontId="7" fillId="0" borderId="0" xfId="0" applyNumberFormat="1" applyFont="1"/>
    <xf numFmtId="0" fontId="9" fillId="0" borderId="0" xfId="0" applyFont="1"/>
    <xf numFmtId="165" fontId="7" fillId="0" borderId="0" xfId="0" applyNumberFormat="1" applyFont="1"/>
    <xf numFmtId="169" fontId="7" fillId="0" borderId="3" xfId="0" applyNumberFormat="1" applyFont="1" applyBorder="1" applyAlignment="1">
      <alignment horizontal="center"/>
    </xf>
    <xf numFmtId="4" fontId="4" fillId="0" borderId="0" xfId="0" applyNumberFormat="1" applyFont="1"/>
    <xf numFmtId="6" fontId="4" fillId="0" borderId="0" xfId="0" applyNumberFormat="1" applyFont="1"/>
    <xf numFmtId="170" fontId="4" fillId="0" borderId="0" xfId="0" applyNumberFormat="1" applyFont="1"/>
    <xf numFmtId="8" fontId="4" fillId="0" borderId="0" xfId="0" applyNumberFormat="1" applyFont="1"/>
    <xf numFmtId="171" fontId="4" fillId="0" borderId="0" xfId="0" applyNumberFormat="1" applyFont="1"/>
    <xf numFmtId="0" fontId="8" fillId="4" borderId="1" xfId="0" applyFont="1" applyFill="1" applyBorder="1"/>
    <xf numFmtId="0" fontId="4" fillId="5" borderId="4" xfId="0" applyFont="1" applyFill="1" applyBorder="1"/>
    <xf numFmtId="0" fontId="4" fillId="5" borderId="5" xfId="0" applyFont="1" applyFill="1" applyBorder="1"/>
    <xf numFmtId="0" fontId="4" fillId="5" borderId="6" xfId="0" applyFont="1" applyFill="1" applyBorder="1"/>
    <xf numFmtId="0" fontId="4" fillId="5" borderId="7" xfId="0" applyFont="1" applyFill="1" applyBorder="1"/>
    <xf numFmtId="3" fontId="4" fillId="0" borderId="8" xfId="0" applyNumberFormat="1" applyFont="1" applyBorder="1"/>
    <xf numFmtId="9" fontId="4" fillId="0" borderId="9" xfId="0" applyNumberFormat="1" applyFont="1" applyBorder="1"/>
    <xf numFmtId="3" fontId="4" fillId="0" borderId="10" xfId="0" applyNumberFormat="1" applyFont="1" applyBorder="1"/>
    <xf numFmtId="9" fontId="4" fillId="0" borderId="11" xfId="0" applyNumberFormat="1" applyFont="1" applyBorder="1"/>
    <xf numFmtId="0" fontId="4" fillId="5" borderId="12" xfId="0" applyFont="1" applyFill="1" applyBorder="1"/>
    <xf numFmtId="3" fontId="4" fillId="0" borderId="13" xfId="0" applyNumberFormat="1" applyFont="1" applyBorder="1"/>
    <xf numFmtId="9" fontId="4" fillId="0" borderId="14" xfId="0" applyNumberFormat="1" applyFont="1" applyBorder="1"/>
    <xf numFmtId="43" fontId="10" fillId="0" borderId="0" xfId="0" applyNumberFormat="1" applyFont="1"/>
    <xf numFmtId="0" fontId="1" fillId="0" borderId="0" xfId="0" applyFont="1"/>
    <xf numFmtId="44" fontId="14" fillId="0" borderId="0" xfId="1" applyFont="1" applyAlignment="1">
      <alignment horizontal="center" vertical="top"/>
    </xf>
    <xf numFmtId="0" fontId="14" fillId="0" borderId="15" xfId="0" applyFont="1" applyBorder="1" applyAlignment="1">
      <alignment horizontal="center" vertical="top"/>
    </xf>
    <xf numFmtId="44" fontId="14" fillId="0" borderId="15" xfId="1" applyFont="1" applyBorder="1" applyAlignment="1">
      <alignment horizontal="center" vertical="top"/>
    </xf>
    <xf numFmtId="44" fontId="14" fillId="0" borderId="16" xfId="1" applyFont="1" applyBorder="1" applyAlignment="1">
      <alignment horizontal="center" vertical="top"/>
    </xf>
    <xf numFmtId="0" fontId="15" fillId="0" borderId="0" xfId="0" applyFont="1"/>
    <xf numFmtId="0" fontId="4" fillId="0" borderId="1" xfId="0" applyFont="1" applyBorder="1" applyAlignment="1">
      <alignment horizontal="left"/>
    </xf>
    <xf numFmtId="168" fontId="4" fillId="0" borderId="1" xfId="1" applyNumberFormat="1" applyFont="1" applyFill="1" applyBorder="1"/>
    <xf numFmtId="0" fontId="0" fillId="0" borderId="15" xfId="0" applyBorder="1"/>
    <xf numFmtId="0" fontId="4" fillId="0" borderId="15" xfId="0" applyFont="1" applyBorder="1"/>
    <xf numFmtId="0" fontId="1" fillId="0" borderId="15" xfId="0" applyFont="1" applyBorder="1"/>
    <xf numFmtId="168" fontId="4" fillId="0" borderId="15" xfId="1" applyNumberFormat="1" applyFont="1" applyFill="1" applyBorder="1"/>
    <xf numFmtId="168" fontId="0" fillId="0" borderId="15" xfId="1" applyNumberFormat="1" applyFont="1" applyFill="1" applyBorder="1"/>
    <xf numFmtId="0" fontId="4" fillId="0" borderId="15" xfId="0" applyFont="1" applyBorder="1" applyAlignment="1">
      <alignment horizontal="left"/>
    </xf>
    <xf numFmtId="0" fontId="4" fillId="0" borderId="16" xfId="0" applyFont="1" applyBorder="1" applyAlignment="1">
      <alignment horizontal="left"/>
    </xf>
    <xf numFmtId="168" fontId="4" fillId="0" borderId="16" xfId="1" applyNumberFormat="1" applyFont="1" applyFill="1" applyBorder="1"/>
    <xf numFmtId="10" fontId="2" fillId="0" borderId="0" xfId="2" applyNumberFormat="1" applyFont="1"/>
    <xf numFmtId="10" fontId="4" fillId="0" borderId="0" xfId="2" applyNumberFormat="1" applyFont="1"/>
    <xf numFmtId="9" fontId="0" fillId="0" borderId="0" xfId="0" applyNumberFormat="1"/>
    <xf numFmtId="3" fontId="0" fillId="0" borderId="0" xfId="0" applyNumberFormat="1"/>
    <xf numFmtId="164" fontId="0" fillId="0" borderId="0" xfId="0" applyNumberFormat="1"/>
    <xf numFmtId="165" fontId="0" fillId="0" borderId="0" xfId="0" applyNumberFormat="1"/>
    <xf numFmtId="43" fontId="0" fillId="0" borderId="0" xfId="0" applyNumberFormat="1"/>
    <xf numFmtId="9" fontId="15" fillId="0" borderId="0" xfId="0" applyNumberFormat="1" applyFont="1"/>
    <xf numFmtId="44" fontId="16" fillId="0" borderId="1" xfId="0" applyNumberFormat="1" applyFont="1" applyBorder="1"/>
    <xf numFmtId="44" fontId="16" fillId="0" borderId="17" xfId="0" applyNumberFormat="1" applyFont="1" applyBorder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wrapText="1"/>
    </xf>
    <xf numFmtId="10" fontId="1" fillId="0" borderId="0" xfId="2" applyNumberFormat="1" applyFont="1"/>
    <xf numFmtId="168" fontId="14" fillId="0" borderId="0" xfId="1" applyNumberFormat="1" applyFont="1" applyAlignment="1">
      <alignment horizontal="center" vertical="top"/>
    </xf>
    <xf numFmtId="168" fontId="14" fillId="0" borderId="15" xfId="1" applyNumberFormat="1" applyFont="1" applyBorder="1" applyAlignment="1">
      <alignment horizontal="center" vertical="top"/>
    </xf>
    <xf numFmtId="168" fontId="14" fillId="0" borderId="16" xfId="1" applyNumberFormat="1" applyFont="1" applyBorder="1" applyAlignment="1">
      <alignment horizontal="center" vertical="top"/>
    </xf>
    <xf numFmtId="0" fontId="17" fillId="0" borderId="15" xfId="0" applyFont="1" applyBorder="1"/>
    <xf numFmtId="0" fontId="17" fillId="0" borderId="15" xfId="0" applyFont="1" applyBorder="1" applyAlignment="1">
      <alignment horizontal="center" vertical="top"/>
    </xf>
    <xf numFmtId="0" fontId="18" fillId="0" borderId="15" xfId="0" applyFont="1" applyBorder="1"/>
    <xf numFmtId="0" fontId="17" fillId="0" borderId="0" xfId="0" applyFont="1"/>
    <xf numFmtId="0" fontId="17" fillId="0" borderId="16" xfId="0" applyFont="1" applyBorder="1"/>
    <xf numFmtId="0" fontId="17" fillId="0" borderId="1" xfId="0" applyFont="1" applyBorder="1"/>
    <xf numFmtId="168" fontId="1" fillId="0" borderId="0" xfId="1" applyNumberFormat="1" applyFont="1"/>
    <xf numFmtId="44" fontId="1" fillId="0" borderId="0" xfId="1" applyFont="1"/>
    <xf numFmtId="0" fontId="1" fillId="0" borderId="17" xfId="0" applyFont="1" applyBorder="1"/>
    <xf numFmtId="168" fontId="1" fillId="0" borderId="17" xfId="1" applyNumberFormat="1" applyFont="1" applyBorder="1"/>
    <xf numFmtId="44" fontId="1" fillId="0" borderId="17" xfId="1" applyFont="1" applyBorder="1"/>
    <xf numFmtId="9" fontId="1" fillId="0" borderId="0" xfId="0" applyNumberFormat="1" applyFont="1"/>
    <xf numFmtId="170" fontId="4" fillId="0" borderId="1" xfId="0" applyNumberFormat="1" applyFont="1" applyBorder="1"/>
    <xf numFmtId="0" fontId="4" fillId="0" borderId="15" xfId="0" applyFont="1" applyBorder="1" applyAlignment="1">
      <alignment horizont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/>
    </xf>
    <xf numFmtId="9" fontId="1" fillId="0" borderId="15" xfId="0" applyNumberFormat="1" applyFont="1" applyBorder="1" applyAlignment="1">
      <alignment horizontal="center"/>
    </xf>
    <xf numFmtId="0" fontId="15" fillId="0" borderId="0" xfId="0" applyFont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4" Type="http://schemas.openxmlformats.org/officeDocument/2006/relationships/worksheet" Target="worksheets/sheet4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3D6FF0-F377-5D49-9026-EA180DBA44AA}">
  <dimension ref="B2:Q19"/>
  <sheetViews>
    <sheetView showGridLines="0" zoomScale="140" zoomScaleNormal="140" workbookViewId="0"/>
  </sheetViews>
  <sheetFormatPr baseColWidth="10" defaultRowHeight="15" x14ac:dyDescent="0.2"/>
  <cols>
    <col min="1" max="1" width="3.33203125" style="48" customWidth="1"/>
    <col min="2" max="2" width="20.83203125" style="48" bestFit="1" customWidth="1"/>
    <col min="3" max="16384" width="10.83203125" style="48"/>
  </cols>
  <sheetData>
    <row r="2" spans="2:17" x14ac:dyDescent="0.2">
      <c r="B2" s="53" t="s">
        <v>92</v>
      </c>
    </row>
    <row r="3" spans="2:17" x14ac:dyDescent="0.2">
      <c r="B3" s="53"/>
    </row>
    <row r="4" spans="2:17" x14ac:dyDescent="0.2">
      <c r="B4" s="81" t="s">
        <v>67</v>
      </c>
      <c r="C4" s="82">
        <v>0</v>
      </c>
      <c r="D4" s="82">
        <v>1</v>
      </c>
      <c r="E4" s="82">
        <v>2</v>
      </c>
      <c r="F4" s="82">
        <v>3</v>
      </c>
      <c r="G4" s="82">
        <v>4</v>
      </c>
      <c r="H4" s="82">
        <v>5</v>
      </c>
      <c r="I4" s="82">
        <v>6</v>
      </c>
      <c r="J4" s="82">
        <v>7</v>
      </c>
      <c r="K4" s="82">
        <v>8</v>
      </c>
      <c r="L4" s="82">
        <v>9</v>
      </c>
      <c r="M4" s="82">
        <v>10</v>
      </c>
      <c r="N4" s="82">
        <v>11</v>
      </c>
      <c r="O4" s="82">
        <v>12</v>
      </c>
      <c r="P4" s="82">
        <v>13</v>
      </c>
      <c r="Q4" s="82">
        <v>14</v>
      </c>
    </row>
    <row r="5" spans="2:17" x14ac:dyDescent="0.2">
      <c r="B5" s="83" t="s">
        <v>58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</row>
    <row r="6" spans="2:17" x14ac:dyDescent="0.2">
      <c r="B6" s="84" t="s">
        <v>90</v>
      </c>
      <c r="C6" s="49">
        <f>'CV drug'!F12</f>
        <v>0</v>
      </c>
      <c r="D6" s="78">
        <f>'CV drug'!G12</f>
        <v>101.45175064047821</v>
      </c>
      <c r="E6" s="78">
        <f>'CV drug'!H12</f>
        <v>189.92314261315113</v>
      </c>
      <c r="F6" s="78">
        <f>'CV drug'!I12</f>
        <v>315.96925704526046</v>
      </c>
      <c r="G6" s="78">
        <f>'CV drug'!J12</f>
        <v>436.20836891545684</v>
      </c>
      <c r="H6" s="78">
        <f>'CV drug'!K12</f>
        <v>584.79931682322797</v>
      </c>
      <c r="I6" s="78">
        <f>'CV drug'!L12</f>
        <v>804.09906063193853</v>
      </c>
      <c r="J6" s="78">
        <f>'CV drug'!M12</f>
        <v>1023.0572160546541</v>
      </c>
      <c r="K6" s="78">
        <f>'CV drug'!N12</f>
        <v>1200</v>
      </c>
      <c r="L6" s="78">
        <f>'CV drug'!O12</f>
        <v>1236</v>
      </c>
      <c r="M6" s="78">
        <f>'CV drug'!P12</f>
        <v>1273.08</v>
      </c>
      <c r="N6" s="78">
        <f>'CV drug'!Q12</f>
        <v>1311.2724000000001</v>
      </c>
      <c r="O6" s="78">
        <f>'CV drug'!R12</f>
        <v>1350.610572</v>
      </c>
      <c r="P6" s="78">
        <f>'CV drug'!S12</f>
        <v>1391.12888916</v>
      </c>
      <c r="Q6" s="78">
        <f>'CV drug'!T12</f>
        <v>1432.8627558348001</v>
      </c>
    </row>
    <row r="7" spans="2:17" x14ac:dyDescent="0.2">
      <c r="B7" s="84" t="s">
        <v>44</v>
      </c>
      <c r="C7" s="49">
        <f>'CV drug'!F17</f>
        <v>0</v>
      </c>
      <c r="D7" s="78">
        <f>'CV drug'!G17</f>
        <v>96.379163108454293</v>
      </c>
      <c r="E7" s="78">
        <f>'CV drug'!H17</f>
        <v>180.42698548249356</v>
      </c>
      <c r="F7" s="78">
        <f>'CV drug'!I17</f>
        <v>300.17079419299745</v>
      </c>
      <c r="G7" s="78">
        <f>'CV drug'!J17</f>
        <v>414.39795046968396</v>
      </c>
      <c r="H7" s="78">
        <f>'CV drug'!K17</f>
        <v>555.55935098206658</v>
      </c>
      <c r="I7" s="78">
        <f>'CV drug'!L17</f>
        <v>763.89410760034161</v>
      </c>
      <c r="J7" s="78">
        <f>'CV drug'!M17</f>
        <v>971.90435525192129</v>
      </c>
      <c r="K7" s="78">
        <f>'CV drug'!N17</f>
        <v>1140</v>
      </c>
      <c r="L7" s="78">
        <f>'CV drug'!O17</f>
        <v>1174.2</v>
      </c>
      <c r="M7" s="78">
        <f>'CV drug'!P17</f>
        <v>1209.4259999999999</v>
      </c>
      <c r="N7" s="78">
        <f>'CV drug'!Q17</f>
        <v>1245.7087799999999</v>
      </c>
      <c r="O7" s="78">
        <f>'CV drug'!R17</f>
        <v>1283.0800434</v>
      </c>
      <c r="P7" s="78">
        <f>'CV drug'!S17</f>
        <v>1321.572444702</v>
      </c>
      <c r="Q7" s="78">
        <f>'CV drug'!T17</f>
        <v>1361.2196180430599</v>
      </c>
    </row>
    <row r="8" spans="2:17" x14ac:dyDescent="0.2">
      <c r="B8" s="84" t="s">
        <v>48</v>
      </c>
      <c r="C8" s="49">
        <f>'CV drug'!F24</f>
        <v>0</v>
      </c>
      <c r="D8" s="78">
        <f>'CV drug'!G24</f>
        <v>-128.62083689154571</v>
      </c>
      <c r="E8" s="78">
        <f>'CV drug'!H24</f>
        <v>-62.073014517506465</v>
      </c>
      <c r="F8" s="78">
        <f>'CV drug'!I24</f>
        <v>38.420794192997391</v>
      </c>
      <c r="G8" s="78">
        <f>'CV drug'!J24</f>
        <v>161.47295046968389</v>
      </c>
      <c r="H8" s="78">
        <f>'CV drug'!K24</f>
        <v>289.34185098206649</v>
      </c>
      <c r="I8" s="78">
        <f>'CV drug'!L24</f>
        <v>472.05485760034151</v>
      </c>
      <c r="J8" s="78">
        <f>'CV drug'!M24</f>
        <v>651.88118025192114</v>
      </c>
      <c r="K8" s="78">
        <f>'CV drug'!N24</f>
        <v>788.97450749999985</v>
      </c>
      <c r="L8" s="78">
        <f>'CV drug'!O24</f>
        <v>855.2</v>
      </c>
      <c r="M8" s="78">
        <f>'CV drug'!P24</f>
        <v>881.15599999999995</v>
      </c>
      <c r="N8" s="78">
        <f>'CV drug'!Q24</f>
        <v>907.89067999999997</v>
      </c>
      <c r="O8" s="78">
        <f>'CV drug'!R24</f>
        <v>935.42740040000001</v>
      </c>
      <c r="P8" s="78">
        <f>'CV drug'!S24</f>
        <v>963.79022241200005</v>
      </c>
      <c r="Q8" s="78">
        <f>'CV drug'!T24</f>
        <v>993.00392908435992</v>
      </c>
    </row>
    <row r="9" spans="2:17" x14ac:dyDescent="0.2">
      <c r="B9" s="84" t="s">
        <v>69</v>
      </c>
      <c r="C9" s="49">
        <f>'CV drug'!F29</f>
        <v>0</v>
      </c>
      <c r="D9" s="78">
        <f>'CV drug'!G29</f>
        <v>-102.89666951323657</v>
      </c>
      <c r="E9" s="78">
        <f>'CV drug'!H29</f>
        <v>-44.73730776036502</v>
      </c>
      <c r="F9" s="78">
        <f>'CV drug'!I29</f>
        <v>24.946542776071674</v>
      </c>
      <c r="G9" s="78">
        <f>'CV drug'!J29</f>
        <v>94.454103757334479</v>
      </c>
      <c r="H9" s="78">
        <f>'CV drug'!K29</f>
        <v>152.47875148666731</v>
      </c>
      <c r="I9" s="78">
        <f>'CV drug'!L29</f>
        <v>224.11326572753313</v>
      </c>
      <c r="J9" s="78">
        <f>'CV drug'!M29</f>
        <v>278.81783939234828</v>
      </c>
      <c r="K9" s="78">
        <f>'CV drug'!N29</f>
        <v>304.01296601264323</v>
      </c>
      <c r="L9" s="78">
        <f>'CV drug'!O29</f>
        <v>296.87515170725391</v>
      </c>
      <c r="M9" s="78">
        <f>'CV drug'!P29</f>
        <v>275.57256632214683</v>
      </c>
      <c r="N9" s="78">
        <f>'CV drug'!Q29</f>
        <v>255.79600473599706</v>
      </c>
      <c r="O9" s="78">
        <f>'CV drug'!R29</f>
        <v>237.43640464232692</v>
      </c>
      <c r="P9" s="78">
        <f>'CV drug'!S29</f>
        <v>220.39247277207872</v>
      </c>
      <c r="Q9" s="78">
        <f>'CV drug'!T29</f>
        <v>204.57013401162916</v>
      </c>
    </row>
    <row r="10" spans="2:17" x14ac:dyDescent="0.2">
      <c r="B10" s="83" t="s">
        <v>59</v>
      </c>
      <c r="C10" s="51"/>
      <c r="D10" s="79"/>
      <c r="E10" s="79"/>
      <c r="F10" s="79"/>
      <c r="G10" s="79"/>
      <c r="H10" s="79"/>
      <c r="I10" s="79"/>
      <c r="J10" s="79"/>
      <c r="K10" s="79"/>
      <c r="L10" s="79"/>
      <c r="M10" s="79"/>
      <c r="N10" s="79"/>
      <c r="O10" s="79"/>
      <c r="P10" s="79"/>
      <c r="Q10" s="79"/>
    </row>
    <row r="11" spans="2:17" x14ac:dyDescent="0.2">
      <c r="B11" s="84" t="s">
        <v>68</v>
      </c>
      <c r="C11" s="49">
        <f>'CV drug'!F34</f>
        <v>0</v>
      </c>
      <c r="D11" s="78">
        <f>'CV drug'!G34</f>
        <v>0</v>
      </c>
      <c r="E11" s="78">
        <f>'CV drug'!H34</f>
        <v>5.5021834061135362</v>
      </c>
      <c r="F11" s="78">
        <f>'CV drug'!I34</f>
        <v>44.541484716157207</v>
      </c>
      <c r="G11" s="78">
        <f>'CV drug'!J34</f>
        <v>55.021834061135372</v>
      </c>
      <c r="H11" s="78">
        <f>'CV drug'!K34</f>
        <v>123.66812227074236</v>
      </c>
      <c r="I11" s="78">
        <f>'CV drug'!L34</f>
        <v>209.86899563318778</v>
      </c>
      <c r="J11" s="78">
        <f>'CV drug'!M34</f>
        <v>319.6506550218341</v>
      </c>
      <c r="K11" s="78">
        <f>'CV drug'!N34</f>
        <v>481.04803493449776</v>
      </c>
      <c r="L11" s="78">
        <f>'CV drug'!O34</f>
        <v>600</v>
      </c>
      <c r="M11" s="78">
        <f>'CV drug'!P34</f>
        <v>618</v>
      </c>
      <c r="N11" s="78">
        <f>'CV drug'!Q34</f>
        <v>636.54</v>
      </c>
      <c r="O11" s="78">
        <f>'CV drug'!R34</f>
        <v>655.63620000000003</v>
      </c>
      <c r="P11" s="78">
        <f>'CV drug'!S34</f>
        <v>675.30528600000002</v>
      </c>
      <c r="Q11" s="78">
        <f>'CV drug'!T34</f>
        <v>695.56444457999999</v>
      </c>
    </row>
    <row r="12" spans="2:17" x14ac:dyDescent="0.2">
      <c r="B12" s="84" t="s">
        <v>44</v>
      </c>
      <c r="C12" s="49">
        <f>'CV drug'!E39</f>
        <v>0</v>
      </c>
      <c r="D12" s="78">
        <f>'CV drug'!F39</f>
        <v>0</v>
      </c>
      <c r="E12" s="78">
        <f>'CV drug'!G39</f>
        <v>0</v>
      </c>
      <c r="F12" s="78">
        <f>'CV drug'!H39</f>
        <v>4.9519650655021819</v>
      </c>
      <c r="G12" s="78">
        <f>'CV drug'!I39</f>
        <v>40.087336244541483</v>
      </c>
      <c r="H12" s="78">
        <f>'CV drug'!J39</f>
        <v>49.519650655021827</v>
      </c>
      <c r="I12" s="78">
        <f>'CV drug'!K39</f>
        <v>111.30131004366811</v>
      </c>
      <c r="J12" s="78">
        <f>'CV drug'!L39</f>
        <v>188.88209606986899</v>
      </c>
      <c r="K12" s="78">
        <f>'CV drug'!M39</f>
        <v>287.68558951965065</v>
      </c>
      <c r="L12" s="78">
        <f>'CV drug'!N39</f>
        <v>432.94323144104794</v>
      </c>
      <c r="M12" s="78">
        <f>'CV drug'!O39</f>
        <v>540</v>
      </c>
      <c r="N12" s="78">
        <f>'CV drug'!P39</f>
        <v>556.19999999999993</v>
      </c>
      <c r="O12" s="78">
        <f>'CV drug'!Q39</f>
        <v>572.88599999999997</v>
      </c>
      <c r="P12" s="78">
        <f>'CV drug'!R39</f>
        <v>590.07258000000002</v>
      </c>
      <c r="Q12" s="78">
        <f>'CV drug'!S39</f>
        <v>607.7747574</v>
      </c>
    </row>
    <row r="13" spans="2:17" x14ac:dyDescent="0.2">
      <c r="B13" s="84" t="s">
        <v>48</v>
      </c>
      <c r="C13" s="49">
        <f>'CV drug'!E46</f>
        <v>0</v>
      </c>
      <c r="D13" s="78">
        <f>'CV drug'!F46</f>
        <v>0</v>
      </c>
      <c r="E13" s="78">
        <f>'CV drug'!G46</f>
        <v>0</v>
      </c>
      <c r="F13" s="78">
        <f>'CV drug'!H46</f>
        <v>-125.04803493449782</v>
      </c>
      <c r="G13" s="78">
        <f>'CV drug'!I46</f>
        <v>-99.912663755458539</v>
      </c>
      <c r="H13" s="78">
        <f>'CV drug'!J46</f>
        <v>-101.48034934497821</v>
      </c>
      <c r="I13" s="78">
        <f>'CV drug'!K46</f>
        <v>-30.74868995633193</v>
      </c>
      <c r="J13" s="78">
        <f>'CV drug'!L46</f>
        <v>40.479596069868933</v>
      </c>
      <c r="K13" s="78">
        <f>'CV drug'!M46</f>
        <v>132.61296451965057</v>
      </c>
      <c r="L13" s="78">
        <f>'CV drug'!N46</f>
        <v>270.86697519104786</v>
      </c>
      <c r="M13" s="78">
        <f>'CV drug'!O46</f>
        <v>315</v>
      </c>
      <c r="N13" s="78">
        <f>'CV drug'!P46</f>
        <v>324.89999999999998</v>
      </c>
      <c r="O13" s="78">
        <f>'CV drug'!Q46</f>
        <v>335.09699999999998</v>
      </c>
      <c r="P13" s="78">
        <f>'CV drug'!R46</f>
        <v>345.59991000000002</v>
      </c>
      <c r="Q13" s="78">
        <f>'CV drug'!S46</f>
        <v>356.41790730000002</v>
      </c>
    </row>
    <row r="14" spans="2:17" x14ac:dyDescent="0.2">
      <c r="B14" s="85" t="s">
        <v>69</v>
      </c>
      <c r="C14" s="52">
        <f>'CV drug'!E51</f>
        <v>0</v>
      </c>
      <c r="D14" s="80">
        <f>'CV drug'!F51</f>
        <v>0</v>
      </c>
      <c r="E14" s="80">
        <f>'CV drug'!G51</f>
        <v>0</v>
      </c>
      <c r="F14" s="80">
        <f>'CV drug'!H51</f>
        <v>-96.884063102403701</v>
      </c>
      <c r="G14" s="80">
        <f>'CV drug'!I51</f>
        <v>-69.73856897142629</v>
      </c>
      <c r="H14" s="80">
        <f>'CV drug'!J51</f>
        <v>-63.813338858713529</v>
      </c>
      <c r="I14" s="80">
        <f>'CV drug'!K51</f>
        <v>-17.419398460210719</v>
      </c>
      <c r="J14" s="80">
        <f>'CV drug'!L51</f>
        <v>20.659496240366447</v>
      </c>
      <c r="K14" s="80">
        <f>'CV drug'!M51</f>
        <v>60.974263355219342</v>
      </c>
      <c r="L14" s="80">
        <f>'CV drug'!N51</f>
        <v>112.20020687665409</v>
      </c>
      <c r="M14" s="80">
        <f>'CV drug'!O51</f>
        <v>117.55068784713382</v>
      </c>
      <c r="N14" s="80">
        <f>'CV drug'!P51</f>
        <v>109.22985408704068</v>
      </c>
      <c r="O14" s="80">
        <f>'CV drug'!Q51</f>
        <v>101.49372756414327</v>
      </c>
      <c r="P14" s="80">
        <f>'CV drug'!R51</f>
        <v>94.301652958876844</v>
      </c>
      <c r="Q14" s="80">
        <f>'CV drug'!S51</f>
        <v>87.615757829047652</v>
      </c>
    </row>
    <row r="16" spans="2:17" x14ac:dyDescent="0.2">
      <c r="B16" s="86" t="s">
        <v>88</v>
      </c>
    </row>
    <row r="17" spans="2:2" x14ac:dyDescent="0.2">
      <c r="B17" s="86" t="s">
        <v>93</v>
      </c>
    </row>
    <row r="18" spans="2:2" x14ac:dyDescent="0.2">
      <c r="B18" s="86" t="s">
        <v>94</v>
      </c>
    </row>
    <row r="19" spans="2:2" x14ac:dyDescent="0.2">
      <c r="B19" s="86" t="s">
        <v>95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16272C-B563-2147-B6BD-8106074E77E1}">
  <dimension ref="B2:P16"/>
  <sheetViews>
    <sheetView showGridLines="0" zoomScale="140" zoomScaleNormal="140" workbookViewId="0">
      <selection activeCell="B16" sqref="B16"/>
    </sheetView>
  </sheetViews>
  <sheetFormatPr baseColWidth="10" defaultRowHeight="15" x14ac:dyDescent="0.2"/>
  <cols>
    <col min="1" max="1" width="3.5" style="48" customWidth="1"/>
    <col min="2" max="2" width="25.83203125" style="48" customWidth="1"/>
    <col min="3" max="3" width="10" style="48" customWidth="1"/>
    <col min="4" max="4" width="7" style="48" bestFit="1" customWidth="1"/>
    <col min="5" max="16384" width="10.83203125" style="48"/>
  </cols>
  <sheetData>
    <row r="2" spans="2:16" x14ac:dyDescent="0.2">
      <c r="B2" s="53" t="s">
        <v>91</v>
      </c>
    </row>
    <row r="3" spans="2:16" x14ac:dyDescent="0.2">
      <c r="B3" s="53"/>
    </row>
    <row r="4" spans="2:16" x14ac:dyDescent="0.2">
      <c r="B4" s="58" t="s">
        <v>82</v>
      </c>
      <c r="C4" s="95" t="s">
        <v>78</v>
      </c>
      <c r="D4" s="95"/>
      <c r="E4" s="96" t="s">
        <v>79</v>
      </c>
      <c r="F4" s="96"/>
      <c r="G4" s="96"/>
      <c r="H4" s="96"/>
      <c r="I4" s="96"/>
      <c r="J4" s="96"/>
      <c r="K4" s="96"/>
      <c r="L4" s="96"/>
      <c r="M4" s="96"/>
      <c r="N4" s="96"/>
      <c r="O4" s="96"/>
      <c r="P4" s="96"/>
    </row>
    <row r="5" spans="2:16" x14ac:dyDescent="0.2">
      <c r="B5" s="58" t="s">
        <v>83</v>
      </c>
      <c r="C5" s="58"/>
      <c r="D5" s="58"/>
      <c r="E5" s="96" t="s">
        <v>80</v>
      </c>
      <c r="F5" s="96"/>
      <c r="G5" s="97">
        <v>0.9</v>
      </c>
      <c r="H5" s="97"/>
      <c r="I5" s="97">
        <v>0.8</v>
      </c>
      <c r="J5" s="97"/>
      <c r="K5" s="97">
        <v>0.7</v>
      </c>
      <c r="L5" s="97"/>
      <c r="M5" s="97">
        <v>0.6</v>
      </c>
      <c r="N5" s="97"/>
      <c r="O5" s="97">
        <v>0.5</v>
      </c>
      <c r="P5" s="97"/>
    </row>
    <row r="6" spans="2:16" x14ac:dyDescent="0.2">
      <c r="B6" s="58" t="s">
        <v>84</v>
      </c>
      <c r="C6" s="58" t="s">
        <v>53</v>
      </c>
      <c r="D6" s="58" t="s">
        <v>81</v>
      </c>
      <c r="E6" s="58" t="s">
        <v>53</v>
      </c>
      <c r="F6" s="58" t="s">
        <v>81</v>
      </c>
      <c r="G6" s="58" t="s">
        <v>53</v>
      </c>
      <c r="H6" s="58" t="s">
        <v>81</v>
      </c>
      <c r="I6" s="58" t="s">
        <v>53</v>
      </c>
      <c r="J6" s="58" t="s">
        <v>81</v>
      </c>
      <c r="K6" s="58" t="s">
        <v>53</v>
      </c>
      <c r="L6" s="58" t="s">
        <v>81</v>
      </c>
      <c r="M6" s="58" t="s">
        <v>53</v>
      </c>
      <c r="N6" s="58" t="s">
        <v>81</v>
      </c>
      <c r="O6" s="58" t="s">
        <v>53</v>
      </c>
      <c r="P6" s="58" t="s">
        <v>81</v>
      </c>
    </row>
    <row r="7" spans="2:16" x14ac:dyDescent="0.2">
      <c r="B7" s="48" t="s">
        <v>96</v>
      </c>
      <c r="C7" s="87">
        <f>'By phase'!C69</f>
        <v>2976.0217862368245</v>
      </c>
      <c r="D7" s="88" t="str">
        <f>IF(C7&gt;0, "Yes", "No")</f>
        <v>Yes</v>
      </c>
      <c r="E7" s="88">
        <f>'By phase'!D69</f>
        <v>1782.2542037526457</v>
      </c>
      <c r="F7" s="88" t="str">
        <f>IF(E7&gt;0, "Yes", "No")</f>
        <v>Yes</v>
      </c>
      <c r="G7" s="88">
        <f>'By phase'!G69</f>
        <v>1901.6309620010641</v>
      </c>
      <c r="H7" s="88" t="str">
        <f>IF(G7&gt;0, "Yes", "No")</f>
        <v>Yes</v>
      </c>
      <c r="I7" s="88">
        <f>'By phase'!H69</f>
        <v>2021.0077202494815</v>
      </c>
      <c r="J7" s="72" t="s">
        <v>86</v>
      </c>
      <c r="K7" s="88">
        <f>'By phase'!I69</f>
        <v>2140.3844784978996</v>
      </c>
      <c r="L7" s="72" t="s">
        <v>86</v>
      </c>
      <c r="M7" s="88">
        <f>'By phase'!J69</f>
        <v>2259.7612367463171</v>
      </c>
      <c r="N7" s="72" t="s">
        <v>86</v>
      </c>
      <c r="O7" s="88">
        <f>'By phase'!K69</f>
        <v>2379.137994994735</v>
      </c>
      <c r="P7" s="72" t="s">
        <v>86</v>
      </c>
    </row>
    <row r="8" spans="2:16" x14ac:dyDescent="0.2">
      <c r="B8" s="48" t="s">
        <v>25</v>
      </c>
      <c r="C8" s="87">
        <f>'By phase'!C70</f>
        <v>2261.7765575399867</v>
      </c>
      <c r="D8" s="88" t="str">
        <f t="shared" ref="D8" si="0">IF(C8&gt;0, "Yes", "No")</f>
        <v>Yes</v>
      </c>
      <c r="E8" s="88">
        <f>'By phase'!D70</f>
        <v>1354.5131948520109</v>
      </c>
      <c r="F8" s="88" t="str">
        <f t="shared" ref="F8:H13" si="1">IF(E8&gt;0, "Yes", "No")</f>
        <v>Yes</v>
      </c>
      <c r="G8" s="88">
        <f>'By phase'!G70</f>
        <v>1445.2395311208086</v>
      </c>
      <c r="H8" s="88" t="str">
        <f t="shared" si="1"/>
        <v>Yes</v>
      </c>
      <c r="I8" s="88">
        <f>'By phase'!H70</f>
        <v>1535.965867389606</v>
      </c>
      <c r="J8" s="72" t="s">
        <v>86</v>
      </c>
      <c r="K8" s="88">
        <f>'By phase'!I70</f>
        <v>1626.6922036584037</v>
      </c>
      <c r="L8" s="72" t="s">
        <v>86</v>
      </c>
      <c r="M8" s="88">
        <f>'By phase'!J70</f>
        <v>1717.418539927201</v>
      </c>
      <c r="N8" s="72" t="s">
        <v>86</v>
      </c>
      <c r="O8" s="88">
        <f>'By phase'!K70</f>
        <v>1808.1448761959987</v>
      </c>
      <c r="P8" s="72" t="s">
        <v>86</v>
      </c>
    </row>
    <row r="9" spans="2:16" x14ac:dyDescent="0.2">
      <c r="B9" s="48" t="s">
        <v>70</v>
      </c>
      <c r="C9" s="87">
        <f>'By phase'!C71</f>
        <v>1104.5231558249927</v>
      </c>
      <c r="D9" s="88" t="str">
        <f t="shared" ref="D9" si="2">IF(C9&gt;0, "Yes", "No")</f>
        <v>Yes</v>
      </c>
      <c r="E9" s="88">
        <f>'By phase'!D71</f>
        <v>618.48921152786284</v>
      </c>
      <c r="F9" s="88" t="str">
        <f t="shared" si="1"/>
        <v>Yes</v>
      </c>
      <c r="G9" s="88">
        <f>'By phase'!G71</f>
        <v>667.09260595757598</v>
      </c>
      <c r="H9" s="88" t="str">
        <f t="shared" si="1"/>
        <v>Yes</v>
      </c>
      <c r="I9" s="88">
        <f>'By phase'!H71</f>
        <v>715.6960003872889</v>
      </c>
      <c r="J9" s="72" t="s">
        <v>86</v>
      </c>
      <c r="K9" s="88">
        <f>'By phase'!I71</f>
        <v>764.29939481700194</v>
      </c>
      <c r="L9" s="72" t="s">
        <v>86</v>
      </c>
      <c r="M9" s="88">
        <f>'By phase'!J71</f>
        <v>812.90278924671475</v>
      </c>
      <c r="N9" s="72" t="s">
        <v>86</v>
      </c>
      <c r="O9" s="88">
        <f>'By phase'!K71</f>
        <v>861.50618367642778</v>
      </c>
      <c r="P9" s="72" t="s">
        <v>86</v>
      </c>
    </row>
    <row r="10" spans="2:16" x14ac:dyDescent="0.2">
      <c r="B10" s="48" t="s">
        <v>71</v>
      </c>
      <c r="C10" s="87">
        <f>'By phase'!C72</f>
        <v>271.76429135870097</v>
      </c>
      <c r="D10" s="88" t="str">
        <f t="shared" ref="D10" si="3">IF(C10&gt;0, "Yes", "No")</f>
        <v>Yes</v>
      </c>
      <c r="E10" s="88">
        <f>'By phase'!D72</f>
        <v>133.38454683168467</v>
      </c>
      <c r="F10" s="88" t="str">
        <f t="shared" si="1"/>
        <v>Yes</v>
      </c>
      <c r="G10" s="88">
        <f>'By phase'!G72</f>
        <v>147.22252128438635</v>
      </c>
      <c r="H10" s="88" t="str">
        <f t="shared" si="1"/>
        <v>Yes</v>
      </c>
      <c r="I10" s="88">
        <f>'By phase'!H72</f>
        <v>161.06049573708796</v>
      </c>
      <c r="J10" s="72" t="s">
        <v>86</v>
      </c>
      <c r="K10" s="88">
        <f>'By phase'!I72</f>
        <v>174.89847018978961</v>
      </c>
      <c r="L10" s="72" t="s">
        <v>86</v>
      </c>
      <c r="M10" s="88">
        <f>'By phase'!J72</f>
        <v>188.73644464249116</v>
      </c>
      <c r="N10" s="72" t="s">
        <v>86</v>
      </c>
      <c r="O10" s="88">
        <f>'By phase'!K72</f>
        <v>202.57441909519281</v>
      </c>
      <c r="P10" s="72" t="s">
        <v>86</v>
      </c>
    </row>
    <row r="11" spans="2:16" x14ac:dyDescent="0.2">
      <c r="B11" s="48" t="s">
        <v>72</v>
      </c>
      <c r="C11" s="87">
        <f>'By phase'!C73</f>
        <v>82.15766487182762</v>
      </c>
      <c r="D11" s="88" t="str">
        <f t="shared" ref="D11" si="4">IF(C11&gt;0, "Yes", "No")</f>
        <v>Yes</v>
      </c>
      <c r="E11" s="88">
        <f>'By phase'!D73</f>
        <v>15.968373803420601</v>
      </c>
      <c r="F11" s="88" t="str">
        <f t="shared" si="1"/>
        <v>Yes</v>
      </c>
      <c r="G11" s="88">
        <f>'By phase'!G73</f>
        <v>22.587302910261325</v>
      </c>
      <c r="H11" s="88" t="str">
        <f t="shared" si="1"/>
        <v>Yes</v>
      </c>
      <c r="I11" s="88">
        <f>'By phase'!H73</f>
        <v>29.206232017102018</v>
      </c>
      <c r="J11" s="72" t="s">
        <v>87</v>
      </c>
      <c r="K11" s="88">
        <f>'By phase'!I73</f>
        <v>35.825161123942728</v>
      </c>
      <c r="L11" s="72" t="s">
        <v>87</v>
      </c>
      <c r="M11" s="88">
        <f>'By phase'!J73</f>
        <v>42.444090230783395</v>
      </c>
      <c r="N11" s="72" t="s">
        <v>87</v>
      </c>
      <c r="O11" s="88">
        <f>'By phase'!K73</f>
        <v>49.063019337624105</v>
      </c>
      <c r="P11" s="72" t="s">
        <v>87</v>
      </c>
    </row>
    <row r="12" spans="2:16" x14ac:dyDescent="0.2">
      <c r="B12" s="48" t="s">
        <v>97</v>
      </c>
      <c r="C12" s="87">
        <f>'By phase'!C74</f>
        <v>32.15766487182762</v>
      </c>
      <c r="D12" s="88" t="str">
        <f t="shared" ref="D12" si="5">IF(C12&gt;0, "Yes", "No")</f>
        <v>Yes</v>
      </c>
      <c r="E12" s="88">
        <f>'By phase'!D74</f>
        <v>-34.031626196579396</v>
      </c>
      <c r="F12" s="88" t="str">
        <f t="shared" si="1"/>
        <v>No</v>
      </c>
      <c r="G12" s="88">
        <f>'By phase'!G74</f>
        <v>-27.412697089738675</v>
      </c>
      <c r="H12" s="88" t="str">
        <f t="shared" si="1"/>
        <v>No</v>
      </c>
      <c r="I12" s="88">
        <f>'By phase'!H74</f>
        <v>-20.793767982897982</v>
      </c>
      <c r="J12" s="72" t="s">
        <v>87</v>
      </c>
      <c r="K12" s="88">
        <f>'By phase'!I74</f>
        <v>-14.174838876057272</v>
      </c>
      <c r="L12" s="72" t="s">
        <v>87</v>
      </c>
      <c r="M12" s="88">
        <f>'By phase'!J74</f>
        <v>-7.5559097692166048</v>
      </c>
      <c r="N12" s="72" t="s">
        <v>87</v>
      </c>
      <c r="O12" s="88">
        <f>'By phase'!K74</f>
        <v>-0.93698066237589472</v>
      </c>
      <c r="P12" s="72" t="s">
        <v>87</v>
      </c>
    </row>
    <row r="13" spans="2:16" ht="16" thickBot="1" x14ac:dyDescent="0.25">
      <c r="B13" s="89" t="s">
        <v>105</v>
      </c>
      <c r="C13" s="90">
        <f>'By phase'!C75</f>
        <v>7.1576648718276203</v>
      </c>
      <c r="D13" s="91" t="str">
        <f t="shared" ref="D13" si="6">IF(C13&gt;0, "Yes", "No")</f>
        <v>Yes</v>
      </c>
      <c r="E13" s="91">
        <f>'By phase'!D75</f>
        <v>-59.031626196579396</v>
      </c>
      <c r="F13" s="91" t="str">
        <f t="shared" si="1"/>
        <v>No</v>
      </c>
      <c r="G13" s="91">
        <f>'By phase'!G75</f>
        <v>-52.412697089738671</v>
      </c>
      <c r="H13" s="91" t="str">
        <f t="shared" si="1"/>
        <v>No</v>
      </c>
      <c r="I13" s="91">
        <f>'By phase'!H75</f>
        <v>-45.793767982897982</v>
      </c>
      <c r="J13" s="73" t="s">
        <v>87</v>
      </c>
      <c r="K13" s="91">
        <f>'By phase'!I75</f>
        <v>-39.174838876057272</v>
      </c>
      <c r="L13" s="73" t="s">
        <v>87</v>
      </c>
      <c r="M13" s="91">
        <f>'By phase'!J75</f>
        <v>-32.555909769216605</v>
      </c>
      <c r="N13" s="73" t="s">
        <v>87</v>
      </c>
      <c r="O13" s="91">
        <f>'By phase'!K75</f>
        <v>-25.936980662375895</v>
      </c>
      <c r="P13" s="73" t="s">
        <v>87</v>
      </c>
    </row>
    <row r="14" spans="2:16" ht="16" thickTop="1" x14ac:dyDescent="0.2"/>
    <row r="15" spans="2:16" x14ac:dyDescent="0.2">
      <c r="B15" s="48" t="s">
        <v>88</v>
      </c>
    </row>
    <row r="16" spans="2:16" x14ac:dyDescent="0.2">
      <c r="B16" s="48" t="s">
        <v>106</v>
      </c>
    </row>
  </sheetData>
  <mergeCells count="8">
    <mergeCell ref="C4:D4"/>
    <mergeCell ref="E4:P4"/>
    <mergeCell ref="E5:F5"/>
    <mergeCell ref="G5:H5"/>
    <mergeCell ref="I5:J5"/>
    <mergeCell ref="K5:L5"/>
    <mergeCell ref="M5:N5"/>
    <mergeCell ref="O5:P5"/>
  </mergeCell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487FCC-C512-5B44-8732-B939E0B2BC81}">
  <dimension ref="A1"/>
  <sheetViews>
    <sheetView showGridLines="0" workbookViewId="0">
      <selection activeCell="J76" sqref="J76"/>
    </sheetView>
  </sheetViews>
  <sheetFormatPr baseColWidth="10" defaultRowHeight="15" x14ac:dyDescent="0.2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AC1003"/>
  <sheetViews>
    <sheetView zoomScale="130" zoomScaleNormal="130" workbookViewId="0">
      <selection activeCell="E64" sqref="E64"/>
    </sheetView>
  </sheetViews>
  <sheetFormatPr baseColWidth="10" defaultColWidth="14.33203125" defaultRowHeight="15" customHeight="1" x14ac:dyDescent="0.2"/>
  <cols>
    <col min="1" max="1" width="2.6640625" customWidth="1"/>
    <col min="2" max="2" width="5.1640625" customWidth="1"/>
    <col min="3" max="3" width="26.6640625" customWidth="1"/>
    <col min="4" max="4" width="8.6640625" customWidth="1"/>
    <col min="5" max="5" width="10.33203125" customWidth="1"/>
    <col min="6" max="6" width="10.1640625" customWidth="1"/>
    <col min="7" max="7" width="8.6640625" customWidth="1"/>
    <col min="8" max="8" width="11" customWidth="1"/>
    <col min="9" max="27" width="8.6640625" customWidth="1"/>
  </cols>
  <sheetData>
    <row r="2" spans="2:29" ht="21" x14ac:dyDescent="0.25">
      <c r="B2" s="12" t="s">
        <v>30</v>
      </c>
      <c r="H2" s="53" t="s">
        <v>103</v>
      </c>
    </row>
    <row r="3" spans="2:29" ht="14.25" customHeight="1" x14ac:dyDescent="0.2"/>
    <row r="4" spans="2:29" ht="14.25" customHeight="1" x14ac:dyDescent="0.2">
      <c r="C4" s="1" t="s">
        <v>31</v>
      </c>
      <c r="D4" s="13">
        <v>1200</v>
      </c>
      <c r="H4" s="13" t="s">
        <v>104</v>
      </c>
    </row>
    <row r="5" spans="2:29" ht="14.25" customHeight="1" x14ac:dyDescent="0.2">
      <c r="C5" s="1" t="s">
        <v>32</v>
      </c>
      <c r="D5" s="13">
        <v>1.5</v>
      </c>
    </row>
    <row r="6" spans="2:29" ht="14.25" customHeight="1" x14ac:dyDescent="0.2">
      <c r="C6" s="1" t="s">
        <v>33</v>
      </c>
      <c r="D6" s="14">
        <v>0.5</v>
      </c>
    </row>
    <row r="7" spans="2:29" ht="14.25" customHeight="1" x14ac:dyDescent="0.2">
      <c r="C7" s="1" t="s">
        <v>34</v>
      </c>
      <c r="D7" s="9">
        <f>1/D5</f>
        <v>0.66666666666666663</v>
      </c>
      <c r="G7" s="9"/>
      <c r="H7" s="9"/>
      <c r="I7" s="9"/>
      <c r="J7" s="9"/>
      <c r="K7" s="9"/>
      <c r="L7" s="9"/>
      <c r="M7" s="9"/>
      <c r="N7" s="9"/>
    </row>
    <row r="8" spans="2:29" ht="14.25" customHeight="1" x14ac:dyDescent="0.2"/>
    <row r="9" spans="2:29" ht="14.25" customHeight="1" x14ac:dyDescent="0.2">
      <c r="E9" s="15" t="s">
        <v>35</v>
      </c>
      <c r="F9" s="16">
        <v>0</v>
      </c>
      <c r="G9" s="17">
        <f t="shared" ref="G9:Y9" si="0">+F9+1</f>
        <v>1</v>
      </c>
      <c r="H9" s="17">
        <f t="shared" si="0"/>
        <v>2</v>
      </c>
      <c r="I9" s="17">
        <f t="shared" si="0"/>
        <v>3</v>
      </c>
      <c r="J9" s="17">
        <f t="shared" si="0"/>
        <v>4</v>
      </c>
      <c r="K9" s="17">
        <f t="shared" si="0"/>
        <v>5</v>
      </c>
      <c r="L9" s="17">
        <f t="shared" si="0"/>
        <v>6</v>
      </c>
      <c r="M9" s="17">
        <f t="shared" si="0"/>
        <v>7</v>
      </c>
      <c r="N9" s="17">
        <f t="shared" si="0"/>
        <v>8</v>
      </c>
      <c r="O9" s="17">
        <f t="shared" si="0"/>
        <v>9</v>
      </c>
      <c r="P9" s="17">
        <f t="shared" si="0"/>
        <v>10</v>
      </c>
      <c r="Q9" s="17">
        <f t="shared" si="0"/>
        <v>11</v>
      </c>
      <c r="R9" s="17">
        <f t="shared" si="0"/>
        <v>12</v>
      </c>
      <c r="S9" s="17">
        <f t="shared" si="0"/>
        <v>13</v>
      </c>
      <c r="T9" s="17">
        <f t="shared" si="0"/>
        <v>14</v>
      </c>
      <c r="U9" s="17">
        <f t="shared" si="0"/>
        <v>15</v>
      </c>
      <c r="V9" s="17">
        <f t="shared" si="0"/>
        <v>16</v>
      </c>
      <c r="W9" s="17">
        <f t="shared" si="0"/>
        <v>17</v>
      </c>
      <c r="X9" s="17">
        <f t="shared" si="0"/>
        <v>18</v>
      </c>
      <c r="Y9" s="17">
        <f t="shared" si="0"/>
        <v>19</v>
      </c>
    </row>
    <row r="10" spans="2:29" ht="14.25" customHeight="1" x14ac:dyDescent="0.2"/>
    <row r="11" spans="2:29" ht="14.25" customHeight="1" x14ac:dyDescent="0.2">
      <c r="C11" s="18" t="s">
        <v>36</v>
      </c>
      <c r="D11" s="18"/>
      <c r="E11" s="18"/>
      <c r="F11" s="18">
        <v>2023</v>
      </c>
      <c r="G11" s="18">
        <f t="shared" ref="G11:W11" si="1">+F11+1</f>
        <v>2024</v>
      </c>
      <c r="H11" s="18">
        <f t="shared" si="1"/>
        <v>2025</v>
      </c>
      <c r="I11" s="18">
        <f t="shared" si="1"/>
        <v>2026</v>
      </c>
      <c r="J11" s="18">
        <f t="shared" si="1"/>
        <v>2027</v>
      </c>
      <c r="K11" s="18">
        <f t="shared" si="1"/>
        <v>2028</v>
      </c>
      <c r="L11" s="18">
        <f t="shared" si="1"/>
        <v>2029</v>
      </c>
      <c r="M11" s="18">
        <f t="shared" si="1"/>
        <v>2030</v>
      </c>
      <c r="N11" s="18">
        <f t="shared" si="1"/>
        <v>2031</v>
      </c>
      <c r="O11" s="18">
        <f t="shared" si="1"/>
        <v>2032</v>
      </c>
      <c r="P11" s="18">
        <f t="shared" si="1"/>
        <v>2033</v>
      </c>
      <c r="Q11" s="18">
        <f t="shared" si="1"/>
        <v>2034</v>
      </c>
      <c r="R11" s="18">
        <f t="shared" si="1"/>
        <v>2035</v>
      </c>
      <c r="S11" s="18">
        <f t="shared" si="1"/>
        <v>2036</v>
      </c>
      <c r="T11" s="18">
        <f t="shared" si="1"/>
        <v>2037</v>
      </c>
      <c r="U11" s="18">
        <f t="shared" si="1"/>
        <v>2038</v>
      </c>
      <c r="V11" s="18">
        <f t="shared" si="1"/>
        <v>2039</v>
      </c>
      <c r="W11" s="18">
        <f t="shared" si="1"/>
        <v>2040</v>
      </c>
      <c r="X11" s="18" t="s">
        <v>37</v>
      </c>
      <c r="Y11" s="18" t="s">
        <v>38</v>
      </c>
    </row>
    <row r="12" spans="2:29" ht="14.25" customHeight="1" x14ac:dyDescent="0.2">
      <c r="C12" s="1" t="s">
        <v>39</v>
      </c>
      <c r="F12" s="19">
        <v>0</v>
      </c>
      <c r="G12" s="20">
        <f t="shared" ref="G12:M12" si="2">$N$12*G$13</f>
        <v>101.45175064047821</v>
      </c>
      <c r="H12" s="20">
        <f t="shared" si="2"/>
        <v>189.92314261315113</v>
      </c>
      <c r="I12" s="20">
        <f t="shared" si="2"/>
        <v>315.96925704526046</v>
      </c>
      <c r="J12" s="20">
        <f t="shared" si="2"/>
        <v>436.20836891545684</v>
      </c>
      <c r="K12" s="20">
        <f t="shared" si="2"/>
        <v>584.79931682322797</v>
      </c>
      <c r="L12" s="20">
        <f t="shared" si="2"/>
        <v>804.09906063193853</v>
      </c>
      <c r="M12" s="20">
        <f t="shared" si="2"/>
        <v>1023.0572160546541</v>
      </c>
      <c r="N12" s="21">
        <f>$D$4</f>
        <v>1200</v>
      </c>
      <c r="O12" s="20">
        <f>+N12*(1+O14)</f>
        <v>1236</v>
      </c>
      <c r="P12" s="20">
        <f t="shared" ref="P12:W12" si="3">+O12*(1+P14)</f>
        <v>1273.08</v>
      </c>
      <c r="Q12" s="20">
        <f t="shared" si="3"/>
        <v>1311.2724000000001</v>
      </c>
      <c r="R12" s="20">
        <f t="shared" si="3"/>
        <v>1350.610572</v>
      </c>
      <c r="S12" s="20">
        <f t="shared" si="3"/>
        <v>1391.12888916</v>
      </c>
      <c r="T12" s="20">
        <f t="shared" si="3"/>
        <v>1432.8627558348001</v>
      </c>
      <c r="U12" s="20">
        <f t="shared" si="3"/>
        <v>71.64313779174006</v>
      </c>
      <c r="V12" s="20">
        <f t="shared" si="3"/>
        <v>3.5821568895870062</v>
      </c>
      <c r="W12" s="20">
        <f t="shared" si="3"/>
        <v>0.17910784447935046</v>
      </c>
      <c r="Y12" s="1" t="s">
        <v>40</v>
      </c>
      <c r="AB12" s="19"/>
      <c r="AC12" s="3"/>
    </row>
    <row r="13" spans="2:29" ht="14.25" customHeight="1" x14ac:dyDescent="0.2">
      <c r="C13" s="1" t="s">
        <v>41</v>
      </c>
      <c r="G13" s="22">
        <v>8.4543125533731847E-2</v>
      </c>
      <c r="H13" s="22">
        <v>0.15826928551095928</v>
      </c>
      <c r="I13" s="22">
        <v>0.2633077142043837</v>
      </c>
      <c r="J13" s="22">
        <v>0.36350697409621402</v>
      </c>
      <c r="K13" s="22">
        <v>0.48733276401935666</v>
      </c>
      <c r="L13" s="22">
        <v>0.67008255052661547</v>
      </c>
      <c r="M13" s="22">
        <v>0.85254768004554504</v>
      </c>
      <c r="N13" s="22">
        <v>1</v>
      </c>
      <c r="AB13" s="20"/>
      <c r="AC13" s="3"/>
    </row>
    <row r="14" spans="2:29" ht="14.25" customHeight="1" x14ac:dyDescent="0.2">
      <c r="C14" s="1" t="s">
        <v>42</v>
      </c>
      <c r="G14" s="23"/>
      <c r="H14" s="23">
        <f t="shared" ref="H14:L14" si="4">H12/G12-1</f>
        <v>0.87205387205387197</v>
      </c>
      <c r="I14" s="23">
        <f t="shared" si="4"/>
        <v>0.66366906474820175</v>
      </c>
      <c r="J14" s="23">
        <f t="shared" si="4"/>
        <v>0.38054054054054043</v>
      </c>
      <c r="K14" s="23">
        <f t="shared" si="4"/>
        <v>0.34064212999216914</v>
      </c>
      <c r="L14" s="23">
        <f t="shared" si="4"/>
        <v>0.37500000000000022</v>
      </c>
      <c r="M14" s="24">
        <v>0.1</v>
      </c>
      <c r="N14" s="24">
        <v>7.4999999999999997E-2</v>
      </c>
      <c r="O14" s="24">
        <v>0.03</v>
      </c>
      <c r="P14" s="24">
        <v>0.03</v>
      </c>
      <c r="Q14" s="24">
        <v>0.03</v>
      </c>
      <c r="R14" s="24">
        <v>0.03</v>
      </c>
      <c r="S14" s="24">
        <v>0.03</v>
      </c>
      <c r="T14" s="24">
        <v>0.03</v>
      </c>
      <c r="U14" s="24">
        <v>-0.95</v>
      </c>
      <c r="V14" s="24">
        <v>-0.95</v>
      </c>
      <c r="W14" s="24">
        <v>-0.95</v>
      </c>
      <c r="AB14" s="20"/>
      <c r="AC14" s="3"/>
    </row>
    <row r="15" spans="2:29" ht="14.25" customHeight="1" x14ac:dyDescent="0.2">
      <c r="AB15" s="20"/>
      <c r="AC15" s="3"/>
    </row>
    <row r="16" spans="2:29" ht="14.25" customHeight="1" x14ac:dyDescent="0.2">
      <c r="C16" s="1" t="s">
        <v>43</v>
      </c>
      <c r="D16" s="14"/>
      <c r="E16" s="25">
        <v>0.95</v>
      </c>
      <c r="F16" s="23">
        <f>E16</f>
        <v>0.95</v>
      </c>
      <c r="G16" s="23">
        <f t="shared" ref="G16:W16" si="5">E16</f>
        <v>0.95</v>
      </c>
      <c r="H16" s="23">
        <f t="shared" si="5"/>
        <v>0.95</v>
      </c>
      <c r="I16" s="23">
        <f t="shared" si="5"/>
        <v>0.95</v>
      </c>
      <c r="J16" s="23">
        <f t="shared" si="5"/>
        <v>0.95</v>
      </c>
      <c r="K16" s="23">
        <f t="shared" si="5"/>
        <v>0.95</v>
      </c>
      <c r="L16" s="23">
        <f t="shared" si="5"/>
        <v>0.95</v>
      </c>
      <c r="M16" s="23">
        <f t="shared" si="5"/>
        <v>0.95</v>
      </c>
      <c r="N16" s="23">
        <f t="shared" si="5"/>
        <v>0.95</v>
      </c>
      <c r="O16" s="23">
        <f t="shared" si="5"/>
        <v>0.95</v>
      </c>
      <c r="P16" s="23">
        <f t="shared" si="5"/>
        <v>0.95</v>
      </c>
      <c r="Q16" s="23">
        <f t="shared" si="5"/>
        <v>0.95</v>
      </c>
      <c r="R16" s="23">
        <f t="shared" si="5"/>
        <v>0.95</v>
      </c>
      <c r="S16" s="23">
        <f t="shared" si="5"/>
        <v>0.95</v>
      </c>
      <c r="T16" s="23">
        <f t="shared" si="5"/>
        <v>0.95</v>
      </c>
      <c r="U16" s="23">
        <f t="shared" si="5"/>
        <v>0.95</v>
      </c>
      <c r="V16" s="23">
        <f t="shared" si="5"/>
        <v>0.95</v>
      </c>
      <c r="W16" s="23">
        <f t="shared" si="5"/>
        <v>0.95</v>
      </c>
      <c r="AB16" s="20"/>
      <c r="AC16" s="3"/>
    </row>
    <row r="17" spans="3:29" ht="14.25" customHeight="1" x14ac:dyDescent="0.2">
      <c r="C17" s="1" t="s">
        <v>44</v>
      </c>
      <c r="E17" s="3">
        <f t="shared" ref="E17:W17" si="6">+E16*E12</f>
        <v>0</v>
      </c>
      <c r="F17" s="3">
        <f t="shared" si="6"/>
        <v>0</v>
      </c>
      <c r="G17" s="3">
        <f t="shared" si="6"/>
        <v>96.379163108454293</v>
      </c>
      <c r="H17" s="3">
        <f t="shared" si="6"/>
        <v>180.42698548249356</v>
      </c>
      <c r="I17" s="3">
        <f t="shared" si="6"/>
        <v>300.17079419299745</v>
      </c>
      <c r="J17" s="3">
        <f t="shared" si="6"/>
        <v>414.39795046968396</v>
      </c>
      <c r="K17" s="3">
        <f t="shared" si="6"/>
        <v>555.55935098206658</v>
      </c>
      <c r="L17" s="3">
        <f t="shared" si="6"/>
        <v>763.89410760034161</v>
      </c>
      <c r="M17" s="3">
        <f t="shared" si="6"/>
        <v>971.90435525192129</v>
      </c>
      <c r="N17" s="3">
        <f t="shared" si="6"/>
        <v>1140</v>
      </c>
      <c r="O17" s="3">
        <f t="shared" si="6"/>
        <v>1174.2</v>
      </c>
      <c r="P17" s="3">
        <f t="shared" si="6"/>
        <v>1209.4259999999999</v>
      </c>
      <c r="Q17" s="3">
        <f t="shared" si="6"/>
        <v>1245.7087799999999</v>
      </c>
      <c r="R17" s="3">
        <f t="shared" si="6"/>
        <v>1283.0800434</v>
      </c>
      <c r="S17" s="3">
        <f t="shared" si="6"/>
        <v>1321.572444702</v>
      </c>
      <c r="T17" s="3">
        <f t="shared" si="6"/>
        <v>1361.2196180430599</v>
      </c>
      <c r="U17" s="3">
        <f t="shared" si="6"/>
        <v>68.060980902153048</v>
      </c>
      <c r="V17" s="3">
        <f t="shared" si="6"/>
        <v>3.4030490451076556</v>
      </c>
      <c r="W17" s="3">
        <f t="shared" si="6"/>
        <v>0.17015245225538295</v>
      </c>
      <c r="Y17" s="3"/>
      <c r="AB17" s="20"/>
      <c r="AC17" s="3"/>
    </row>
    <row r="18" spans="3:29" ht="14.25" customHeight="1" x14ac:dyDescent="0.2">
      <c r="AB18" s="20"/>
      <c r="AC18" s="3"/>
    </row>
    <row r="19" spans="3:29" ht="14.25" customHeight="1" x14ac:dyDescent="0.2">
      <c r="C19" s="1" t="s">
        <v>45</v>
      </c>
      <c r="E19" s="26"/>
      <c r="F19" s="26"/>
      <c r="G19" s="26">
        <f>250*0.3+100</f>
        <v>175</v>
      </c>
      <c r="H19" s="3">
        <f t="shared" ref="H19:N19" si="7">G19*1.1</f>
        <v>192.50000000000003</v>
      </c>
      <c r="I19" s="3">
        <f t="shared" si="7"/>
        <v>211.75000000000006</v>
      </c>
      <c r="J19" s="3">
        <f t="shared" si="7"/>
        <v>232.92500000000007</v>
      </c>
      <c r="K19" s="3">
        <f t="shared" si="7"/>
        <v>256.21750000000009</v>
      </c>
      <c r="L19" s="3">
        <f t="shared" si="7"/>
        <v>281.83925000000011</v>
      </c>
      <c r="M19" s="3">
        <f t="shared" si="7"/>
        <v>310.02317500000015</v>
      </c>
      <c r="N19" s="3">
        <f t="shared" si="7"/>
        <v>341.02549250000021</v>
      </c>
      <c r="O19" s="3">
        <f t="shared" ref="O19:W19" si="8">O12*O20</f>
        <v>309</v>
      </c>
      <c r="P19" s="3">
        <f t="shared" si="8"/>
        <v>318.27</v>
      </c>
      <c r="Q19" s="3">
        <f t="shared" si="8"/>
        <v>327.81810000000002</v>
      </c>
      <c r="R19" s="3">
        <f t="shared" si="8"/>
        <v>337.65264300000001</v>
      </c>
      <c r="S19" s="3">
        <f t="shared" si="8"/>
        <v>347.78222228999999</v>
      </c>
      <c r="T19" s="3">
        <f t="shared" si="8"/>
        <v>358.21568895870001</v>
      </c>
      <c r="U19" s="3">
        <f t="shared" si="8"/>
        <v>17.910784447935015</v>
      </c>
      <c r="V19" s="3">
        <f t="shared" si="8"/>
        <v>0.89553922239675154</v>
      </c>
      <c r="W19" s="3">
        <f t="shared" si="8"/>
        <v>4.4776961119837616E-2</v>
      </c>
      <c r="AB19" s="20"/>
      <c r="AC19" s="3"/>
    </row>
    <row r="20" spans="3:29" ht="14.25" customHeight="1" x14ac:dyDescent="0.2">
      <c r="C20" s="27" t="s">
        <v>46</v>
      </c>
      <c r="G20" s="23">
        <f t="shared" ref="G20:N20" si="9">G19/G12</f>
        <v>1.7249579124579126</v>
      </c>
      <c r="H20" s="23">
        <f t="shared" si="9"/>
        <v>1.0135678956834535</v>
      </c>
      <c r="I20" s="23">
        <f t="shared" si="9"/>
        <v>0.67016013513513528</v>
      </c>
      <c r="J20" s="23">
        <f t="shared" si="9"/>
        <v>0.53397645849647635</v>
      </c>
      <c r="K20" s="23">
        <f t="shared" si="9"/>
        <v>0.4381289318049067</v>
      </c>
      <c r="L20" s="23">
        <f t="shared" si="9"/>
        <v>0.35050314544392536</v>
      </c>
      <c r="M20" s="23">
        <f t="shared" si="9"/>
        <v>0.30303600828464122</v>
      </c>
      <c r="N20" s="23">
        <f t="shared" si="9"/>
        <v>0.28418791041666686</v>
      </c>
      <c r="O20" s="24">
        <v>0.25</v>
      </c>
      <c r="P20" s="24">
        <v>0.25</v>
      </c>
      <c r="Q20" s="24">
        <v>0.25</v>
      </c>
      <c r="R20" s="24">
        <v>0.25</v>
      </c>
      <c r="S20" s="24">
        <v>0.25</v>
      </c>
      <c r="T20" s="24">
        <v>0.25</v>
      </c>
      <c r="U20" s="24">
        <v>0.25</v>
      </c>
      <c r="V20" s="24">
        <v>0.25</v>
      </c>
      <c r="W20" s="24">
        <v>0.25</v>
      </c>
      <c r="AB20" s="21"/>
      <c r="AC20" s="3"/>
    </row>
    <row r="21" spans="3:29" ht="14.25" customHeight="1" x14ac:dyDescent="0.2">
      <c r="AB21" s="20"/>
      <c r="AC21" s="3"/>
    </row>
    <row r="22" spans="3:29" ht="14.25" customHeight="1" x14ac:dyDescent="0.2">
      <c r="C22" s="1" t="s">
        <v>47</v>
      </c>
      <c r="E22" s="28">
        <v>0</v>
      </c>
      <c r="F22" s="28">
        <v>0</v>
      </c>
      <c r="G22" s="28">
        <f t="shared" ref="G22:I22" si="10">40*0.25+40</f>
        <v>50</v>
      </c>
      <c r="H22" s="28">
        <f t="shared" si="10"/>
        <v>50</v>
      </c>
      <c r="I22" s="28">
        <f t="shared" si="10"/>
        <v>50</v>
      </c>
      <c r="J22" s="28">
        <v>20</v>
      </c>
      <c r="K22" s="28">
        <v>10</v>
      </c>
      <c r="L22" s="28">
        <v>10</v>
      </c>
      <c r="M22" s="28">
        <v>10</v>
      </c>
      <c r="N22" s="28">
        <v>10</v>
      </c>
      <c r="O22" s="28">
        <v>10</v>
      </c>
      <c r="P22" s="28">
        <v>10</v>
      </c>
      <c r="Q22" s="28">
        <v>10</v>
      </c>
      <c r="R22" s="28">
        <v>10</v>
      </c>
      <c r="S22" s="28">
        <v>10</v>
      </c>
      <c r="T22" s="28">
        <v>10</v>
      </c>
      <c r="U22" s="28">
        <f t="shared" ref="U22:W22" si="11">T22*(1+U14)</f>
        <v>0.50000000000000044</v>
      </c>
      <c r="V22" s="28">
        <f t="shared" si="11"/>
        <v>2.5000000000000043E-2</v>
      </c>
      <c r="W22" s="28">
        <f t="shared" si="11"/>
        <v>1.2500000000000033E-3</v>
      </c>
      <c r="AB22" s="20"/>
      <c r="AC22" s="3"/>
    </row>
    <row r="23" spans="3:29" ht="14.25" customHeight="1" x14ac:dyDescent="0.2"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AB23" s="20"/>
      <c r="AC23" s="3"/>
    </row>
    <row r="24" spans="3:29" ht="14.25" customHeight="1" x14ac:dyDescent="0.2">
      <c r="C24" s="1" t="s">
        <v>48</v>
      </c>
      <c r="E24" s="7">
        <f t="shared" ref="E24:W24" si="12">+E17-E19-E22</f>
        <v>0</v>
      </c>
      <c r="F24" s="7">
        <f t="shared" si="12"/>
        <v>0</v>
      </c>
      <c r="G24" s="7">
        <f t="shared" si="12"/>
        <v>-128.62083689154571</v>
      </c>
      <c r="H24" s="7">
        <f t="shared" si="12"/>
        <v>-62.073014517506465</v>
      </c>
      <c r="I24" s="7">
        <f t="shared" si="12"/>
        <v>38.420794192997391</v>
      </c>
      <c r="J24" s="7">
        <f t="shared" si="12"/>
        <v>161.47295046968389</v>
      </c>
      <c r="K24" s="7">
        <f t="shared" si="12"/>
        <v>289.34185098206649</v>
      </c>
      <c r="L24" s="7">
        <f t="shared" si="12"/>
        <v>472.05485760034151</v>
      </c>
      <c r="M24" s="7">
        <f t="shared" si="12"/>
        <v>651.88118025192114</v>
      </c>
      <c r="N24" s="7">
        <f t="shared" si="12"/>
        <v>788.97450749999985</v>
      </c>
      <c r="O24" s="7">
        <f t="shared" si="12"/>
        <v>855.2</v>
      </c>
      <c r="P24" s="7">
        <f t="shared" si="12"/>
        <v>881.15599999999995</v>
      </c>
      <c r="Q24" s="7">
        <f t="shared" si="12"/>
        <v>907.89067999999997</v>
      </c>
      <c r="R24" s="7">
        <f t="shared" si="12"/>
        <v>935.42740040000001</v>
      </c>
      <c r="S24" s="7">
        <f t="shared" si="12"/>
        <v>963.79022241200005</v>
      </c>
      <c r="T24" s="7">
        <f t="shared" si="12"/>
        <v>993.00392908435992</v>
      </c>
      <c r="U24" s="7">
        <f t="shared" si="12"/>
        <v>49.650196454218033</v>
      </c>
      <c r="V24" s="7">
        <f t="shared" si="12"/>
        <v>2.4825098227109041</v>
      </c>
      <c r="W24" s="7">
        <f t="shared" si="12"/>
        <v>0.12412549113554533</v>
      </c>
      <c r="AB24" s="20"/>
      <c r="AC24" s="3"/>
    </row>
    <row r="25" spans="3:29" ht="14.25" customHeight="1" x14ac:dyDescent="0.2">
      <c r="C25" s="1" t="s">
        <v>49</v>
      </c>
      <c r="E25" s="9"/>
      <c r="F25" s="9"/>
      <c r="G25" s="9">
        <f t="shared" ref="G25:W25" si="13">G24/G12</f>
        <v>-1.2678030303030308</v>
      </c>
      <c r="H25" s="9">
        <f t="shared" si="13"/>
        <v>-0.32683228417266225</v>
      </c>
      <c r="I25" s="9">
        <f t="shared" si="13"/>
        <v>0.12159662162162148</v>
      </c>
      <c r="J25" s="9">
        <f t="shared" si="13"/>
        <v>0.37017389389193395</v>
      </c>
      <c r="K25" s="9">
        <f t="shared" si="13"/>
        <v>0.49477118501752321</v>
      </c>
      <c r="L25" s="9">
        <f t="shared" si="13"/>
        <v>0.5870605758814782</v>
      </c>
      <c r="M25" s="9">
        <f t="shared" si="13"/>
        <v>0.63718936734140208</v>
      </c>
      <c r="N25" s="9">
        <f t="shared" si="13"/>
        <v>0.65747875624999985</v>
      </c>
      <c r="O25" s="9">
        <f t="shared" si="13"/>
        <v>0.6919093851132686</v>
      </c>
      <c r="P25" s="9">
        <f t="shared" si="13"/>
        <v>0.69214503409055206</v>
      </c>
      <c r="Q25" s="9">
        <f t="shared" si="13"/>
        <v>0.69237381950539023</v>
      </c>
      <c r="R25" s="9">
        <f t="shared" si="13"/>
        <v>0.69259594126736923</v>
      </c>
      <c r="S25" s="9">
        <f t="shared" si="13"/>
        <v>0.69281159346346533</v>
      </c>
      <c r="T25" s="9">
        <f t="shared" si="13"/>
        <v>0.69302096452763617</v>
      </c>
      <c r="U25" s="9">
        <f t="shared" si="13"/>
        <v>0.69302096452763606</v>
      </c>
      <c r="V25" s="9">
        <f t="shared" si="13"/>
        <v>0.69302096452763617</v>
      </c>
      <c r="W25" s="9">
        <f t="shared" si="13"/>
        <v>0.69302096452763629</v>
      </c>
      <c r="AB25" s="20"/>
      <c r="AC25" s="3"/>
    </row>
    <row r="26" spans="3:29" ht="14.25" customHeight="1" x14ac:dyDescent="0.2"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AB26" s="20"/>
      <c r="AC26" s="3"/>
    </row>
    <row r="27" spans="3:29" ht="14.25" customHeight="1" x14ac:dyDescent="0.2">
      <c r="C27" s="1" t="s">
        <v>50</v>
      </c>
      <c r="D27" s="25">
        <v>0.2</v>
      </c>
      <c r="E27" s="7"/>
      <c r="F27" s="7">
        <f t="shared" ref="F27:W27" si="14">F24*(1-$D27)</f>
        <v>0</v>
      </c>
      <c r="G27" s="7">
        <f t="shared" si="14"/>
        <v>-102.89666951323657</v>
      </c>
      <c r="H27" s="7">
        <f t="shared" si="14"/>
        <v>-49.658411614005175</v>
      </c>
      <c r="I27" s="7">
        <f t="shared" si="14"/>
        <v>30.736635354397915</v>
      </c>
      <c r="J27" s="7">
        <f t="shared" si="14"/>
        <v>129.17836037574713</v>
      </c>
      <c r="K27" s="7">
        <f t="shared" si="14"/>
        <v>231.47348078565321</v>
      </c>
      <c r="L27" s="7">
        <f t="shared" si="14"/>
        <v>377.64388608027321</v>
      </c>
      <c r="M27" s="7">
        <f t="shared" si="14"/>
        <v>521.50494420153689</v>
      </c>
      <c r="N27" s="7">
        <f t="shared" si="14"/>
        <v>631.17960599999992</v>
      </c>
      <c r="O27" s="7">
        <f t="shared" si="14"/>
        <v>684.16000000000008</v>
      </c>
      <c r="P27" s="7">
        <f t="shared" si="14"/>
        <v>704.9248</v>
      </c>
      <c r="Q27" s="7">
        <f t="shared" si="14"/>
        <v>726.312544</v>
      </c>
      <c r="R27" s="7">
        <f t="shared" si="14"/>
        <v>748.3419203200001</v>
      </c>
      <c r="S27" s="7">
        <f t="shared" si="14"/>
        <v>771.03217792960004</v>
      </c>
      <c r="T27" s="7">
        <f t="shared" si="14"/>
        <v>794.40314326748796</v>
      </c>
      <c r="U27" s="7">
        <f t="shared" si="14"/>
        <v>39.720157163374431</v>
      </c>
      <c r="V27" s="7">
        <f t="shared" si="14"/>
        <v>1.9860078581687235</v>
      </c>
      <c r="W27" s="7">
        <f t="shared" si="14"/>
        <v>9.9300392908436272E-2</v>
      </c>
      <c r="X27" s="7">
        <f>+W27*(1+Y27)/(D28-Y27)</f>
        <v>0</v>
      </c>
      <c r="Y27" s="29">
        <v>-1</v>
      </c>
    </row>
    <row r="28" spans="3:29" ht="14.25" customHeight="1" x14ac:dyDescent="0.2">
      <c r="C28" s="1" t="s">
        <v>51</v>
      </c>
      <c r="D28" s="25">
        <v>0.11</v>
      </c>
      <c r="G28" s="30">
        <f t="shared" ref="G28:T28" si="15">1/(1+$D28)^F$9</f>
        <v>1</v>
      </c>
      <c r="H28" s="30">
        <f t="shared" si="15"/>
        <v>0.9009009009009008</v>
      </c>
      <c r="I28" s="30">
        <f t="shared" si="15"/>
        <v>0.8116224332440547</v>
      </c>
      <c r="J28" s="30">
        <f t="shared" si="15"/>
        <v>0.73119138130095018</v>
      </c>
      <c r="K28" s="30">
        <f t="shared" si="15"/>
        <v>0.65873097414500015</v>
      </c>
      <c r="L28" s="30">
        <f t="shared" si="15"/>
        <v>0.5934513280585586</v>
      </c>
      <c r="M28" s="30">
        <f t="shared" si="15"/>
        <v>0.53464083608879154</v>
      </c>
      <c r="N28" s="30">
        <f t="shared" si="15"/>
        <v>0.48165841089080319</v>
      </c>
      <c r="O28" s="30">
        <f t="shared" si="15"/>
        <v>0.43392649629802077</v>
      </c>
      <c r="P28" s="30">
        <f t="shared" si="15"/>
        <v>0.39092477143965831</v>
      </c>
      <c r="Q28" s="30">
        <f t="shared" si="15"/>
        <v>0.3521844787744669</v>
      </c>
      <c r="R28" s="30">
        <f t="shared" si="15"/>
        <v>0.31728331421123146</v>
      </c>
      <c r="S28" s="30">
        <f t="shared" si="15"/>
        <v>0.28584082361372198</v>
      </c>
      <c r="T28" s="30">
        <f t="shared" si="15"/>
        <v>0.25751425550785767</v>
      </c>
      <c r="U28" s="30">
        <f t="shared" ref="U28:W28" si="16">1/(1+$D28)^R$9</f>
        <v>0.28584082361372198</v>
      </c>
      <c r="V28" s="30">
        <f t="shared" si="16"/>
        <v>0.25751425550785767</v>
      </c>
      <c r="W28" s="30">
        <f t="shared" si="16"/>
        <v>0.23199482478185374</v>
      </c>
    </row>
    <row r="29" spans="3:29" ht="14.25" customHeight="1" x14ac:dyDescent="0.2">
      <c r="C29" s="1" t="s">
        <v>52</v>
      </c>
      <c r="G29" s="3">
        <f t="shared" ref="G29:W29" si="17">+G27*G28</f>
        <v>-102.89666951323657</v>
      </c>
      <c r="H29" s="3">
        <f>+H27*H28</f>
        <v>-44.73730776036502</v>
      </c>
      <c r="I29" s="3">
        <f t="shared" si="17"/>
        <v>24.946542776071674</v>
      </c>
      <c r="J29" s="3">
        <f t="shared" si="17"/>
        <v>94.454103757334479</v>
      </c>
      <c r="K29" s="3">
        <f t="shared" si="17"/>
        <v>152.47875148666731</v>
      </c>
      <c r="L29" s="3">
        <f t="shared" si="17"/>
        <v>224.11326572753313</v>
      </c>
      <c r="M29" s="3">
        <f t="shared" si="17"/>
        <v>278.81783939234828</v>
      </c>
      <c r="N29" s="3">
        <f t="shared" si="17"/>
        <v>304.01296601264323</v>
      </c>
      <c r="O29" s="3">
        <f t="shared" si="17"/>
        <v>296.87515170725391</v>
      </c>
      <c r="P29" s="3">
        <f t="shared" si="17"/>
        <v>275.57256632214683</v>
      </c>
      <c r="Q29" s="3">
        <f t="shared" si="17"/>
        <v>255.79600473599706</v>
      </c>
      <c r="R29" s="3">
        <f t="shared" si="17"/>
        <v>237.43640464232692</v>
      </c>
      <c r="S29" s="3">
        <f t="shared" si="17"/>
        <v>220.39247277207872</v>
      </c>
      <c r="T29" s="3">
        <f t="shared" si="17"/>
        <v>204.57013401162916</v>
      </c>
      <c r="U29" s="3">
        <f t="shared" si="17"/>
        <v>11.353642437645426</v>
      </c>
      <c r="V29" s="3">
        <f t="shared" si="17"/>
        <v>0.51142533502907384</v>
      </c>
      <c r="W29" s="3">
        <f t="shared" si="17"/>
        <v>2.3037177253561903E-2</v>
      </c>
      <c r="X29" s="7">
        <f>+W28*X27</f>
        <v>0</v>
      </c>
    </row>
    <row r="30" spans="3:29" ht="14.25" customHeight="1" x14ac:dyDescent="0.2"/>
    <row r="31" spans="3:29" ht="14.25" customHeight="1" x14ac:dyDescent="0.2">
      <c r="C31" s="1" t="s">
        <v>53</v>
      </c>
      <c r="D31" s="3">
        <f>+SUM(G29:W29)</f>
        <v>2433.7203310203572</v>
      </c>
      <c r="E31" s="31"/>
      <c r="G31" s="27" t="s">
        <v>54</v>
      </c>
      <c r="H31" s="32">
        <f>$D31/H12</f>
        <v>12.814237893996577</v>
      </c>
      <c r="I31" s="32">
        <f t="shared" ref="I31:Q31" si="18">$D31/I12</f>
        <v>7.7023959665536168</v>
      </c>
      <c r="J31" s="32">
        <f t="shared" si="18"/>
        <v>5.5792609781222371</v>
      </c>
      <c r="K31" s="32">
        <f t="shared" si="18"/>
        <v>4.1616333347325325</v>
      </c>
      <c r="L31" s="93">
        <f t="shared" si="18"/>
        <v>3.0266424252600235</v>
      </c>
      <c r="M31" s="32">
        <f t="shared" si="18"/>
        <v>2.3788702066985294</v>
      </c>
      <c r="N31" s="32">
        <f t="shared" si="18"/>
        <v>2.0281002758502975</v>
      </c>
      <c r="O31" s="32">
        <f t="shared" si="18"/>
        <v>1.9690293940294152</v>
      </c>
      <c r="P31" s="32">
        <f t="shared" si="18"/>
        <v>1.9116790233295295</v>
      </c>
      <c r="Q31" s="32">
        <f t="shared" si="18"/>
        <v>1.8559990517762419</v>
      </c>
      <c r="R31" s="30"/>
      <c r="S31" s="30"/>
    </row>
    <row r="32" spans="3:29" ht="14.25" customHeight="1" x14ac:dyDescent="0.2">
      <c r="D32" s="33"/>
      <c r="H32" s="34"/>
      <c r="I32" s="34"/>
      <c r="J32" s="34"/>
      <c r="K32" s="34"/>
      <c r="L32" s="34"/>
      <c r="M32" s="34"/>
      <c r="N32" s="34"/>
      <c r="O32" s="34"/>
    </row>
    <row r="33" spans="3:25" ht="14.25" customHeight="1" x14ac:dyDescent="0.2">
      <c r="C33" s="35" t="s">
        <v>55</v>
      </c>
      <c r="D33" s="35"/>
      <c r="E33" s="35"/>
      <c r="F33" s="35">
        <v>2023</v>
      </c>
      <c r="G33" s="35">
        <f t="shared" ref="G33:W33" si="19">+F33+1</f>
        <v>2024</v>
      </c>
      <c r="H33" s="35">
        <f t="shared" si="19"/>
        <v>2025</v>
      </c>
      <c r="I33" s="35">
        <f t="shared" si="19"/>
        <v>2026</v>
      </c>
      <c r="J33" s="35">
        <f t="shared" si="19"/>
        <v>2027</v>
      </c>
      <c r="K33" s="35">
        <f t="shared" si="19"/>
        <v>2028</v>
      </c>
      <c r="L33" s="35">
        <f t="shared" si="19"/>
        <v>2029</v>
      </c>
      <c r="M33" s="35">
        <f t="shared" si="19"/>
        <v>2030</v>
      </c>
      <c r="N33" s="35">
        <f t="shared" si="19"/>
        <v>2031</v>
      </c>
      <c r="O33" s="35">
        <f t="shared" si="19"/>
        <v>2032</v>
      </c>
      <c r="P33" s="35">
        <f t="shared" si="19"/>
        <v>2033</v>
      </c>
      <c r="Q33" s="35">
        <f t="shared" si="19"/>
        <v>2034</v>
      </c>
      <c r="R33" s="35">
        <f t="shared" si="19"/>
        <v>2035</v>
      </c>
      <c r="S33" s="35">
        <f t="shared" si="19"/>
        <v>2036</v>
      </c>
      <c r="T33" s="35">
        <f t="shared" si="19"/>
        <v>2037</v>
      </c>
      <c r="U33" s="35">
        <f t="shared" si="19"/>
        <v>2038</v>
      </c>
      <c r="V33" s="35">
        <f t="shared" si="19"/>
        <v>2039</v>
      </c>
      <c r="W33" s="35">
        <f t="shared" si="19"/>
        <v>2040</v>
      </c>
      <c r="X33" s="35" t="s">
        <v>37</v>
      </c>
      <c r="Y33" s="35" t="s">
        <v>38</v>
      </c>
    </row>
    <row r="34" spans="3:25" ht="14.25" customHeight="1" x14ac:dyDescent="0.2">
      <c r="C34" s="1" t="s">
        <v>56</v>
      </c>
      <c r="F34" s="19">
        <v>0</v>
      </c>
      <c r="G34" s="20">
        <f t="shared" ref="G34:N34" si="20">$O$34*G35</f>
        <v>0</v>
      </c>
      <c r="H34" s="20">
        <f t="shared" si="20"/>
        <v>5.5021834061135362</v>
      </c>
      <c r="I34" s="20">
        <f t="shared" si="20"/>
        <v>44.541484716157207</v>
      </c>
      <c r="J34" s="20">
        <f t="shared" si="20"/>
        <v>55.021834061135372</v>
      </c>
      <c r="K34" s="20">
        <f t="shared" si="20"/>
        <v>123.66812227074236</v>
      </c>
      <c r="L34" s="20">
        <f t="shared" si="20"/>
        <v>209.86899563318778</v>
      </c>
      <c r="M34" s="20">
        <f t="shared" si="20"/>
        <v>319.6506550218341</v>
      </c>
      <c r="N34" s="20">
        <f t="shared" si="20"/>
        <v>481.04803493449776</v>
      </c>
      <c r="O34" s="21">
        <f>N12*(D5-1)</f>
        <v>600</v>
      </c>
      <c r="P34" s="20">
        <f t="shared" ref="P34:W34" si="21">+O34*(1+P36)</f>
        <v>618</v>
      </c>
      <c r="Q34" s="20">
        <f t="shared" si="21"/>
        <v>636.54</v>
      </c>
      <c r="R34" s="20">
        <f t="shared" si="21"/>
        <v>655.63620000000003</v>
      </c>
      <c r="S34" s="20">
        <f t="shared" si="21"/>
        <v>675.30528600000002</v>
      </c>
      <c r="T34" s="20">
        <f t="shared" si="21"/>
        <v>695.56444457999999</v>
      </c>
      <c r="U34" s="20">
        <f t="shared" si="21"/>
        <v>34.778222229000029</v>
      </c>
      <c r="V34" s="20">
        <f t="shared" si="21"/>
        <v>1.7389111114500031</v>
      </c>
      <c r="W34" s="20">
        <f t="shared" si="21"/>
        <v>8.6945555572500235E-2</v>
      </c>
      <c r="Y34" s="1" t="s">
        <v>40</v>
      </c>
    </row>
    <row r="35" spans="3:25" ht="14.25" customHeight="1" x14ac:dyDescent="0.2">
      <c r="C35" s="1" t="s">
        <v>41</v>
      </c>
      <c r="G35" s="22">
        <v>0</v>
      </c>
      <c r="H35" s="22">
        <v>9.1703056768558944E-3</v>
      </c>
      <c r="I35" s="22">
        <v>7.4235807860262015E-2</v>
      </c>
      <c r="J35" s="22">
        <v>9.1703056768558958E-2</v>
      </c>
      <c r="K35" s="22">
        <v>0.20611353711790392</v>
      </c>
      <c r="L35" s="22">
        <v>0.3497816593886463</v>
      </c>
      <c r="M35" s="22">
        <v>0.53275109170305679</v>
      </c>
      <c r="N35" s="22">
        <v>0.80174672489082965</v>
      </c>
      <c r="O35" s="22">
        <v>1</v>
      </c>
    </row>
    <row r="36" spans="3:25" ht="14.25" customHeight="1" x14ac:dyDescent="0.2">
      <c r="C36" s="1" t="s">
        <v>42</v>
      </c>
      <c r="G36" s="23"/>
      <c r="H36" s="23"/>
      <c r="I36" s="23">
        <f t="shared" ref="I36:N36" si="22">I34/H34-1</f>
        <v>7.0952380952380967</v>
      </c>
      <c r="J36" s="23">
        <f t="shared" si="22"/>
        <v>0.23529411764705888</v>
      </c>
      <c r="K36" s="23">
        <f t="shared" si="22"/>
        <v>1.2476190476190476</v>
      </c>
      <c r="L36" s="23">
        <f t="shared" si="22"/>
        <v>0.69703389830508478</v>
      </c>
      <c r="M36" s="23">
        <f t="shared" si="22"/>
        <v>0.52309612983770304</v>
      </c>
      <c r="N36" s="23">
        <f t="shared" si="22"/>
        <v>0.50491803278688496</v>
      </c>
      <c r="O36" s="24">
        <v>0.03</v>
      </c>
      <c r="P36" s="24">
        <v>0.03</v>
      </c>
      <c r="Q36" s="24">
        <v>0.03</v>
      </c>
      <c r="R36" s="24">
        <v>0.03</v>
      </c>
      <c r="S36" s="24">
        <v>0.03</v>
      </c>
      <c r="T36" s="24">
        <v>0.03</v>
      </c>
      <c r="U36" s="24">
        <v>-0.95</v>
      </c>
      <c r="V36" s="24">
        <v>-0.95</v>
      </c>
      <c r="W36" s="24">
        <v>-0.95</v>
      </c>
    </row>
    <row r="37" spans="3:25" ht="14.25" customHeight="1" x14ac:dyDescent="0.2"/>
    <row r="38" spans="3:25" ht="14.25" customHeight="1" x14ac:dyDescent="0.2">
      <c r="C38" s="1" t="s">
        <v>43</v>
      </c>
      <c r="D38" s="14"/>
      <c r="E38" s="25">
        <f>1-(1-E16)/D6</f>
        <v>0.89999999999999991</v>
      </c>
      <c r="F38" s="23">
        <f>E38</f>
        <v>0.89999999999999991</v>
      </c>
      <c r="G38" s="23">
        <f t="shared" ref="G38:W38" si="23">E38</f>
        <v>0.89999999999999991</v>
      </c>
      <c r="H38" s="23">
        <f t="shared" si="23"/>
        <v>0.89999999999999991</v>
      </c>
      <c r="I38" s="23">
        <f t="shared" si="23"/>
        <v>0.89999999999999991</v>
      </c>
      <c r="J38" s="23">
        <f t="shared" si="23"/>
        <v>0.89999999999999991</v>
      </c>
      <c r="K38" s="23">
        <f t="shared" si="23"/>
        <v>0.89999999999999991</v>
      </c>
      <c r="L38" s="23">
        <f t="shared" si="23"/>
        <v>0.89999999999999991</v>
      </c>
      <c r="M38" s="23">
        <f t="shared" si="23"/>
        <v>0.89999999999999991</v>
      </c>
      <c r="N38" s="23">
        <f t="shared" si="23"/>
        <v>0.89999999999999991</v>
      </c>
      <c r="O38" s="23">
        <f t="shared" si="23"/>
        <v>0.89999999999999991</v>
      </c>
      <c r="P38" s="23">
        <f t="shared" si="23"/>
        <v>0.89999999999999991</v>
      </c>
      <c r="Q38" s="23">
        <f t="shared" si="23"/>
        <v>0.89999999999999991</v>
      </c>
      <c r="R38" s="23">
        <f t="shared" si="23"/>
        <v>0.89999999999999991</v>
      </c>
      <c r="S38" s="23">
        <f t="shared" si="23"/>
        <v>0.89999999999999991</v>
      </c>
      <c r="T38" s="23">
        <f t="shared" si="23"/>
        <v>0.89999999999999991</v>
      </c>
      <c r="U38" s="23">
        <f t="shared" si="23"/>
        <v>0.89999999999999991</v>
      </c>
      <c r="V38" s="23">
        <f t="shared" si="23"/>
        <v>0.89999999999999991</v>
      </c>
      <c r="W38" s="23">
        <f t="shared" si="23"/>
        <v>0.89999999999999991</v>
      </c>
    </row>
    <row r="39" spans="3:25" ht="14.25" customHeight="1" x14ac:dyDescent="0.2">
      <c r="C39" s="1" t="s">
        <v>44</v>
      </c>
      <c r="E39" s="3">
        <f t="shared" ref="E39:W39" si="24">+E38*E34</f>
        <v>0</v>
      </c>
      <c r="F39" s="3">
        <f t="shared" si="24"/>
        <v>0</v>
      </c>
      <c r="G39" s="3">
        <f t="shared" si="24"/>
        <v>0</v>
      </c>
      <c r="H39" s="3">
        <f t="shared" si="24"/>
        <v>4.9519650655021819</v>
      </c>
      <c r="I39" s="3">
        <f t="shared" si="24"/>
        <v>40.087336244541483</v>
      </c>
      <c r="J39" s="3">
        <f t="shared" si="24"/>
        <v>49.519650655021827</v>
      </c>
      <c r="K39" s="3">
        <f t="shared" si="24"/>
        <v>111.30131004366811</v>
      </c>
      <c r="L39" s="3">
        <f t="shared" si="24"/>
        <v>188.88209606986899</v>
      </c>
      <c r="M39" s="3">
        <f t="shared" si="24"/>
        <v>287.68558951965065</v>
      </c>
      <c r="N39" s="3">
        <f t="shared" si="24"/>
        <v>432.94323144104794</v>
      </c>
      <c r="O39" s="3">
        <f t="shared" si="24"/>
        <v>540</v>
      </c>
      <c r="P39" s="3">
        <f t="shared" si="24"/>
        <v>556.19999999999993</v>
      </c>
      <c r="Q39" s="3">
        <f t="shared" si="24"/>
        <v>572.88599999999997</v>
      </c>
      <c r="R39" s="3">
        <f t="shared" si="24"/>
        <v>590.07258000000002</v>
      </c>
      <c r="S39" s="3">
        <f t="shared" si="24"/>
        <v>607.7747574</v>
      </c>
      <c r="T39" s="3">
        <f t="shared" si="24"/>
        <v>626.00800012199988</v>
      </c>
      <c r="U39" s="3">
        <f t="shared" si="24"/>
        <v>31.300400006100023</v>
      </c>
      <c r="V39" s="3">
        <f t="shared" si="24"/>
        <v>1.5650200003050025</v>
      </c>
      <c r="W39" s="3">
        <f t="shared" si="24"/>
        <v>7.8251000015250205E-2</v>
      </c>
      <c r="Y39" s="3"/>
    </row>
    <row r="40" spans="3:25" ht="14.25" customHeight="1" x14ac:dyDescent="0.2"/>
    <row r="41" spans="3:25" ht="14.25" customHeight="1" x14ac:dyDescent="0.2">
      <c r="C41" s="1" t="s">
        <v>45</v>
      </c>
      <c r="E41" s="26"/>
      <c r="F41" s="26"/>
      <c r="G41" s="26"/>
      <c r="H41" s="26">
        <v>100</v>
      </c>
      <c r="I41" s="26">
        <f t="shared" ref="I41:J41" si="25">H41*1.1</f>
        <v>110.00000000000001</v>
      </c>
      <c r="J41" s="26">
        <f t="shared" si="25"/>
        <v>121.00000000000003</v>
      </c>
      <c r="K41" s="26">
        <f t="shared" ref="K41:N41" si="26">J41*1.05</f>
        <v>127.05000000000004</v>
      </c>
      <c r="L41" s="26">
        <f t="shared" si="26"/>
        <v>133.40250000000006</v>
      </c>
      <c r="M41" s="26">
        <f t="shared" si="26"/>
        <v>140.07262500000007</v>
      </c>
      <c r="N41" s="26">
        <f t="shared" si="26"/>
        <v>147.07625625000009</v>
      </c>
      <c r="O41" s="3">
        <f t="shared" ref="O41:W41" si="27">O34*O42</f>
        <v>210</v>
      </c>
      <c r="P41" s="3">
        <f t="shared" si="27"/>
        <v>216.29999999999998</v>
      </c>
      <c r="Q41" s="3">
        <f t="shared" si="27"/>
        <v>222.78899999999999</v>
      </c>
      <c r="R41" s="3">
        <f t="shared" si="27"/>
        <v>229.47266999999999</v>
      </c>
      <c r="S41" s="3">
        <f t="shared" si="27"/>
        <v>236.3568501</v>
      </c>
      <c r="T41" s="3">
        <f t="shared" si="27"/>
        <v>243.44755560299998</v>
      </c>
      <c r="U41" s="3">
        <f t="shared" si="27"/>
        <v>12.172377780150009</v>
      </c>
      <c r="V41" s="3">
        <f t="shared" si="27"/>
        <v>0.60861888900750105</v>
      </c>
      <c r="W41" s="3">
        <f t="shared" si="27"/>
        <v>3.0430944450375079E-2</v>
      </c>
    </row>
    <row r="42" spans="3:25" ht="14.25" customHeight="1" x14ac:dyDescent="0.2">
      <c r="C42" s="27" t="s">
        <v>46</v>
      </c>
      <c r="G42" s="23"/>
      <c r="H42" s="23">
        <f t="shared" ref="H42:M42" si="28">H41/H34</f>
        <v>18.174603174603178</v>
      </c>
      <c r="I42" s="23">
        <f t="shared" si="28"/>
        <v>2.469607843137255</v>
      </c>
      <c r="J42" s="23">
        <f t="shared" si="28"/>
        <v>2.1991269841269845</v>
      </c>
      <c r="K42" s="23">
        <f t="shared" si="28"/>
        <v>1.027346398305085</v>
      </c>
      <c r="L42" s="23">
        <f t="shared" si="28"/>
        <v>0.63564653558052464</v>
      </c>
      <c r="M42" s="23">
        <f t="shared" si="28"/>
        <v>0.4382053432377051</v>
      </c>
      <c r="N42" s="24">
        <v>0.35</v>
      </c>
      <c r="O42" s="24">
        <f t="shared" ref="O42:W42" si="29">N42</f>
        <v>0.35</v>
      </c>
      <c r="P42" s="24">
        <f t="shared" si="29"/>
        <v>0.35</v>
      </c>
      <c r="Q42" s="24">
        <f t="shared" si="29"/>
        <v>0.35</v>
      </c>
      <c r="R42" s="24">
        <f t="shared" si="29"/>
        <v>0.35</v>
      </c>
      <c r="S42" s="24">
        <f t="shared" si="29"/>
        <v>0.35</v>
      </c>
      <c r="T42" s="24">
        <f t="shared" si="29"/>
        <v>0.35</v>
      </c>
      <c r="U42" s="24">
        <f t="shared" si="29"/>
        <v>0.35</v>
      </c>
      <c r="V42" s="24">
        <f t="shared" si="29"/>
        <v>0.35</v>
      </c>
      <c r="W42" s="24">
        <f t="shared" si="29"/>
        <v>0.35</v>
      </c>
    </row>
    <row r="43" spans="3:25" ht="14.25" customHeight="1" x14ac:dyDescent="0.2"/>
    <row r="44" spans="3:25" ht="14.25" customHeight="1" x14ac:dyDescent="0.2">
      <c r="C44" s="1" t="s">
        <v>47</v>
      </c>
      <c r="E44" s="28">
        <v>0</v>
      </c>
      <c r="F44" s="28">
        <v>0</v>
      </c>
      <c r="G44" s="28">
        <v>0</v>
      </c>
      <c r="H44" s="28">
        <v>30</v>
      </c>
      <c r="I44" s="28">
        <v>30</v>
      </c>
      <c r="J44" s="28">
        <v>30</v>
      </c>
      <c r="K44" s="28">
        <v>15</v>
      </c>
      <c r="L44" s="28">
        <v>15</v>
      </c>
      <c r="M44" s="28">
        <v>15</v>
      </c>
      <c r="N44" s="28">
        <v>15</v>
      </c>
      <c r="O44" s="28">
        <v>15</v>
      </c>
      <c r="P44" s="28">
        <v>15</v>
      </c>
      <c r="Q44" s="28">
        <v>15</v>
      </c>
      <c r="R44" s="28">
        <v>15</v>
      </c>
      <c r="S44" s="28">
        <v>15</v>
      </c>
      <c r="T44" s="28">
        <v>15</v>
      </c>
      <c r="U44" s="28">
        <f t="shared" ref="U44:W44" si="30">T44*(1+U36)</f>
        <v>0.75000000000000067</v>
      </c>
      <c r="V44" s="28">
        <f t="shared" si="30"/>
        <v>3.7500000000000068E-2</v>
      </c>
      <c r="W44" s="28">
        <f t="shared" si="30"/>
        <v>1.8750000000000051E-3</v>
      </c>
    </row>
    <row r="45" spans="3:25" ht="14.25" customHeight="1" x14ac:dyDescent="0.2"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</row>
    <row r="46" spans="3:25" ht="14.25" customHeight="1" x14ac:dyDescent="0.2">
      <c r="C46" s="1" t="s">
        <v>48</v>
      </c>
      <c r="E46" s="7">
        <f t="shared" ref="E46:W46" si="31">+E39-E41-E44</f>
        <v>0</v>
      </c>
      <c r="F46" s="7">
        <f t="shared" si="31"/>
        <v>0</v>
      </c>
      <c r="G46" s="7">
        <f t="shared" si="31"/>
        <v>0</v>
      </c>
      <c r="H46" s="7">
        <f t="shared" si="31"/>
        <v>-125.04803493449782</v>
      </c>
      <c r="I46" s="7">
        <f t="shared" si="31"/>
        <v>-99.912663755458539</v>
      </c>
      <c r="J46" s="7">
        <f t="shared" si="31"/>
        <v>-101.48034934497821</v>
      </c>
      <c r="K46" s="7">
        <f t="shared" si="31"/>
        <v>-30.74868995633193</v>
      </c>
      <c r="L46" s="7">
        <f t="shared" si="31"/>
        <v>40.479596069868933</v>
      </c>
      <c r="M46" s="7">
        <f t="shared" si="31"/>
        <v>132.61296451965057</v>
      </c>
      <c r="N46" s="7">
        <f t="shared" si="31"/>
        <v>270.86697519104786</v>
      </c>
      <c r="O46" s="7">
        <f t="shared" si="31"/>
        <v>315</v>
      </c>
      <c r="P46" s="7">
        <f t="shared" si="31"/>
        <v>324.89999999999998</v>
      </c>
      <c r="Q46" s="7">
        <f t="shared" si="31"/>
        <v>335.09699999999998</v>
      </c>
      <c r="R46" s="7">
        <f t="shared" si="31"/>
        <v>345.59991000000002</v>
      </c>
      <c r="S46" s="7">
        <f t="shared" si="31"/>
        <v>356.41790730000002</v>
      </c>
      <c r="T46" s="7">
        <f t="shared" si="31"/>
        <v>367.56044451899993</v>
      </c>
      <c r="U46" s="7">
        <f t="shared" si="31"/>
        <v>18.378022225950012</v>
      </c>
      <c r="V46" s="7">
        <f t="shared" si="31"/>
        <v>0.91890111129750141</v>
      </c>
      <c r="W46" s="7">
        <f t="shared" si="31"/>
        <v>4.5945055564875117E-2</v>
      </c>
    </row>
    <row r="47" spans="3:25" ht="14.25" customHeight="1" x14ac:dyDescent="0.2">
      <c r="C47" s="1" t="s">
        <v>49</v>
      </c>
      <c r="E47" s="9"/>
      <c r="F47" s="9"/>
      <c r="G47" s="9" t="e">
        <f t="shared" ref="G47:W47" si="32">G46/G34</f>
        <v>#DIV/0!</v>
      </c>
      <c r="H47" s="9">
        <f t="shared" si="32"/>
        <v>-22.726984126984132</v>
      </c>
      <c r="I47" s="9">
        <f t="shared" si="32"/>
        <v>-2.2431372549019613</v>
      </c>
      <c r="J47" s="9">
        <f t="shared" si="32"/>
        <v>-1.8443650793650801</v>
      </c>
      <c r="K47" s="9">
        <f t="shared" si="32"/>
        <v>-0.24863877118644109</v>
      </c>
      <c r="L47" s="9">
        <f t="shared" si="32"/>
        <v>0.19288030586766511</v>
      </c>
      <c r="M47" s="9">
        <f t="shared" si="32"/>
        <v>0.41486842725409806</v>
      </c>
      <c r="N47" s="9">
        <f t="shared" si="32"/>
        <v>0.56307677304602366</v>
      </c>
      <c r="O47" s="9">
        <f t="shared" si="32"/>
        <v>0.52500000000000002</v>
      </c>
      <c r="P47" s="9">
        <f t="shared" si="32"/>
        <v>0.52572815533980577</v>
      </c>
      <c r="Q47" s="9">
        <f t="shared" si="32"/>
        <v>0.52643510227165613</v>
      </c>
      <c r="R47" s="9">
        <f t="shared" si="32"/>
        <v>0.52712145851617098</v>
      </c>
      <c r="S47" s="9">
        <f t="shared" si="32"/>
        <v>0.52778782380210776</v>
      </c>
      <c r="T47" s="9">
        <f t="shared" si="32"/>
        <v>0.52843478039039582</v>
      </c>
      <c r="U47" s="9">
        <f t="shared" si="32"/>
        <v>0.52843478039039582</v>
      </c>
      <c r="V47" s="9">
        <f t="shared" si="32"/>
        <v>0.52843478039039582</v>
      </c>
      <c r="W47" s="9">
        <f t="shared" si="32"/>
        <v>0.52843478039039582</v>
      </c>
    </row>
    <row r="48" spans="3:25" ht="14.25" customHeight="1" x14ac:dyDescent="0.2"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</row>
    <row r="49" spans="3:25" ht="14.25" customHeight="1" x14ac:dyDescent="0.2">
      <c r="C49" s="1" t="s">
        <v>50</v>
      </c>
      <c r="D49" s="25">
        <v>0.14000000000000001</v>
      </c>
      <c r="E49" s="7"/>
      <c r="F49" s="7">
        <f t="shared" ref="F49:W49" si="33">F46*(1-$D49)</f>
        <v>0</v>
      </c>
      <c r="G49" s="7">
        <f t="shared" si="33"/>
        <v>0</v>
      </c>
      <c r="H49" s="7">
        <f t="shared" si="33"/>
        <v>-107.54131004366812</v>
      </c>
      <c r="I49" s="7">
        <f t="shared" si="33"/>
        <v>-85.924890829694348</v>
      </c>
      <c r="J49" s="7">
        <f t="shared" si="33"/>
        <v>-87.273100436681261</v>
      </c>
      <c r="K49" s="7">
        <f t="shared" si="33"/>
        <v>-26.443873362445458</v>
      </c>
      <c r="L49" s="7">
        <f t="shared" si="33"/>
        <v>34.812452620087285</v>
      </c>
      <c r="M49" s="7">
        <f t="shared" si="33"/>
        <v>114.0471494868995</v>
      </c>
      <c r="N49" s="7">
        <f t="shared" si="33"/>
        <v>232.94559866430114</v>
      </c>
      <c r="O49" s="7">
        <f t="shared" si="33"/>
        <v>270.89999999999998</v>
      </c>
      <c r="P49" s="7">
        <f t="shared" si="33"/>
        <v>279.41399999999999</v>
      </c>
      <c r="Q49" s="7">
        <f t="shared" si="33"/>
        <v>288.18341999999996</v>
      </c>
      <c r="R49" s="7">
        <f t="shared" si="33"/>
        <v>297.2159226</v>
      </c>
      <c r="S49" s="7">
        <f t="shared" si="33"/>
        <v>306.51940027800003</v>
      </c>
      <c r="T49" s="7">
        <f t="shared" si="33"/>
        <v>316.10198228633993</v>
      </c>
      <c r="U49" s="7">
        <f t="shared" si="33"/>
        <v>15.805099114317009</v>
      </c>
      <c r="V49" s="7">
        <f t="shared" si="33"/>
        <v>0.79025495571585125</v>
      </c>
      <c r="W49" s="7">
        <f t="shared" si="33"/>
        <v>3.9512747785792598E-2</v>
      </c>
      <c r="X49" s="7">
        <f>+W49*(1+Y49)/(D50-Y49)</f>
        <v>0</v>
      </c>
      <c r="Y49" s="29">
        <v>-1</v>
      </c>
    </row>
    <row r="50" spans="3:25" ht="14.25" customHeight="1" x14ac:dyDescent="0.2">
      <c r="C50" s="1" t="s">
        <v>51</v>
      </c>
      <c r="D50" s="25">
        <v>0.11</v>
      </c>
      <c r="G50" s="30">
        <f t="shared" ref="G50:T50" si="34">1/(1+$D50)^F$9</f>
        <v>1</v>
      </c>
      <c r="H50" s="30">
        <f t="shared" si="34"/>
        <v>0.9009009009009008</v>
      </c>
      <c r="I50" s="30">
        <f t="shared" si="34"/>
        <v>0.8116224332440547</v>
      </c>
      <c r="J50" s="30">
        <f t="shared" si="34"/>
        <v>0.73119138130095018</v>
      </c>
      <c r="K50" s="30">
        <f t="shared" si="34"/>
        <v>0.65873097414500015</v>
      </c>
      <c r="L50" s="30">
        <f t="shared" si="34"/>
        <v>0.5934513280585586</v>
      </c>
      <c r="M50" s="30">
        <f t="shared" si="34"/>
        <v>0.53464083608879154</v>
      </c>
      <c r="N50" s="30">
        <f t="shared" si="34"/>
        <v>0.48165841089080319</v>
      </c>
      <c r="O50" s="30">
        <f t="shared" si="34"/>
        <v>0.43392649629802077</v>
      </c>
      <c r="P50" s="30">
        <f t="shared" si="34"/>
        <v>0.39092477143965831</v>
      </c>
      <c r="Q50" s="30">
        <f t="shared" si="34"/>
        <v>0.3521844787744669</v>
      </c>
      <c r="R50" s="30">
        <f t="shared" si="34"/>
        <v>0.31728331421123146</v>
      </c>
      <c r="S50" s="30">
        <f t="shared" si="34"/>
        <v>0.28584082361372198</v>
      </c>
      <c r="T50" s="30">
        <f t="shared" si="34"/>
        <v>0.25751425550785767</v>
      </c>
      <c r="U50" s="30">
        <f t="shared" ref="U50:W50" si="35">1/(1+$D50)^R$9</f>
        <v>0.28584082361372198</v>
      </c>
      <c r="V50" s="30">
        <f t="shared" si="35"/>
        <v>0.25751425550785767</v>
      </c>
      <c r="W50" s="30">
        <f t="shared" si="35"/>
        <v>0.23199482478185374</v>
      </c>
    </row>
    <row r="51" spans="3:25" ht="14.25" customHeight="1" x14ac:dyDescent="0.2">
      <c r="C51" s="1" t="s">
        <v>52</v>
      </c>
      <c r="G51" s="3">
        <f t="shared" ref="G51:W51" si="36">+G49*G50</f>
        <v>0</v>
      </c>
      <c r="H51" s="3">
        <f t="shared" si="36"/>
        <v>-96.884063102403701</v>
      </c>
      <c r="I51" s="3">
        <f t="shared" si="36"/>
        <v>-69.73856897142629</v>
      </c>
      <c r="J51" s="3">
        <f t="shared" si="36"/>
        <v>-63.813338858713529</v>
      </c>
      <c r="K51" s="3">
        <f t="shared" si="36"/>
        <v>-17.419398460210719</v>
      </c>
      <c r="L51" s="3">
        <f t="shared" si="36"/>
        <v>20.659496240366447</v>
      </c>
      <c r="M51" s="3">
        <f t="shared" si="36"/>
        <v>60.974263355219342</v>
      </c>
      <c r="N51" s="3">
        <f t="shared" si="36"/>
        <v>112.20020687665409</v>
      </c>
      <c r="O51" s="3">
        <f t="shared" si="36"/>
        <v>117.55068784713382</v>
      </c>
      <c r="P51" s="3">
        <f t="shared" si="36"/>
        <v>109.22985408704068</v>
      </c>
      <c r="Q51" s="3">
        <f t="shared" si="36"/>
        <v>101.49372756414327</v>
      </c>
      <c r="R51" s="3">
        <f t="shared" si="36"/>
        <v>94.301652958876844</v>
      </c>
      <c r="S51" s="3">
        <f t="shared" si="36"/>
        <v>87.615757829047652</v>
      </c>
      <c r="T51" s="3">
        <f t="shared" si="36"/>
        <v>81.400766633024844</v>
      </c>
      <c r="U51" s="3">
        <f t="shared" si="36"/>
        <v>4.5177425481328815</v>
      </c>
      <c r="V51" s="3">
        <f t="shared" si="36"/>
        <v>0.20350191658256248</v>
      </c>
      <c r="W51" s="3">
        <f t="shared" si="36"/>
        <v>9.1667529992145325E-3</v>
      </c>
      <c r="X51" s="7">
        <f>+W50*X49</f>
        <v>0</v>
      </c>
    </row>
    <row r="52" spans="3:25" ht="14.25" customHeight="1" x14ac:dyDescent="0.2"/>
    <row r="53" spans="3:25" ht="14.25" customHeight="1" x14ac:dyDescent="0.2">
      <c r="C53" s="1" t="s">
        <v>53</v>
      </c>
      <c r="D53" s="3">
        <f>+SUM(G51:W51)</f>
        <v>542.3014552164675</v>
      </c>
      <c r="E53" s="31"/>
      <c r="G53" s="27" t="s">
        <v>54</v>
      </c>
      <c r="H53" s="32">
        <f t="shared" ref="H53:Q53" si="37">$D53/H34</f>
        <v>98.561137495691327</v>
      </c>
      <c r="I53" s="32">
        <f t="shared" si="37"/>
        <v>12.175199337703045</v>
      </c>
      <c r="J53" s="32">
        <f t="shared" si="37"/>
        <v>9.8561137495691309</v>
      </c>
      <c r="K53" s="32">
        <f t="shared" si="37"/>
        <v>4.3851353546811813</v>
      </c>
      <c r="L53" s="93">
        <f t="shared" si="37"/>
        <v>2.5839998594376001</v>
      </c>
      <c r="M53" s="32">
        <f t="shared" si="37"/>
        <v>1.6965441700078012</v>
      </c>
      <c r="N53" s="32">
        <f t="shared" si="37"/>
        <v>1.1273332720095413</v>
      </c>
      <c r="O53" s="32">
        <f t="shared" si="37"/>
        <v>0.90383575869411248</v>
      </c>
      <c r="P53" s="32">
        <f t="shared" si="37"/>
        <v>0.87751044533408984</v>
      </c>
      <c r="Q53" s="32">
        <f t="shared" si="37"/>
        <v>0.85195188867387361</v>
      </c>
      <c r="R53" s="30"/>
      <c r="S53" s="30"/>
    </row>
    <row r="54" spans="3:25" ht="14.25" customHeight="1" x14ac:dyDescent="0.2">
      <c r="D54" s="33"/>
    </row>
    <row r="55" spans="3:25" ht="14.25" customHeight="1" x14ac:dyDescent="0.2">
      <c r="C55" s="36"/>
      <c r="D55" s="37" t="s">
        <v>53</v>
      </c>
      <c r="E55" s="38" t="s">
        <v>57</v>
      </c>
    </row>
    <row r="56" spans="3:25" ht="14.25" customHeight="1" x14ac:dyDescent="0.2">
      <c r="C56" s="39" t="s">
        <v>58</v>
      </c>
      <c r="D56" s="40">
        <f>D31</f>
        <v>2433.7203310203572</v>
      </c>
      <c r="E56" s="41">
        <f t="shared" ref="E56:E58" si="38">D56/$D$58</f>
        <v>0.81777638264462882</v>
      </c>
    </row>
    <row r="57" spans="3:25" ht="14.25" customHeight="1" x14ac:dyDescent="0.2">
      <c r="C57" s="39" t="s">
        <v>59</v>
      </c>
      <c r="D57" s="42">
        <f>D53</f>
        <v>542.3014552164675</v>
      </c>
      <c r="E57" s="43">
        <f t="shared" si="38"/>
        <v>0.18222361735537124</v>
      </c>
    </row>
    <row r="58" spans="3:25" ht="14.25" customHeight="1" x14ac:dyDescent="0.2">
      <c r="C58" s="44" t="s">
        <v>60</v>
      </c>
      <c r="D58" s="45">
        <f>SUM(D56:D57)</f>
        <v>2976.0217862368245</v>
      </c>
      <c r="E58" s="46">
        <f t="shared" si="38"/>
        <v>1</v>
      </c>
    </row>
    <row r="59" spans="3:25" ht="14.25" customHeight="1" x14ac:dyDescent="0.2"/>
    <row r="60" spans="3:25" ht="14.25" customHeight="1" x14ac:dyDescent="0.2"/>
    <row r="61" spans="3:25" ht="14.25" customHeight="1" x14ac:dyDescent="0.2">
      <c r="C61" s="56"/>
      <c r="D61" s="94" t="s">
        <v>74</v>
      </c>
      <c r="E61" s="94"/>
      <c r="F61" s="94"/>
      <c r="G61" s="94"/>
    </row>
    <row r="62" spans="3:25" ht="14.25" customHeight="1" x14ac:dyDescent="0.2">
      <c r="C62" s="56"/>
      <c r="D62" s="57" t="s">
        <v>61</v>
      </c>
      <c r="E62" s="57" t="s">
        <v>62</v>
      </c>
      <c r="F62" s="57" t="s">
        <v>85</v>
      </c>
      <c r="G62" s="57" t="s">
        <v>63</v>
      </c>
    </row>
    <row r="63" spans="3:25" ht="14.25" customHeight="1" x14ac:dyDescent="0.2">
      <c r="C63" s="58" t="s">
        <v>75</v>
      </c>
      <c r="D63" s="57"/>
      <c r="E63" s="56"/>
      <c r="F63" s="56"/>
      <c r="G63" s="57"/>
    </row>
    <row r="64" spans="3:25" ht="14.25" customHeight="1" x14ac:dyDescent="0.2">
      <c r="C64" s="54" t="s">
        <v>58</v>
      </c>
      <c r="D64" s="55">
        <f>SUM('CV drug'!G12:O12)</f>
        <v>5891.5081127241665</v>
      </c>
      <c r="E64" s="55">
        <f>SUM('CV drug'!P12:T12)</f>
        <v>6758.9546169947998</v>
      </c>
      <c r="F64" s="55">
        <f>SUM('CV drug'!U12:W12)</f>
        <v>75.404402525806418</v>
      </c>
      <c r="G64" s="55">
        <f>SUM(D64:F64)</f>
        <v>12725.867132244772</v>
      </c>
    </row>
    <row r="65" spans="3:7" ht="14.25" customHeight="1" x14ac:dyDescent="0.2">
      <c r="C65" s="54" t="s">
        <v>59</v>
      </c>
      <c r="D65" s="55">
        <f>SUM('CV drug'!G34:O34)</f>
        <v>1839.3013100436681</v>
      </c>
      <c r="E65" s="55">
        <f>SUM('CV drug'!P34:T34)</f>
        <v>3281.0459305799995</v>
      </c>
      <c r="F65" s="55">
        <f>SUM('CV drug'!U34:W34)</f>
        <v>36.604078896022529</v>
      </c>
      <c r="G65" s="55">
        <f>SUM(D65:F65)</f>
        <v>5156.9513195196905</v>
      </c>
    </row>
    <row r="66" spans="3:7" ht="14.25" customHeight="1" x14ac:dyDescent="0.2">
      <c r="C66" s="54" t="s">
        <v>64</v>
      </c>
      <c r="D66" s="55">
        <f>SUM(D64,D65)</f>
        <v>7730.8094227678348</v>
      </c>
      <c r="E66" s="55">
        <f>SUM(E64,E65)</f>
        <v>10040.0005475748</v>
      </c>
      <c r="F66" s="55">
        <f>SUM(F64,F65)</f>
        <v>112.00848142182895</v>
      </c>
      <c r="G66" s="55">
        <f>SUM(D66:F66)</f>
        <v>17882.818451764462</v>
      </c>
    </row>
    <row r="67" spans="3:7" ht="14.25" customHeight="1" x14ac:dyDescent="0.2">
      <c r="C67" s="58" t="s">
        <v>76</v>
      </c>
      <c r="D67" s="59"/>
      <c r="E67" s="60"/>
      <c r="F67" s="60"/>
      <c r="G67" s="59"/>
    </row>
    <row r="68" spans="3:7" ht="14.25" customHeight="1" x14ac:dyDescent="0.2">
      <c r="C68" s="54" t="s">
        <v>58</v>
      </c>
      <c r="D68" s="55">
        <f>SUM('CV drug'!G24:O24)</f>
        <v>3066.652289587958</v>
      </c>
      <c r="E68" s="55">
        <f>SUM('CV drug'!P24:T24)</f>
        <v>4681.2682318963598</v>
      </c>
      <c r="F68" s="55">
        <f>SUM('CV drug'!U24:W24)</f>
        <v>52.25683176806448</v>
      </c>
      <c r="G68" s="55">
        <f>SUM(D68:F68)</f>
        <v>7800.1773532523821</v>
      </c>
    </row>
    <row r="69" spans="3:7" ht="14.25" customHeight="1" x14ac:dyDescent="0.2">
      <c r="C69" s="54" t="s">
        <v>59</v>
      </c>
      <c r="D69" s="55">
        <f>SUM('CV drug'!G46:O46)</f>
        <v>401.76979778930087</v>
      </c>
      <c r="E69" s="55">
        <f>SUM('CV drug'!P46:T46)</f>
        <v>1729.5752618189999</v>
      </c>
      <c r="F69" s="55">
        <f>SUM('CV drug'!U46:W46)</f>
        <v>19.342868392812388</v>
      </c>
      <c r="G69" s="55">
        <f>SUM(D69:F69)</f>
        <v>2150.6879280011131</v>
      </c>
    </row>
    <row r="70" spans="3:7" ht="14.25" customHeight="1" x14ac:dyDescent="0.2">
      <c r="C70" s="54" t="s">
        <v>53</v>
      </c>
      <c r="D70" s="55">
        <f>SUM(D68,D69)</f>
        <v>3468.4220873772588</v>
      </c>
      <c r="E70" s="55">
        <f>SUM(E68,E69)</f>
        <v>6410.8434937153597</v>
      </c>
      <c r="F70" s="55">
        <f>SUM(F68,F69)</f>
        <v>71.599700160876864</v>
      </c>
      <c r="G70" s="55">
        <f>SUM(D70:F70)</f>
        <v>9950.8652812534965</v>
      </c>
    </row>
    <row r="71" spans="3:7" ht="14.25" customHeight="1" x14ac:dyDescent="0.2">
      <c r="C71" s="61" t="s">
        <v>77</v>
      </c>
      <c r="D71" s="59"/>
      <c r="E71" s="60"/>
      <c r="F71" s="60"/>
      <c r="G71" s="59"/>
    </row>
    <row r="72" spans="3:7" ht="14.25" customHeight="1" x14ac:dyDescent="0.2">
      <c r="C72" s="54" t="s">
        <v>58</v>
      </c>
      <c r="D72" s="55">
        <f>SUM('CV drug'!G29:O29)</f>
        <v>1228.0646435862504</v>
      </c>
      <c r="E72" s="55">
        <f>SUM('CV drug'!P29:T29)</f>
        <v>1193.7675824841785</v>
      </c>
      <c r="F72" s="55">
        <f>SUM('CV drug'!U29:W29)</f>
        <v>11.888104949928062</v>
      </c>
      <c r="G72" s="55">
        <f>SUM(D72:F72)</f>
        <v>2433.7203310203572</v>
      </c>
    </row>
    <row r="73" spans="3:7" ht="14.25" customHeight="1" x14ac:dyDescent="0.2">
      <c r="C73" s="54" t="s">
        <v>59</v>
      </c>
      <c r="D73" s="55">
        <f>SUM('CV drug'!G51:O51)</f>
        <v>63.529284926619439</v>
      </c>
      <c r="E73" s="55">
        <f>SUM('CV drug'!P51:T51)</f>
        <v>474.04175907213329</v>
      </c>
      <c r="F73" s="55">
        <f>SUM('CV drug'!U51:W51)</f>
        <v>4.7304112177146589</v>
      </c>
      <c r="G73" s="55">
        <f>SUM(D73:F73)</f>
        <v>542.30145521646739</v>
      </c>
    </row>
    <row r="74" spans="3:7" ht="14.25" customHeight="1" x14ac:dyDescent="0.2">
      <c r="C74" s="62" t="s">
        <v>53</v>
      </c>
      <c r="D74" s="63">
        <f>SUM(D72,D73)</f>
        <v>1291.59392851287</v>
      </c>
      <c r="E74" s="63">
        <f>SUM(E72,E73)</f>
        <v>1667.8093415563119</v>
      </c>
      <c r="F74" s="63">
        <f>SUM(F72,F73)</f>
        <v>16.618516167642721</v>
      </c>
      <c r="G74" s="63">
        <f>SUM(D74:F74)</f>
        <v>2976.0217862368245</v>
      </c>
    </row>
    <row r="75" spans="3:7" ht="14.25" customHeight="1" x14ac:dyDescent="0.2"/>
    <row r="76" spans="3:7" ht="14.25" customHeight="1" x14ac:dyDescent="0.2"/>
    <row r="77" spans="3:7" ht="14.25" customHeight="1" x14ac:dyDescent="0.2"/>
    <row r="78" spans="3:7" ht="14.25" customHeight="1" x14ac:dyDescent="0.2"/>
    <row r="79" spans="3:7" ht="14.25" customHeight="1" x14ac:dyDescent="0.2"/>
    <row r="80" spans="3:7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  <row r="1001" ht="14.25" customHeight="1" x14ac:dyDescent="0.2"/>
    <row r="1002" ht="14.25" customHeight="1" x14ac:dyDescent="0.2"/>
    <row r="1003" ht="14.25" customHeight="1" x14ac:dyDescent="0.2"/>
  </sheetData>
  <mergeCells count="1">
    <mergeCell ref="D61:G61"/>
  </mergeCells>
  <pageMargins left="0.7" right="0.7" top="0.75" bottom="0.75" header="0" footer="0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1002"/>
  <sheetViews>
    <sheetView tabSelected="1" topLeftCell="A25" zoomScale="120" zoomScaleNormal="120" workbookViewId="0">
      <selection activeCell="D73" sqref="D73"/>
    </sheetView>
  </sheetViews>
  <sheetFormatPr baseColWidth="10" defaultColWidth="14.33203125" defaultRowHeight="15" customHeight="1" x14ac:dyDescent="0.2"/>
  <cols>
    <col min="1" max="1" width="3.33203125" customWidth="1"/>
    <col min="2" max="2" width="44.83203125" bestFit="1" customWidth="1"/>
    <col min="3" max="3" width="24.6640625" bestFit="1" customWidth="1"/>
    <col min="4" max="4" width="25.5" bestFit="1" customWidth="1"/>
    <col min="5" max="5" width="53" customWidth="1"/>
    <col min="6" max="6" width="4" customWidth="1"/>
    <col min="7" max="7" width="8" bestFit="1" customWidth="1"/>
    <col min="8" max="28" width="8.6640625" customWidth="1"/>
  </cols>
  <sheetData>
    <row r="1" spans="2:11" ht="14.25" customHeight="1" x14ac:dyDescent="0.2"/>
    <row r="2" spans="2:11" ht="14.25" customHeight="1" x14ac:dyDescent="0.2">
      <c r="B2" s="1" t="s">
        <v>0</v>
      </c>
      <c r="C2" s="2">
        <v>0.12</v>
      </c>
    </row>
    <row r="3" spans="2:11" ht="14.25" customHeight="1" x14ac:dyDescent="0.2">
      <c r="B3" s="1"/>
      <c r="C3" s="2"/>
    </row>
    <row r="4" spans="2:11" ht="14.25" customHeight="1" x14ac:dyDescent="0.2">
      <c r="C4" s="53" t="s">
        <v>73</v>
      </c>
      <c r="D4" s="53" t="s">
        <v>98</v>
      </c>
      <c r="E4" s="53" t="s">
        <v>38</v>
      </c>
      <c r="G4" s="98" t="s">
        <v>99</v>
      </c>
      <c r="H4" s="98"/>
      <c r="I4" s="98"/>
      <c r="J4" s="98"/>
      <c r="K4" s="98"/>
    </row>
    <row r="5" spans="2:11" ht="14.25" customHeight="1" x14ac:dyDescent="0.2">
      <c r="D5" s="48"/>
      <c r="G5" s="75"/>
      <c r="H5" s="74"/>
      <c r="I5" s="74"/>
      <c r="J5" s="74"/>
      <c r="K5" s="74"/>
    </row>
    <row r="6" spans="2:11" ht="14.25" customHeight="1" x14ac:dyDescent="0.2">
      <c r="B6" s="53" t="s">
        <v>83</v>
      </c>
      <c r="D6" s="71">
        <v>1</v>
      </c>
      <c r="G6" s="71">
        <v>0.9</v>
      </c>
      <c r="H6" s="71">
        <v>0.8</v>
      </c>
      <c r="I6" s="71">
        <v>0.7</v>
      </c>
      <c r="J6" s="71">
        <v>0.6</v>
      </c>
      <c r="K6" s="71">
        <v>0.5</v>
      </c>
    </row>
    <row r="7" spans="2:11" ht="14.25" customHeight="1" x14ac:dyDescent="0.2"/>
    <row r="8" spans="2:11" ht="14.25" customHeight="1" x14ac:dyDescent="0.2">
      <c r="B8" s="1" t="s">
        <v>1</v>
      </c>
      <c r="C8" s="3">
        <f>'CV drug'!D58</f>
        <v>2976.0217862368245</v>
      </c>
      <c r="D8" s="3">
        <f>$C$8*(1-'CV drug'!$E$72/'By phase'!$C$8*D6)</f>
        <v>1782.2542037526457</v>
      </c>
      <c r="G8" s="67">
        <f>$C$8*(1-'CV drug'!$E$72/'By phase'!$C$8*G6)</f>
        <v>1901.6309620010641</v>
      </c>
      <c r="H8" s="67">
        <f>$C$8*(1-'CV drug'!$E$72/'By phase'!$C$8*H6)</f>
        <v>2021.0077202494815</v>
      </c>
      <c r="I8" s="67">
        <f>$C$8*(1-'CV drug'!$E$72/'By phase'!$C$8*I6)</f>
        <v>2140.3844784978996</v>
      </c>
      <c r="J8" s="67">
        <f>$C$8*(1-'CV drug'!$E$72/'By phase'!$C$8*J6)</f>
        <v>2259.7612367463171</v>
      </c>
      <c r="K8" s="67">
        <f>$C$8*(1-'CV drug'!$E$72/'By phase'!$C$8*K6)</f>
        <v>2379.137994994735</v>
      </c>
    </row>
    <row r="9" spans="2:11" ht="14.25" customHeight="1" x14ac:dyDescent="0.2"/>
    <row r="10" spans="2:11" ht="14.25" customHeight="1" x14ac:dyDescent="0.2">
      <c r="B10" s="4" t="s">
        <v>2</v>
      </c>
      <c r="C10" s="2">
        <v>0.95</v>
      </c>
      <c r="D10" s="2">
        <v>0.95</v>
      </c>
      <c r="G10" s="66">
        <v>0.95</v>
      </c>
      <c r="H10" s="66">
        <v>0.95</v>
      </c>
      <c r="I10" s="66">
        <v>0.95</v>
      </c>
      <c r="J10" s="66">
        <v>0.95</v>
      </c>
      <c r="K10" s="66">
        <v>0.95</v>
      </c>
    </row>
    <row r="11" spans="2:11" ht="14.25" customHeight="1" x14ac:dyDescent="0.2">
      <c r="B11" s="5" t="s">
        <v>3</v>
      </c>
      <c r="C11" s="6">
        <v>1</v>
      </c>
      <c r="D11" s="6">
        <v>1</v>
      </c>
      <c r="G11" s="68">
        <v>1</v>
      </c>
      <c r="H11" s="68">
        <v>1</v>
      </c>
      <c r="I11" s="68">
        <v>1</v>
      </c>
      <c r="J11" s="68">
        <v>1</v>
      </c>
      <c r="K11" s="68">
        <v>1</v>
      </c>
    </row>
    <row r="12" spans="2:11" ht="14.25" customHeight="1" x14ac:dyDescent="0.2">
      <c r="B12" s="1" t="s">
        <v>4</v>
      </c>
      <c r="C12" s="7">
        <f>C8*C10</f>
        <v>2827.2206969249833</v>
      </c>
      <c r="D12" s="7">
        <f t="shared" ref="D12" si="0">D8*D10</f>
        <v>1693.1414935650134</v>
      </c>
      <c r="G12" s="69">
        <f t="shared" ref="G12:H12" si="1">G8*G10</f>
        <v>1806.5494139010107</v>
      </c>
      <c r="H12" s="69">
        <f t="shared" si="1"/>
        <v>1919.9573342370074</v>
      </c>
      <c r="I12" s="69">
        <f t="shared" ref="I12:K12" si="2">I8*I10</f>
        <v>2033.3652545730044</v>
      </c>
      <c r="J12" s="69">
        <f t="shared" si="2"/>
        <v>2146.7731749090012</v>
      </c>
      <c r="K12" s="69">
        <f t="shared" si="2"/>
        <v>2260.1810952449982</v>
      </c>
    </row>
    <row r="13" spans="2:11" ht="14.25" customHeight="1" x14ac:dyDescent="0.2">
      <c r="B13" s="1" t="s">
        <v>5</v>
      </c>
      <c r="C13" s="7">
        <f>C12*(1-C15)</f>
        <v>2261.7765575399867</v>
      </c>
      <c r="D13" s="7">
        <f t="shared" ref="D13" si="3">D12*(1-D15)</f>
        <v>1354.5131948520109</v>
      </c>
      <c r="G13" s="69">
        <f t="shared" ref="G13:H13" si="4">G12*(1-G15)</f>
        <v>1445.2395311208086</v>
      </c>
      <c r="H13" s="69">
        <f t="shared" si="4"/>
        <v>1535.965867389606</v>
      </c>
      <c r="I13" s="69">
        <f t="shared" ref="I13:K13" si="5">I12*(1-I15)</f>
        <v>1626.6922036584037</v>
      </c>
      <c r="J13" s="69">
        <f t="shared" si="5"/>
        <v>1717.418539927201</v>
      </c>
      <c r="K13" s="69">
        <f t="shared" si="5"/>
        <v>1808.1448761959987</v>
      </c>
    </row>
    <row r="14" spans="2:11" ht="14.25" customHeight="1" x14ac:dyDescent="0.2">
      <c r="B14" s="1" t="s">
        <v>6</v>
      </c>
      <c r="C14" s="8">
        <v>200</v>
      </c>
      <c r="D14" s="7">
        <f>C14</f>
        <v>200</v>
      </c>
      <c r="G14" s="69">
        <f>$C$14</f>
        <v>200</v>
      </c>
      <c r="H14" s="69">
        <f>$C$14</f>
        <v>200</v>
      </c>
      <c r="I14" s="69">
        <f>$C$14</f>
        <v>200</v>
      </c>
      <c r="J14" s="69">
        <f>$C$14</f>
        <v>200</v>
      </c>
      <c r="K14" s="69">
        <f>$C$14</f>
        <v>200</v>
      </c>
    </row>
    <row r="15" spans="2:11" ht="14.25" customHeight="1" x14ac:dyDescent="0.2">
      <c r="B15" s="1" t="s">
        <v>7</v>
      </c>
      <c r="C15" s="2">
        <v>0.2</v>
      </c>
      <c r="D15" s="2">
        <v>0.2</v>
      </c>
      <c r="E15" s="48" t="s">
        <v>65</v>
      </c>
      <c r="F15" s="48"/>
      <c r="G15" s="66">
        <v>0.2</v>
      </c>
      <c r="H15" s="66">
        <v>0.2</v>
      </c>
      <c r="I15" s="66">
        <v>0.2</v>
      </c>
      <c r="J15" s="66">
        <v>0.2</v>
      </c>
      <c r="K15" s="66">
        <v>0.2</v>
      </c>
    </row>
    <row r="16" spans="2:11" ht="14.25" customHeight="1" x14ac:dyDescent="0.2">
      <c r="B16" s="1" t="s">
        <v>8</v>
      </c>
      <c r="C16" s="7">
        <f>C13-C14</f>
        <v>2061.7765575399867</v>
      </c>
      <c r="D16" s="7">
        <f>D13-D14</f>
        <v>1154.5131948520109</v>
      </c>
      <c r="G16" s="69">
        <f>G13-G14</f>
        <v>1245.2395311208086</v>
      </c>
      <c r="H16" s="69">
        <f>H13-H14</f>
        <v>1335.965867389606</v>
      </c>
      <c r="I16" s="69">
        <f>I13-I14</f>
        <v>1426.6922036584037</v>
      </c>
      <c r="J16" s="69">
        <f>J13-J14</f>
        <v>1517.418539927201</v>
      </c>
      <c r="K16" s="69">
        <f>K13-K14</f>
        <v>1608.1448761959987</v>
      </c>
    </row>
    <row r="17" spans="2:11" ht="14.25" customHeight="1" x14ac:dyDescent="0.2">
      <c r="B17" s="1" t="s">
        <v>9</v>
      </c>
      <c r="C17" s="9">
        <f>C14/SUM(C16,C14)</f>
        <v>8.8426064605395552E-2</v>
      </c>
      <c r="D17" s="9">
        <f>D14/SUM(D16,D14)</f>
        <v>0.14765452323397357</v>
      </c>
      <c r="G17" s="66">
        <f>G14/SUM(G16,G14)</f>
        <v>0.13838536498160722</v>
      </c>
      <c r="H17" s="66">
        <f>H14/SUM(H16,H14)</f>
        <v>0.13021122685486664</v>
      </c>
      <c r="I17" s="66">
        <f>I14/SUM(I16,I14)</f>
        <v>0.12294888950116274</v>
      </c>
      <c r="J17" s="66">
        <f>J14/SUM(J16,J14)</f>
        <v>0.11645384939682654</v>
      </c>
      <c r="K17" s="66">
        <f>K14/SUM(K16,K14)</f>
        <v>0.1106106057279895</v>
      </c>
    </row>
    <row r="18" spans="2:11" ht="14.25" customHeight="1" x14ac:dyDescent="0.2">
      <c r="B18" s="1" t="s">
        <v>10</v>
      </c>
      <c r="C18" s="7">
        <f>C12*(1-C17)</f>
        <v>2577.2206969249833</v>
      </c>
      <c r="D18" s="7">
        <f>D12*(1-D17)</f>
        <v>1443.1414935650134</v>
      </c>
      <c r="G18" s="69">
        <f>G12*(1-G17)</f>
        <v>1556.5494139010107</v>
      </c>
      <c r="H18" s="69">
        <f>H12*(1-H17)</f>
        <v>1669.9573342370074</v>
      </c>
      <c r="I18" s="69">
        <f>I12*(1-I17)</f>
        <v>1783.3652545730044</v>
      </c>
      <c r="J18" s="69">
        <f>J12*(1-J17)</f>
        <v>1896.7731749090012</v>
      </c>
      <c r="K18" s="69">
        <f>K12*(1-K17)</f>
        <v>2010.1810952449982</v>
      </c>
    </row>
    <row r="19" spans="2:11" ht="14.25" customHeight="1" x14ac:dyDescent="0.2">
      <c r="B19" s="1" t="s">
        <v>11</v>
      </c>
      <c r="C19" s="47">
        <f>(1+$C$2)^C11/C21</f>
        <v>1.8666666666666669</v>
      </c>
      <c r="D19" s="47">
        <f t="shared" ref="D19" si="6">(1+$C$2)^D11/D21</f>
        <v>1.8666666666666669</v>
      </c>
      <c r="G19" s="70">
        <f t="shared" ref="G19:H19" si="7">(1+$C$2)^G11/G21</f>
        <v>1.8666666666666669</v>
      </c>
      <c r="H19" s="70">
        <f t="shared" si="7"/>
        <v>1.8666666666666669</v>
      </c>
      <c r="I19" s="70">
        <f t="shared" ref="I19:K19" si="8">(1+$C$2)^I11/I21</f>
        <v>1.8666666666666669</v>
      </c>
      <c r="J19" s="70">
        <f t="shared" si="8"/>
        <v>1.8666666666666669</v>
      </c>
      <c r="K19" s="70">
        <f t="shared" si="8"/>
        <v>1.8666666666666669</v>
      </c>
    </row>
    <row r="20" spans="2:11" ht="14.25" customHeight="1" x14ac:dyDescent="0.2"/>
    <row r="21" spans="2:11" ht="14.25" customHeight="1" x14ac:dyDescent="0.2">
      <c r="B21" s="4" t="s">
        <v>12</v>
      </c>
      <c r="C21" s="2">
        <v>0.6</v>
      </c>
      <c r="D21" s="2">
        <v>0.6</v>
      </c>
      <c r="G21" s="66">
        <v>0.6</v>
      </c>
      <c r="H21" s="66">
        <v>0.6</v>
      </c>
      <c r="I21" s="66">
        <v>0.6</v>
      </c>
      <c r="J21" s="66">
        <v>0.6</v>
      </c>
      <c r="K21" s="66">
        <v>0.6</v>
      </c>
    </row>
    <row r="22" spans="2:11" ht="14.25" customHeight="1" x14ac:dyDescent="0.2">
      <c r="B22" s="5" t="s">
        <v>3</v>
      </c>
      <c r="C22" s="6">
        <v>3</v>
      </c>
      <c r="D22" s="6">
        <v>3</v>
      </c>
      <c r="G22" s="68">
        <v>3</v>
      </c>
      <c r="H22" s="68">
        <v>3</v>
      </c>
      <c r="I22" s="68">
        <v>3</v>
      </c>
      <c r="J22" s="68">
        <v>3</v>
      </c>
      <c r="K22" s="68">
        <v>3</v>
      </c>
    </row>
    <row r="23" spans="2:11" ht="14.25" customHeight="1" x14ac:dyDescent="0.2">
      <c r="B23" s="1" t="s">
        <v>13</v>
      </c>
      <c r="C23" s="7">
        <f>C18*C21</f>
        <v>1546.3324181549899</v>
      </c>
      <c r="D23" s="7">
        <f t="shared" ref="D23" si="9">D18*D21</f>
        <v>865.88489613900799</v>
      </c>
      <c r="G23" s="69">
        <f t="shared" ref="G23:H23" si="10">G18*G21</f>
        <v>933.92964834060638</v>
      </c>
      <c r="H23" s="69">
        <f t="shared" si="10"/>
        <v>1001.9744005422044</v>
      </c>
      <c r="I23" s="69">
        <f t="shared" ref="I23:K23" si="11">I18*I21</f>
        <v>1070.0191527438026</v>
      </c>
      <c r="J23" s="69">
        <f t="shared" si="11"/>
        <v>1138.0639049454007</v>
      </c>
      <c r="K23" s="69">
        <f t="shared" si="11"/>
        <v>1206.1086571469989</v>
      </c>
    </row>
    <row r="24" spans="2:11" ht="14.25" customHeight="1" x14ac:dyDescent="0.2">
      <c r="B24" s="1" t="s">
        <v>5</v>
      </c>
      <c r="C24" s="7">
        <f>C16/C19</f>
        <v>1104.5231558249927</v>
      </c>
      <c r="D24" s="7">
        <f t="shared" ref="D24" si="12">D16/D19</f>
        <v>618.48921152786284</v>
      </c>
      <c r="G24" s="69">
        <f t="shared" ref="G24:H24" si="13">G16/G19</f>
        <v>667.09260595757598</v>
      </c>
      <c r="H24" s="69">
        <f t="shared" si="13"/>
        <v>715.6960003872889</v>
      </c>
      <c r="I24" s="69">
        <f t="shared" ref="I24:K24" si="14">I16/I19</f>
        <v>764.29939481700194</v>
      </c>
      <c r="J24" s="69">
        <f t="shared" si="14"/>
        <v>812.90278924671475</v>
      </c>
      <c r="K24" s="69">
        <f t="shared" si="14"/>
        <v>861.50618367642778</v>
      </c>
    </row>
    <row r="25" spans="2:11" ht="14.25" customHeight="1" x14ac:dyDescent="0.2">
      <c r="B25" s="1" t="s">
        <v>6</v>
      </c>
      <c r="C25" s="8">
        <v>150</v>
      </c>
      <c r="D25" s="7">
        <f>C25</f>
        <v>150</v>
      </c>
      <c r="G25" s="69">
        <f>$C$25</f>
        <v>150</v>
      </c>
      <c r="H25" s="69">
        <f>$C$25</f>
        <v>150</v>
      </c>
      <c r="I25" s="69">
        <f>$C$25</f>
        <v>150</v>
      </c>
      <c r="J25" s="69">
        <f>$C$25</f>
        <v>150</v>
      </c>
      <c r="K25" s="69">
        <f>$C$25</f>
        <v>150</v>
      </c>
    </row>
    <row r="26" spans="2:11" ht="14.25" customHeight="1" x14ac:dyDescent="0.2">
      <c r="B26" s="1" t="s">
        <v>7</v>
      </c>
      <c r="C26" s="9">
        <f>1-C24/C23</f>
        <v>0.28571428571428581</v>
      </c>
      <c r="D26" s="9">
        <f t="shared" ref="D26" si="15">1-D24/D23</f>
        <v>0.2857142857142857</v>
      </c>
      <c r="G26" s="66">
        <f t="shared" ref="G26:H26" si="16">1-G24/G23</f>
        <v>0.2857142857142857</v>
      </c>
      <c r="H26" s="66">
        <f t="shared" si="16"/>
        <v>0.2857142857142857</v>
      </c>
      <c r="I26" s="66">
        <f t="shared" ref="I26:K26" si="17">1-I24/I23</f>
        <v>0.28571428571428559</v>
      </c>
      <c r="J26" s="66">
        <f t="shared" si="17"/>
        <v>0.28571428571428581</v>
      </c>
      <c r="K26" s="66">
        <f t="shared" si="17"/>
        <v>0.2857142857142857</v>
      </c>
    </row>
    <row r="27" spans="2:11" ht="14.25" customHeight="1" x14ac:dyDescent="0.2">
      <c r="B27" s="1" t="s">
        <v>8</v>
      </c>
      <c r="C27" s="7">
        <f>C24-C25</f>
        <v>954.52315582499273</v>
      </c>
      <c r="D27" s="7">
        <f t="shared" ref="D27" si="18">D24-D25</f>
        <v>468.48921152786284</v>
      </c>
      <c r="G27" s="69">
        <f t="shared" ref="G27:H27" si="19">G24-G25</f>
        <v>517.09260595757598</v>
      </c>
      <c r="H27" s="69">
        <f t="shared" si="19"/>
        <v>565.6960003872889</v>
      </c>
      <c r="I27" s="69">
        <f t="shared" ref="I27:K27" si="20">I24-I25</f>
        <v>614.29939481700194</v>
      </c>
      <c r="J27" s="69">
        <f t="shared" si="20"/>
        <v>662.90278924671475</v>
      </c>
      <c r="K27" s="69">
        <f t="shared" si="20"/>
        <v>711.50618367642778</v>
      </c>
    </row>
    <row r="28" spans="2:11" ht="14.25" customHeight="1" x14ac:dyDescent="0.2">
      <c r="B28" s="1" t="s">
        <v>9</v>
      </c>
      <c r="C28" s="9">
        <f>C25/SUM(C27,C25)</f>
        <v>0.13580521079067978</v>
      </c>
      <c r="D28" s="9">
        <f t="shared" ref="D28" si="21">D25/SUM(D27,D25)</f>
        <v>0.24252646158443544</v>
      </c>
      <c r="G28" s="66">
        <f t="shared" ref="G28:H28" si="22">G25/SUM(G27,G25)</f>
        <v>0.22485633727671583</v>
      </c>
      <c r="H28" s="66">
        <f t="shared" si="22"/>
        <v>0.20958619290708569</v>
      </c>
      <c r="I28" s="66">
        <f t="shared" ref="I28:K28" si="23">I25/SUM(I27,I25)</f>
        <v>0.19625816926875214</v>
      </c>
      <c r="J28" s="66">
        <f t="shared" si="23"/>
        <v>0.18452390862011819</v>
      </c>
      <c r="K28" s="66">
        <f t="shared" si="23"/>
        <v>0.17411366609103568</v>
      </c>
    </row>
    <row r="29" spans="2:11" ht="14.25" customHeight="1" x14ac:dyDescent="0.2">
      <c r="B29" s="1" t="s">
        <v>14</v>
      </c>
      <c r="C29" s="7">
        <f t="shared" ref="C29:D29" si="24">C23*(1-C28)</f>
        <v>1336.3324181549899</v>
      </c>
      <c r="D29" s="7">
        <f t="shared" si="24"/>
        <v>655.88489613900799</v>
      </c>
      <c r="G29" s="69">
        <f t="shared" ref="G29:H29" si="25">G23*(1-G28)</f>
        <v>723.92964834060638</v>
      </c>
      <c r="H29" s="69">
        <f t="shared" si="25"/>
        <v>791.97440054220442</v>
      </c>
      <c r="I29" s="69">
        <f t="shared" ref="I29:K29" si="26">I23*(1-I28)</f>
        <v>860.01915274380258</v>
      </c>
      <c r="J29" s="69">
        <f t="shared" si="26"/>
        <v>928.06390494540062</v>
      </c>
      <c r="K29" s="69">
        <f t="shared" si="26"/>
        <v>996.10865714699901</v>
      </c>
    </row>
    <row r="30" spans="2:11" ht="14.25" customHeight="1" x14ac:dyDescent="0.2">
      <c r="B30" s="1" t="s">
        <v>11</v>
      </c>
      <c r="C30" s="47">
        <f>(1+$C$2)^C22/C32</f>
        <v>3.5123200000000008</v>
      </c>
      <c r="D30" s="47">
        <f t="shared" ref="D30" si="27">(1+$C$2)^D22/D32</f>
        <v>3.5123200000000008</v>
      </c>
      <c r="G30" s="70">
        <f t="shared" ref="G30:H30" si="28">(1+$C$2)^G22/G32</f>
        <v>3.5123200000000008</v>
      </c>
      <c r="H30" s="70">
        <f t="shared" si="28"/>
        <v>3.5123200000000008</v>
      </c>
      <c r="I30" s="70">
        <f t="shared" ref="I30:K30" si="29">(1+$C$2)^I22/I32</f>
        <v>3.5123200000000008</v>
      </c>
      <c r="J30" s="70">
        <f t="shared" si="29"/>
        <v>3.5123200000000008</v>
      </c>
      <c r="K30" s="70">
        <f t="shared" si="29"/>
        <v>3.5123200000000008</v>
      </c>
    </row>
    <row r="31" spans="2:11" ht="14.25" customHeight="1" x14ac:dyDescent="0.2"/>
    <row r="32" spans="2:11" ht="14.25" customHeight="1" x14ac:dyDescent="0.2">
      <c r="B32" s="4" t="s">
        <v>15</v>
      </c>
      <c r="C32" s="2">
        <v>0.4</v>
      </c>
      <c r="D32" s="2">
        <v>0.4</v>
      </c>
      <c r="G32" s="66">
        <v>0.4</v>
      </c>
      <c r="H32" s="66">
        <v>0.4</v>
      </c>
      <c r="I32" s="66">
        <v>0.4</v>
      </c>
      <c r="J32" s="66">
        <v>0.4</v>
      </c>
      <c r="K32" s="66">
        <v>0.4</v>
      </c>
    </row>
    <row r="33" spans="2:11" ht="14.25" customHeight="1" x14ac:dyDescent="0.2">
      <c r="B33" s="5" t="s">
        <v>3</v>
      </c>
      <c r="C33" s="6">
        <v>2</v>
      </c>
      <c r="D33" s="6">
        <v>2</v>
      </c>
      <c r="G33" s="68">
        <v>2</v>
      </c>
      <c r="H33" s="68">
        <v>2</v>
      </c>
      <c r="I33" s="68">
        <v>2</v>
      </c>
      <c r="J33" s="68">
        <v>2</v>
      </c>
      <c r="K33" s="68">
        <v>2</v>
      </c>
    </row>
    <row r="34" spans="2:11" ht="14.25" customHeight="1" x14ac:dyDescent="0.2">
      <c r="B34" s="1" t="s">
        <v>16</v>
      </c>
      <c r="C34" s="7">
        <f t="shared" ref="C34:D34" si="30">C29*C32</f>
        <v>534.53296726199596</v>
      </c>
      <c r="D34" s="7">
        <f t="shared" si="30"/>
        <v>262.35395845560322</v>
      </c>
      <c r="G34" s="69">
        <f t="shared" ref="G34:H34" si="31">G29*G32</f>
        <v>289.57185933624254</v>
      </c>
      <c r="H34" s="69">
        <f t="shared" si="31"/>
        <v>316.7897602168818</v>
      </c>
      <c r="I34" s="69">
        <f t="shared" ref="I34:K34" si="32">I29*I32</f>
        <v>344.00766109752107</v>
      </c>
      <c r="J34" s="69">
        <f t="shared" si="32"/>
        <v>371.22556197816027</v>
      </c>
      <c r="K34" s="69">
        <f t="shared" si="32"/>
        <v>398.44346285879965</v>
      </c>
    </row>
    <row r="35" spans="2:11" ht="14.25" customHeight="1" x14ac:dyDescent="0.2">
      <c r="B35" s="1" t="s">
        <v>5</v>
      </c>
      <c r="C35" s="7">
        <f t="shared" ref="C35:D35" si="33">C27/C30</f>
        <v>271.76429135870097</v>
      </c>
      <c r="D35" s="7">
        <f t="shared" si="33"/>
        <v>133.38454683168467</v>
      </c>
      <c r="G35" s="69">
        <f t="shared" ref="G35:H35" si="34">G27/G30</f>
        <v>147.22252128438635</v>
      </c>
      <c r="H35" s="69">
        <f t="shared" si="34"/>
        <v>161.06049573708796</v>
      </c>
      <c r="I35" s="69">
        <f t="shared" ref="I35:K35" si="35">I27/I30</f>
        <v>174.89847018978961</v>
      </c>
      <c r="J35" s="69">
        <f t="shared" si="35"/>
        <v>188.73644464249116</v>
      </c>
      <c r="K35" s="69">
        <f t="shared" si="35"/>
        <v>202.57441909519281</v>
      </c>
    </row>
    <row r="36" spans="2:11" ht="14.25" customHeight="1" x14ac:dyDescent="0.2">
      <c r="B36" s="1" t="s">
        <v>6</v>
      </c>
      <c r="C36" s="8">
        <v>100</v>
      </c>
      <c r="D36" s="7">
        <f>C36</f>
        <v>100</v>
      </c>
      <c r="G36" s="69">
        <f>$C$36</f>
        <v>100</v>
      </c>
      <c r="H36" s="69">
        <f>$C$36</f>
        <v>100</v>
      </c>
      <c r="I36" s="69">
        <f>$C$36</f>
        <v>100</v>
      </c>
      <c r="J36" s="69">
        <f>$C$36</f>
        <v>100</v>
      </c>
      <c r="K36" s="69">
        <f>$C$36</f>
        <v>100</v>
      </c>
    </row>
    <row r="37" spans="2:11" ht="14.25" customHeight="1" x14ac:dyDescent="0.2">
      <c r="B37" s="1" t="s">
        <v>7</v>
      </c>
      <c r="C37" s="9">
        <f>1-C35/C34</f>
        <v>0.49158553727613508</v>
      </c>
      <c r="D37" s="9">
        <f t="shared" ref="D37" si="36">1-D35/D34</f>
        <v>0.49158553727613519</v>
      </c>
      <c r="G37" s="66">
        <f t="shared" ref="G37:H37" si="37">1-G35/G34</f>
        <v>0.49158553727613508</v>
      </c>
      <c r="H37" s="66">
        <f t="shared" si="37"/>
        <v>0.49158553727613508</v>
      </c>
      <c r="I37" s="66">
        <f t="shared" ref="I37:K37" si="38">1-I35/I34</f>
        <v>0.49158553727613497</v>
      </c>
      <c r="J37" s="66">
        <f t="shared" si="38"/>
        <v>0.49158553727613508</v>
      </c>
      <c r="K37" s="66">
        <f t="shared" si="38"/>
        <v>0.49158553727613519</v>
      </c>
    </row>
    <row r="38" spans="2:11" ht="14.25" customHeight="1" x14ac:dyDescent="0.2">
      <c r="B38" s="1" t="s">
        <v>8</v>
      </c>
      <c r="C38" s="7">
        <f>C35-C36</f>
        <v>171.76429135870097</v>
      </c>
      <c r="D38" s="7">
        <f t="shared" ref="D38" si="39">D35-D36</f>
        <v>33.384546831684673</v>
      </c>
      <c r="G38" s="69">
        <f t="shared" ref="G38:H38" si="40">G35-G36</f>
        <v>47.222521284386346</v>
      </c>
      <c r="H38" s="69">
        <f t="shared" si="40"/>
        <v>61.060495737087962</v>
      </c>
      <c r="I38" s="69">
        <f t="shared" ref="I38:K38" si="41">I35-I36</f>
        <v>74.898470189789606</v>
      </c>
      <c r="J38" s="69">
        <f t="shared" si="41"/>
        <v>88.736444642491165</v>
      </c>
      <c r="K38" s="69">
        <f t="shared" si="41"/>
        <v>102.57441909519281</v>
      </c>
    </row>
    <row r="39" spans="2:11" ht="14.25" customHeight="1" x14ac:dyDescent="0.2">
      <c r="B39" s="1" t="s">
        <v>9</v>
      </c>
      <c r="C39" s="9">
        <f>C36/SUM(C38,C36)</f>
        <v>0.36796592922508081</v>
      </c>
      <c r="D39" s="9">
        <f t="shared" ref="D39" si="42">D36/SUM(D38,D36)</f>
        <v>0.74971203467960967</v>
      </c>
      <c r="G39" s="66">
        <f t="shared" ref="G39:H39" si="43">G36/SUM(G38,G36)</f>
        <v>0.67924390322613959</v>
      </c>
      <c r="H39" s="66">
        <f t="shared" si="43"/>
        <v>0.62088471504047815</v>
      </c>
      <c r="I39" s="66">
        <f t="shared" ref="I39:K39" si="44">I36/SUM(I38,I36)</f>
        <v>0.57176028979261995</v>
      </c>
      <c r="J39" s="66">
        <f t="shared" si="44"/>
        <v>0.52983937569356176</v>
      </c>
      <c r="K39" s="66">
        <f t="shared" si="44"/>
        <v>0.49364574484110196</v>
      </c>
    </row>
    <row r="40" spans="2:11" ht="14.25" customHeight="1" x14ac:dyDescent="0.2">
      <c r="B40" s="1" t="s">
        <v>17</v>
      </c>
      <c r="C40" s="7">
        <f t="shared" ref="C40:D40" si="45">C34*(1-C39)</f>
        <v>337.84304726199593</v>
      </c>
      <c r="D40" s="7">
        <f t="shared" si="45"/>
        <v>65.664038455603148</v>
      </c>
      <c r="G40" s="69">
        <f t="shared" ref="G40:H40" si="46">G34*(1-G39)</f>
        <v>92.88193933624251</v>
      </c>
      <c r="H40" s="69">
        <f t="shared" si="46"/>
        <v>120.09984021688174</v>
      </c>
      <c r="I40" s="69">
        <f t="shared" ref="I40:K40" si="47">I34*(1-I39)</f>
        <v>147.31774109752104</v>
      </c>
      <c r="J40" s="69">
        <f t="shared" si="47"/>
        <v>174.53564197816021</v>
      </c>
      <c r="K40" s="69">
        <f t="shared" si="47"/>
        <v>201.75354285879953</v>
      </c>
    </row>
    <row r="41" spans="2:11" ht="14.25" customHeight="1" x14ac:dyDescent="0.2">
      <c r="B41" s="1" t="s">
        <v>11</v>
      </c>
      <c r="C41" s="47">
        <f t="shared" ref="C41:D41" si="48">(1+$C$2)^C33/C43</f>
        <v>2.0906666666666669</v>
      </c>
      <c r="D41" s="47">
        <f t="shared" si="48"/>
        <v>2.0906666666666669</v>
      </c>
      <c r="G41" s="70">
        <f t="shared" ref="G41:H41" si="49">(1+$C$2)^G33/G43</f>
        <v>2.0906666666666669</v>
      </c>
      <c r="H41" s="70">
        <f t="shared" si="49"/>
        <v>2.0906666666666669</v>
      </c>
      <c r="I41" s="70">
        <f t="shared" ref="I41:K41" si="50">(1+$C$2)^I33/I43</f>
        <v>2.0906666666666669</v>
      </c>
      <c r="J41" s="70">
        <f t="shared" si="50"/>
        <v>2.0906666666666669</v>
      </c>
      <c r="K41" s="70">
        <f t="shared" si="50"/>
        <v>2.0906666666666669</v>
      </c>
    </row>
    <row r="42" spans="2:11" ht="14.25" customHeight="1" x14ac:dyDescent="0.2"/>
    <row r="43" spans="2:11" ht="14.25" customHeight="1" x14ac:dyDescent="0.2">
      <c r="B43" s="4" t="s">
        <v>18</v>
      </c>
      <c r="C43" s="2">
        <v>0.6</v>
      </c>
      <c r="D43" s="2">
        <v>0.6</v>
      </c>
      <c r="G43" s="66">
        <v>0.6</v>
      </c>
      <c r="H43" s="66">
        <v>0.6</v>
      </c>
      <c r="I43" s="66">
        <v>0.6</v>
      </c>
      <c r="J43" s="66">
        <v>0.6</v>
      </c>
      <c r="K43" s="66">
        <v>0.6</v>
      </c>
    </row>
    <row r="44" spans="2:11" ht="14.25" customHeight="1" x14ac:dyDescent="0.2">
      <c r="B44" s="5" t="s">
        <v>3</v>
      </c>
      <c r="C44" s="6">
        <v>1</v>
      </c>
      <c r="D44" s="6">
        <v>1</v>
      </c>
      <c r="G44" s="68">
        <v>1</v>
      </c>
      <c r="H44" s="68">
        <v>1</v>
      </c>
      <c r="I44" s="68">
        <v>1</v>
      </c>
      <c r="J44" s="68">
        <v>1</v>
      </c>
      <c r="K44" s="68">
        <v>1</v>
      </c>
    </row>
    <row r="45" spans="2:11" ht="14.25" customHeight="1" x14ac:dyDescent="0.2">
      <c r="B45" s="1" t="s">
        <v>19</v>
      </c>
      <c r="C45" s="7">
        <f>C40*C43</f>
        <v>202.70582835719756</v>
      </c>
      <c r="D45" s="7">
        <f t="shared" ref="D45" si="51">D40*D43</f>
        <v>39.39842307336189</v>
      </c>
      <c r="G45" s="69">
        <f t="shared" ref="G45:H45" si="52">G40*G43</f>
        <v>55.729163601745505</v>
      </c>
      <c r="H45" s="69">
        <f t="shared" si="52"/>
        <v>72.059904130129041</v>
      </c>
      <c r="I45" s="69">
        <f t="shared" ref="I45:K45" si="53">I40*I43</f>
        <v>88.390644658512613</v>
      </c>
      <c r="J45" s="69">
        <f t="shared" si="53"/>
        <v>104.72138518689613</v>
      </c>
      <c r="K45" s="69">
        <f t="shared" si="53"/>
        <v>121.05212571527971</v>
      </c>
    </row>
    <row r="46" spans="2:11" ht="14.25" customHeight="1" x14ac:dyDescent="0.2">
      <c r="B46" s="1" t="s">
        <v>5</v>
      </c>
      <c r="C46" s="7">
        <f>C38/C41</f>
        <v>82.15766487182762</v>
      </c>
      <c r="D46" s="7">
        <f t="shared" ref="D46" si="54">D38/D41</f>
        <v>15.968373803420601</v>
      </c>
      <c r="G46" s="69">
        <f t="shared" ref="G46:H46" si="55">G38/G41</f>
        <v>22.587302910261325</v>
      </c>
      <c r="H46" s="69">
        <f t="shared" si="55"/>
        <v>29.206232017102018</v>
      </c>
      <c r="I46" s="69">
        <f t="shared" ref="I46:K46" si="56">I38/I41</f>
        <v>35.825161123942728</v>
      </c>
      <c r="J46" s="69">
        <f t="shared" si="56"/>
        <v>42.444090230783395</v>
      </c>
      <c r="K46" s="69">
        <f t="shared" si="56"/>
        <v>49.063019337624105</v>
      </c>
    </row>
    <row r="47" spans="2:11" ht="14.25" customHeight="1" x14ac:dyDescent="0.2">
      <c r="B47" s="1" t="s">
        <v>6</v>
      </c>
      <c r="C47" s="8">
        <v>50</v>
      </c>
      <c r="D47" s="7">
        <f>C47</f>
        <v>50</v>
      </c>
      <c r="G47" s="69">
        <f>$C$47</f>
        <v>50</v>
      </c>
      <c r="H47" s="69">
        <f>$C$47</f>
        <v>50</v>
      </c>
      <c r="I47" s="69">
        <f>$C$47</f>
        <v>50</v>
      </c>
      <c r="J47" s="69">
        <f>$C$47</f>
        <v>50</v>
      </c>
      <c r="K47" s="69">
        <f>$C$47</f>
        <v>50</v>
      </c>
    </row>
    <row r="48" spans="2:11" ht="14.25" customHeight="1" x14ac:dyDescent="0.2">
      <c r="B48" s="1" t="s">
        <v>20</v>
      </c>
      <c r="C48" s="9">
        <f t="shared" ref="C48:D48" si="57">1-C46/C45</f>
        <v>0.59469510305814344</v>
      </c>
      <c r="D48" s="9">
        <f t="shared" si="57"/>
        <v>0.59469510305814355</v>
      </c>
      <c r="G48" s="66">
        <f t="shared" ref="G48:H48" si="58">1-G46/G45</f>
        <v>0.59469510305814344</v>
      </c>
      <c r="H48" s="66">
        <f t="shared" si="58"/>
        <v>0.59469510305814333</v>
      </c>
      <c r="I48" s="66">
        <f t="shared" ref="I48:K48" si="59">1-I46/I45</f>
        <v>0.59469510305814333</v>
      </c>
      <c r="J48" s="66">
        <f t="shared" si="59"/>
        <v>0.59469510305814355</v>
      </c>
      <c r="K48" s="66">
        <f t="shared" si="59"/>
        <v>0.59469510305814355</v>
      </c>
    </row>
    <row r="49" spans="2:11" ht="14.25" customHeight="1" x14ac:dyDescent="0.2">
      <c r="B49" s="1" t="s">
        <v>8</v>
      </c>
      <c r="C49" s="10">
        <f t="shared" ref="C49:D49" si="60">C46-C47</f>
        <v>32.15766487182762</v>
      </c>
      <c r="D49" s="10">
        <f t="shared" si="60"/>
        <v>-34.031626196579396</v>
      </c>
      <c r="G49" s="69">
        <f t="shared" ref="G49:H49" si="61">G46-G47</f>
        <v>-27.412697089738675</v>
      </c>
      <c r="H49" s="69">
        <f t="shared" si="61"/>
        <v>-20.793767982897982</v>
      </c>
      <c r="I49" s="69">
        <f t="shared" ref="I49:K49" si="62">I46-I47</f>
        <v>-14.174838876057272</v>
      </c>
      <c r="J49" s="69">
        <f t="shared" si="62"/>
        <v>-7.5559097692166048</v>
      </c>
      <c r="K49" s="69">
        <f t="shared" si="62"/>
        <v>-0.93698066237589472</v>
      </c>
    </row>
    <row r="50" spans="2:11" ht="14.25" customHeight="1" x14ac:dyDescent="0.2">
      <c r="B50" s="1" t="s">
        <v>9</v>
      </c>
      <c r="C50" s="9">
        <f t="shared" ref="C50:D50" si="63">C47/SUM(C49,C47)</f>
        <v>0.60858594360007567</v>
      </c>
      <c r="D50" s="9">
        <f t="shared" si="63"/>
        <v>3.1311892253730584</v>
      </c>
      <c r="G50" s="66">
        <f t="shared" ref="G50:H50" si="64">G47/SUM(G49,G47)</f>
        <v>2.2136330397059134</v>
      </c>
      <c r="H50" s="66">
        <f t="shared" si="64"/>
        <v>1.7119633909201972</v>
      </c>
      <c r="I50" s="66">
        <f t="shared" ref="I50:K50" si="65">I47/SUM(I49,I47)</f>
        <v>1.3956671353693906</v>
      </c>
      <c r="J50" s="66">
        <f t="shared" si="65"/>
        <v>1.1780203021936029</v>
      </c>
      <c r="K50" s="66">
        <f t="shared" si="65"/>
        <v>1.0190974928780498</v>
      </c>
    </row>
    <row r="51" spans="2:11" ht="14.25" customHeight="1" x14ac:dyDescent="0.2">
      <c r="B51" s="1" t="s">
        <v>21</v>
      </c>
      <c r="C51" s="7">
        <f t="shared" ref="C51:D51" si="66">C45*(1-C50)</f>
        <v>79.341910533197506</v>
      </c>
      <c r="D51" s="7">
        <f t="shared" si="66"/>
        <v>-83.965494750638157</v>
      </c>
      <c r="G51" s="69">
        <f t="shared" ref="G51:H51" si="67">G45*(1-G50)</f>
        <v>-67.634754222254543</v>
      </c>
      <c r="H51" s="69">
        <f t="shared" si="67"/>
        <v>-51.304013693870999</v>
      </c>
      <c r="I51" s="69">
        <f t="shared" ref="I51:K51" si="68">I45*(1-I50)</f>
        <v>-34.973273165487413</v>
      </c>
      <c r="J51" s="69">
        <f t="shared" si="68"/>
        <v>-18.642532637103937</v>
      </c>
      <c r="K51" s="69">
        <f t="shared" si="68"/>
        <v>-2.3117921087203492</v>
      </c>
    </row>
    <row r="52" spans="2:11" ht="14.25" customHeight="1" x14ac:dyDescent="0.2">
      <c r="B52" s="1" t="s">
        <v>11</v>
      </c>
      <c r="C52" s="47">
        <f t="shared" ref="C52:D52" si="69">(1+$C$2)^C44/C54</f>
        <v>1.6000000000000003</v>
      </c>
      <c r="D52" s="47">
        <f t="shared" si="69"/>
        <v>1.6000000000000003</v>
      </c>
      <c r="G52" s="70">
        <f t="shared" ref="G52:H52" si="70">(1+$C$2)^G44/G54</f>
        <v>1.6000000000000003</v>
      </c>
      <c r="H52" s="70">
        <f t="shared" si="70"/>
        <v>1.6000000000000003</v>
      </c>
      <c r="I52" s="70">
        <f t="shared" ref="I52:K52" si="71">(1+$C$2)^I44/I54</f>
        <v>1.6000000000000003</v>
      </c>
      <c r="J52" s="70">
        <f t="shared" si="71"/>
        <v>1.6000000000000003</v>
      </c>
      <c r="K52" s="70">
        <f t="shared" si="71"/>
        <v>1.6000000000000003</v>
      </c>
    </row>
    <row r="53" spans="2:11" ht="14.25" customHeight="1" x14ac:dyDescent="0.2"/>
    <row r="54" spans="2:11" ht="14.25" customHeight="1" x14ac:dyDescent="0.2">
      <c r="B54" s="4" t="s">
        <v>22</v>
      </c>
      <c r="C54" s="2">
        <v>0.7</v>
      </c>
      <c r="D54" s="2">
        <v>0.7</v>
      </c>
      <c r="G54" s="66">
        <v>0.7</v>
      </c>
      <c r="H54" s="66">
        <v>0.7</v>
      </c>
      <c r="I54" s="66">
        <v>0.7</v>
      </c>
      <c r="J54" s="66">
        <v>0.7</v>
      </c>
      <c r="K54" s="66">
        <v>0.7</v>
      </c>
    </row>
    <row r="55" spans="2:11" ht="14.25" customHeight="1" x14ac:dyDescent="0.2">
      <c r="B55" s="1" t="s">
        <v>19</v>
      </c>
      <c r="C55" s="10">
        <f>C51*C54</f>
        <v>55.539337373238254</v>
      </c>
      <c r="D55" s="10">
        <f>D51*D54</f>
        <v>-58.775846325446707</v>
      </c>
      <c r="G55" s="69">
        <f>G51*G54</f>
        <v>-47.34432795557818</v>
      </c>
      <c r="H55" s="69">
        <f>H51*H54</f>
        <v>-35.912809585709695</v>
      </c>
      <c r="I55" s="69">
        <f>I51*I54</f>
        <v>-24.481291215841189</v>
      </c>
      <c r="J55" s="69">
        <f>J51*J54</f>
        <v>-13.049772845972756</v>
      </c>
      <c r="K55" s="69">
        <f>K51*K54</f>
        <v>-1.6182544761042443</v>
      </c>
    </row>
    <row r="56" spans="2:11" ht="14.25" customHeight="1" x14ac:dyDescent="0.2">
      <c r="B56" s="1" t="s">
        <v>5</v>
      </c>
      <c r="C56" s="7">
        <f>C59+C57</f>
        <v>45</v>
      </c>
      <c r="D56" s="7">
        <f>D59+D57</f>
        <v>45</v>
      </c>
      <c r="G56" s="69">
        <f>G59+G57</f>
        <v>45</v>
      </c>
      <c r="H56" s="69">
        <f>H59+H57</f>
        <v>45</v>
      </c>
      <c r="I56" s="69">
        <f>I59+I57</f>
        <v>45</v>
      </c>
      <c r="J56" s="69">
        <f>J59+J57</f>
        <v>45</v>
      </c>
      <c r="K56" s="69">
        <f>K59+K57</f>
        <v>45</v>
      </c>
    </row>
    <row r="57" spans="2:11" ht="14.25" customHeight="1" x14ac:dyDescent="0.2">
      <c r="B57" s="1" t="s">
        <v>6</v>
      </c>
      <c r="C57" s="8">
        <v>25</v>
      </c>
      <c r="D57" s="7">
        <f>C57</f>
        <v>25</v>
      </c>
      <c r="G57" s="69">
        <f>$C$57</f>
        <v>25</v>
      </c>
      <c r="H57" s="69">
        <f>$C$57</f>
        <v>25</v>
      </c>
      <c r="I57" s="69">
        <f>$C$57</f>
        <v>25</v>
      </c>
      <c r="J57" s="69">
        <f>$C$57</f>
        <v>25</v>
      </c>
      <c r="K57" s="69">
        <f>$C$57</f>
        <v>25</v>
      </c>
    </row>
    <row r="58" spans="2:11" x14ac:dyDescent="0.2">
      <c r="B58" s="1" t="s">
        <v>20</v>
      </c>
      <c r="C58" s="9">
        <f t="shared" ref="C58" si="72">1-C56/C55</f>
        <v>0.18976346985221071</v>
      </c>
      <c r="D58" s="9">
        <f>1-D56/D55</f>
        <v>1.7656206216211894</v>
      </c>
      <c r="G58" s="66">
        <f>1-G56/G55</f>
        <v>1.9504834463427638</v>
      </c>
      <c r="H58" s="66">
        <f>1-H56/H55</f>
        <v>2.2530347950806457</v>
      </c>
      <c r="I58" s="66">
        <f>1-I56/I55</f>
        <v>2.8381383401412137</v>
      </c>
      <c r="J58" s="66">
        <f>1-J56/J55</f>
        <v>4.4483358853167543</v>
      </c>
      <c r="K58" s="66">
        <f>1-K56/K55</f>
        <v>28.807740169724209</v>
      </c>
    </row>
    <row r="59" spans="2:11" ht="64" x14ac:dyDescent="0.2">
      <c r="B59" s="1" t="s">
        <v>8</v>
      </c>
      <c r="C59" s="8">
        <v>20</v>
      </c>
      <c r="D59" s="8">
        <v>20</v>
      </c>
      <c r="E59" s="76" t="s">
        <v>66</v>
      </c>
      <c r="F59" s="48"/>
      <c r="G59" s="69">
        <v>20</v>
      </c>
      <c r="H59" s="69">
        <v>20</v>
      </c>
      <c r="I59" s="69">
        <v>20</v>
      </c>
      <c r="J59" s="69">
        <v>20</v>
      </c>
      <c r="K59" s="69">
        <v>20</v>
      </c>
    </row>
    <row r="60" spans="2:11" ht="14.25" customHeight="1" x14ac:dyDescent="0.2">
      <c r="B60" s="5" t="s">
        <v>9</v>
      </c>
      <c r="C60" s="9">
        <f t="shared" ref="C60" si="73">C57/SUM(C59,C57)</f>
        <v>0.55555555555555558</v>
      </c>
      <c r="D60" s="9">
        <f>D57/SUM(D59,D57)</f>
        <v>0.55555555555555558</v>
      </c>
      <c r="G60" s="66">
        <f>G57/SUM(G59,G57)</f>
        <v>0.55555555555555558</v>
      </c>
      <c r="H60" s="66">
        <f>H57/SUM(H59,H57)</f>
        <v>0.55555555555555558</v>
      </c>
      <c r="I60" s="66">
        <f>I57/SUM(I59,I57)</f>
        <v>0.55555555555555558</v>
      </c>
      <c r="J60" s="66">
        <f>J57/SUM(J59,J57)</f>
        <v>0.55555555555555558</v>
      </c>
      <c r="K60" s="66">
        <f>K57/SUM(K59,K57)</f>
        <v>0.55555555555555558</v>
      </c>
    </row>
    <row r="61" spans="2:11" ht="14.25" customHeight="1" x14ac:dyDescent="0.2">
      <c r="B61" s="1" t="s">
        <v>21</v>
      </c>
      <c r="C61" s="7">
        <f t="shared" ref="C61:D61" si="74">C55*(1-C60)</f>
        <v>24.684149943661446</v>
      </c>
      <c r="D61" s="7">
        <f t="shared" si="74"/>
        <v>-26.122598366865201</v>
      </c>
      <c r="G61" s="69">
        <f t="shared" ref="G61:H61" si="75">G55*(1-G60)</f>
        <v>-21.041923535812522</v>
      </c>
      <c r="H61" s="69">
        <f t="shared" si="75"/>
        <v>-15.961248704759864</v>
      </c>
      <c r="I61" s="69">
        <f t="shared" ref="I61:K61" si="76">I55*(1-I60)</f>
        <v>-10.880573873707194</v>
      </c>
      <c r="J61" s="69">
        <f t="shared" si="76"/>
        <v>-5.799899042654558</v>
      </c>
      <c r="K61" s="69">
        <f t="shared" si="76"/>
        <v>-0.71922421160188632</v>
      </c>
    </row>
    <row r="62" spans="2:11" ht="14.25" customHeight="1" x14ac:dyDescent="0.2">
      <c r="C62" s="11"/>
      <c r="D62" s="11"/>
      <c r="G62" s="70"/>
      <c r="H62" s="70"/>
      <c r="I62" s="70"/>
      <c r="J62" s="70"/>
      <c r="K62" s="70"/>
    </row>
    <row r="63" spans="2:11" ht="14.25" customHeight="1" x14ac:dyDescent="0.2">
      <c r="B63" s="1" t="s">
        <v>23</v>
      </c>
      <c r="C63" s="9">
        <v>0.8</v>
      </c>
      <c r="D63" s="9">
        <v>0.8</v>
      </c>
      <c r="G63" s="66">
        <v>0.8</v>
      </c>
      <c r="H63" s="66">
        <v>0.8</v>
      </c>
      <c r="I63" s="66">
        <v>0.8</v>
      </c>
      <c r="J63" s="66">
        <v>0.8</v>
      </c>
      <c r="K63" s="66">
        <v>0.8</v>
      </c>
    </row>
    <row r="64" spans="2:11" ht="14.25" customHeight="1" x14ac:dyDescent="0.2"/>
    <row r="65" spans="2:11" ht="14.25" customHeight="1" x14ac:dyDescent="0.2"/>
    <row r="66" spans="2:11" ht="14.25" customHeight="1" x14ac:dyDescent="0.2"/>
    <row r="67" spans="2:11" ht="14.25" customHeight="1" x14ac:dyDescent="0.2">
      <c r="G67" s="98" t="s">
        <v>101</v>
      </c>
      <c r="H67" s="98"/>
      <c r="I67" s="98"/>
      <c r="J67" s="98"/>
      <c r="K67" s="98"/>
    </row>
    <row r="68" spans="2:11" ht="14.25" customHeight="1" x14ac:dyDescent="0.2">
      <c r="C68" s="48" t="s">
        <v>73</v>
      </c>
      <c r="D68" s="48" t="s">
        <v>100</v>
      </c>
      <c r="E68" s="77" t="s">
        <v>89</v>
      </c>
      <c r="F68" s="64"/>
      <c r="G68" s="92">
        <v>0.9</v>
      </c>
      <c r="H68" s="92">
        <v>0.8</v>
      </c>
      <c r="I68" s="92">
        <v>0.7</v>
      </c>
      <c r="J68" s="92">
        <v>0.6</v>
      </c>
      <c r="K68" s="92">
        <v>0.5</v>
      </c>
    </row>
    <row r="69" spans="2:11" ht="14.25" customHeight="1" x14ac:dyDescent="0.2">
      <c r="B69" s="1" t="s">
        <v>24</v>
      </c>
      <c r="C69" s="7">
        <f t="shared" ref="C69:D69" si="77">C8</f>
        <v>2976.0217862368245</v>
      </c>
      <c r="D69" s="7">
        <f t="shared" si="77"/>
        <v>1782.2542037526457</v>
      </c>
      <c r="E69" s="65">
        <f>-(1-D69/C69)</f>
        <v>-0.40112864361577683</v>
      </c>
      <c r="F69" s="65"/>
      <c r="G69" s="7">
        <f t="shared" ref="G69:K69" si="78">G8</f>
        <v>1901.6309620010641</v>
      </c>
      <c r="H69" s="7">
        <f t="shared" si="78"/>
        <v>2021.0077202494815</v>
      </c>
      <c r="I69" s="7">
        <f t="shared" si="78"/>
        <v>2140.3844784978996</v>
      </c>
      <c r="J69" s="7">
        <f t="shared" si="78"/>
        <v>2259.7612367463171</v>
      </c>
      <c r="K69" s="7">
        <f t="shared" si="78"/>
        <v>2379.137994994735</v>
      </c>
    </row>
    <row r="70" spans="2:11" ht="14.25" customHeight="1" x14ac:dyDescent="0.2">
      <c r="B70" s="1" t="s">
        <v>25</v>
      </c>
      <c r="C70" s="7">
        <f t="shared" ref="C70:D70" si="79">C13</f>
        <v>2261.7765575399867</v>
      </c>
      <c r="D70" s="7">
        <f t="shared" si="79"/>
        <v>1354.5131948520109</v>
      </c>
      <c r="E70" s="65">
        <f t="shared" ref="E70:E75" si="80">-(1-D70/C70)</f>
        <v>-0.40112864361577683</v>
      </c>
      <c r="F70" s="65"/>
      <c r="G70" s="7">
        <f t="shared" ref="G70:K70" si="81">G13</f>
        <v>1445.2395311208086</v>
      </c>
      <c r="H70" s="7">
        <f t="shared" si="81"/>
        <v>1535.965867389606</v>
      </c>
      <c r="I70" s="7">
        <f t="shared" si="81"/>
        <v>1626.6922036584037</v>
      </c>
      <c r="J70" s="7">
        <f t="shared" si="81"/>
        <v>1717.418539927201</v>
      </c>
      <c r="K70" s="7">
        <f t="shared" si="81"/>
        <v>1808.1448761959987</v>
      </c>
    </row>
    <row r="71" spans="2:11" ht="14.25" customHeight="1" x14ac:dyDescent="0.2">
      <c r="B71" s="1" t="s">
        <v>26</v>
      </c>
      <c r="C71" s="7">
        <f t="shared" ref="C71:D71" si="82">C24</f>
        <v>1104.5231558249927</v>
      </c>
      <c r="D71" s="7">
        <f t="shared" si="82"/>
        <v>618.48921152786284</v>
      </c>
      <c r="E71" s="65">
        <f t="shared" si="80"/>
        <v>-0.44003961504464828</v>
      </c>
      <c r="F71" s="65"/>
      <c r="G71" s="7">
        <f t="shared" ref="G71:K71" si="83">G24</f>
        <v>667.09260595757598</v>
      </c>
      <c r="H71" s="7">
        <f t="shared" si="83"/>
        <v>715.6960003872889</v>
      </c>
      <c r="I71" s="7">
        <f t="shared" si="83"/>
        <v>764.29939481700194</v>
      </c>
      <c r="J71" s="7">
        <f t="shared" si="83"/>
        <v>812.90278924671475</v>
      </c>
      <c r="K71" s="7">
        <f t="shared" si="83"/>
        <v>861.50618367642778</v>
      </c>
    </row>
    <row r="72" spans="2:11" ht="14.25" customHeight="1" x14ac:dyDescent="0.2">
      <c r="B72" s="1" t="s">
        <v>27</v>
      </c>
      <c r="C72" s="7">
        <f t="shared" ref="C72:D72" si="84">C35</f>
        <v>271.76429135870097</v>
      </c>
      <c r="D72" s="7">
        <f t="shared" si="84"/>
        <v>133.38454683168467</v>
      </c>
      <c r="E72" s="65">
        <f t="shared" si="80"/>
        <v>-0.50919031280812843</v>
      </c>
      <c r="F72" s="65"/>
      <c r="G72" s="7">
        <f t="shared" ref="G72:K72" si="85">G35</f>
        <v>147.22252128438635</v>
      </c>
      <c r="H72" s="7">
        <f t="shared" si="85"/>
        <v>161.06049573708796</v>
      </c>
      <c r="I72" s="7">
        <f t="shared" si="85"/>
        <v>174.89847018978961</v>
      </c>
      <c r="J72" s="7">
        <f t="shared" si="85"/>
        <v>188.73644464249116</v>
      </c>
      <c r="K72" s="7">
        <f t="shared" si="85"/>
        <v>202.57441909519281</v>
      </c>
    </row>
    <row r="73" spans="2:11" ht="14.25" customHeight="1" x14ac:dyDescent="0.2">
      <c r="B73" s="1" t="s">
        <v>28</v>
      </c>
      <c r="C73" s="7">
        <f t="shared" ref="C73:D73" si="86">C46</f>
        <v>82.15766487182762</v>
      </c>
      <c r="D73" s="7">
        <f t="shared" si="86"/>
        <v>15.968373803420601</v>
      </c>
      <c r="E73" s="65">
        <f t="shared" si="80"/>
        <v>-0.80563744322173092</v>
      </c>
      <c r="F73" s="65"/>
      <c r="G73" s="7">
        <f t="shared" ref="G73:K73" si="87">G46</f>
        <v>22.587302910261325</v>
      </c>
      <c r="H73" s="7">
        <f t="shared" si="87"/>
        <v>29.206232017102018</v>
      </c>
      <c r="I73" s="7">
        <f t="shared" si="87"/>
        <v>35.825161123942728</v>
      </c>
      <c r="J73" s="7">
        <f t="shared" si="87"/>
        <v>42.444090230783395</v>
      </c>
      <c r="K73" s="7">
        <f t="shared" si="87"/>
        <v>49.063019337624105</v>
      </c>
    </row>
    <row r="74" spans="2:11" ht="14.25" customHeight="1" x14ac:dyDescent="0.2">
      <c r="B74" s="1" t="s">
        <v>29</v>
      </c>
      <c r="C74" s="7">
        <f>C49</f>
        <v>32.15766487182762</v>
      </c>
      <c r="D74" s="7">
        <f t="shared" ref="D74:K74" si="88">D49</f>
        <v>-34.031626196579396</v>
      </c>
      <c r="E74" s="65">
        <f t="shared" si="80"/>
        <v>-2.0582741729606586</v>
      </c>
      <c r="F74" s="65"/>
      <c r="G74" s="7">
        <f t="shared" si="88"/>
        <v>-27.412697089738675</v>
      </c>
      <c r="H74" s="7">
        <f t="shared" si="88"/>
        <v>-20.793767982897982</v>
      </c>
      <c r="I74" s="7">
        <f t="shared" si="88"/>
        <v>-14.174838876057272</v>
      </c>
      <c r="J74" s="7">
        <f t="shared" si="88"/>
        <v>-7.5559097692166048</v>
      </c>
      <c r="K74" s="7">
        <f t="shared" si="88"/>
        <v>-0.93698066237589472</v>
      </c>
    </row>
    <row r="75" spans="2:11" ht="14.25" customHeight="1" x14ac:dyDescent="0.2">
      <c r="B75" s="48" t="s">
        <v>102</v>
      </c>
      <c r="C75" s="7">
        <f>C74-C57</f>
        <v>7.1576648718276203</v>
      </c>
      <c r="D75" s="7">
        <f>D74-D57</f>
        <v>-59.031626196579396</v>
      </c>
      <c r="E75" s="65">
        <f t="shared" si="80"/>
        <v>-9.2473302751189586</v>
      </c>
      <c r="F75" s="65"/>
      <c r="G75" s="7">
        <f>G74-G57</f>
        <v>-52.412697089738671</v>
      </c>
      <c r="H75" s="7">
        <f t="shared" ref="H75:K75" si="89">H74-H57</f>
        <v>-45.793767982897982</v>
      </c>
      <c r="I75" s="7">
        <f t="shared" si="89"/>
        <v>-39.174838876057272</v>
      </c>
      <c r="J75" s="7">
        <f t="shared" si="89"/>
        <v>-32.555909769216605</v>
      </c>
      <c r="K75" s="7">
        <f t="shared" si="89"/>
        <v>-25.936980662375895</v>
      </c>
    </row>
    <row r="76" spans="2:11" ht="14.25" customHeight="1" x14ac:dyDescent="0.2"/>
    <row r="77" spans="2:11" ht="14.25" customHeight="1" x14ac:dyDescent="0.2"/>
    <row r="78" spans="2:11" ht="14.25" customHeight="1" x14ac:dyDescent="0.2"/>
    <row r="79" spans="2:11" ht="14.25" customHeight="1" x14ac:dyDescent="0.2"/>
    <row r="80" spans="2:11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  <row r="1001" ht="14.25" customHeight="1" x14ac:dyDescent="0.2"/>
    <row r="1002" ht="14.25" customHeight="1" x14ac:dyDescent="0.2"/>
  </sheetData>
  <mergeCells count="2">
    <mergeCell ref="G4:K4"/>
    <mergeCell ref="G67:K67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Supp Table 1</vt:lpstr>
      <vt:lpstr>Supp Table 2</vt:lpstr>
      <vt:lpstr>Supp 3 - Underlying Model ----&gt;</vt:lpstr>
      <vt:lpstr>CV drug</vt:lpstr>
      <vt:lpstr>By phase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Tess Cameron</dc:creator>
  <cp:lastModifiedBy>Richard Xie</cp:lastModifiedBy>
  <dcterms:created xsi:type="dcterms:W3CDTF">2023-11-05T19:02:08Z</dcterms:created>
  <dcterms:modified xsi:type="dcterms:W3CDTF">2024-11-11T17:03:46Z</dcterms:modified>
</cp:coreProperties>
</file>