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b-my.sharepoint.com/personal/1545604_uab_cat/Documents/UAB/Doctorat/B-alanine pathway/Manuscript 2/Additional files/"/>
    </mc:Choice>
  </mc:AlternateContent>
  <xr:revisionPtr revIDLastSave="3555" documentId="13_ncr:1_{B438D613-4442-4B19-867E-AE50CD7413F1}" xr6:coauthVersionLast="47" xr6:coauthVersionMax="47" xr10:uidLastSave="{A1778FD3-0566-4A77-ADA9-430ECBD5B2AD}"/>
  <bookViews>
    <workbookView xWindow="-108" yWindow="-108" windowWidth="23256" windowHeight="12576" activeTab="5" xr2:uid="{4A956EF7-83DD-4D63-883A-9B6EE48FA0CC}"/>
  </bookViews>
  <sheets>
    <sheet name="Process calc" sheetId="10" r:id="rId1"/>
    <sheet name="HPLC Data" sheetId="12" r:id="rId2"/>
    <sheet name="Raw DCW" sheetId="1" r:id="rId3"/>
    <sheet name="Raw DO600" sheetId="2" r:id="rId4"/>
    <sheet name="Summary" sheetId="18" r:id="rId5"/>
    <sheet name="Process metrics and t-test" sheetId="2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20" l="1"/>
  <c r="H9" i="20" l="1"/>
  <c r="G9" i="20"/>
  <c r="R29" i="20"/>
  <c r="Q29" i="20"/>
  <c r="Q24" i="20"/>
  <c r="R23" i="20"/>
  <c r="Q23" i="20"/>
  <c r="R15" i="20"/>
  <c r="Q15" i="20"/>
  <c r="Q10" i="20"/>
  <c r="R9" i="20"/>
  <c r="Q9" i="20"/>
  <c r="C14" i="18"/>
  <c r="J14" i="18" s="1"/>
  <c r="C9" i="18"/>
  <c r="J9" i="18" s="1"/>
  <c r="Q79" i="18"/>
  <c r="Q80" i="18"/>
  <c r="Q81" i="18"/>
  <c r="Q82" i="18"/>
  <c r="Q83" i="18"/>
  <c r="Q84" i="18"/>
  <c r="Q78" i="18"/>
  <c r="J80" i="18"/>
  <c r="M80" i="18" s="1"/>
  <c r="J81" i="18"/>
  <c r="M81" i="18" s="1"/>
  <c r="J82" i="18"/>
  <c r="J83" i="18"/>
  <c r="J84" i="18"/>
  <c r="J79" i="18"/>
  <c r="M79" i="18" s="1"/>
  <c r="I79" i="18"/>
  <c r="I80" i="18"/>
  <c r="I81" i="18"/>
  <c r="I82" i="18"/>
  <c r="I83" i="18"/>
  <c r="I78" i="18"/>
  <c r="H80" i="18"/>
  <c r="H81" i="18"/>
  <c r="H82" i="18"/>
  <c r="H83" i="18"/>
  <c r="H79" i="18"/>
  <c r="H78" i="18"/>
  <c r="AB80" i="18"/>
  <c r="AB79" i="18"/>
  <c r="G84" i="18"/>
  <c r="F84" i="18"/>
  <c r="E84" i="18"/>
  <c r="E83" i="18"/>
  <c r="E82" i="18"/>
  <c r="E81" i="18"/>
  <c r="E80" i="18"/>
  <c r="E79" i="18"/>
  <c r="E78" i="18"/>
  <c r="D84" i="18"/>
  <c r="D83" i="18"/>
  <c r="L83" i="18" s="1"/>
  <c r="D82" i="18"/>
  <c r="D81" i="18"/>
  <c r="L81" i="18" s="1"/>
  <c r="D80" i="18"/>
  <c r="L80" i="18" s="1"/>
  <c r="D79" i="18"/>
  <c r="L79" i="18" s="1"/>
  <c r="D78" i="18"/>
  <c r="L78" i="18" s="1"/>
  <c r="M78" i="18"/>
  <c r="R68" i="18"/>
  <c r="R69" i="18"/>
  <c r="R70" i="18"/>
  <c r="R71" i="18"/>
  <c r="R72" i="18"/>
  <c r="R73" i="18"/>
  <c r="R67" i="18"/>
  <c r="J69" i="18"/>
  <c r="K69" i="18" s="1"/>
  <c r="N69" i="18" s="1"/>
  <c r="J70" i="18"/>
  <c r="K70" i="18" s="1"/>
  <c r="N70" i="18" s="1"/>
  <c r="J71" i="18"/>
  <c r="K71" i="18" s="1"/>
  <c r="J72" i="18"/>
  <c r="J73" i="18"/>
  <c r="J68" i="18"/>
  <c r="K68" i="18" s="1"/>
  <c r="I68" i="18"/>
  <c r="I69" i="18"/>
  <c r="I70" i="18"/>
  <c r="I71" i="18"/>
  <c r="I72" i="18"/>
  <c r="I67" i="18"/>
  <c r="H69" i="18"/>
  <c r="H70" i="18"/>
  <c r="H71" i="18"/>
  <c r="H72" i="18"/>
  <c r="H68" i="18"/>
  <c r="H67" i="18"/>
  <c r="G73" i="18"/>
  <c r="G72" i="18"/>
  <c r="F73" i="18"/>
  <c r="F72" i="18"/>
  <c r="E73" i="18"/>
  <c r="E72" i="18"/>
  <c r="E71" i="18"/>
  <c r="E70" i="18"/>
  <c r="E69" i="18"/>
  <c r="E68" i="18"/>
  <c r="E67" i="18"/>
  <c r="D73" i="18"/>
  <c r="D72" i="18"/>
  <c r="D71" i="18"/>
  <c r="D70" i="18"/>
  <c r="D69" i="18"/>
  <c r="D68" i="18"/>
  <c r="D67" i="18"/>
  <c r="M67" i="18" s="1"/>
  <c r="K67" i="18"/>
  <c r="N67" i="18" s="1"/>
  <c r="G14" i="18"/>
  <c r="G13" i="18"/>
  <c r="E14" i="18"/>
  <c r="E13" i="18"/>
  <c r="G8" i="18"/>
  <c r="E9" i="18"/>
  <c r="E8" i="18"/>
  <c r="F14" i="18"/>
  <c r="F13" i="18"/>
  <c r="D14" i="18"/>
  <c r="D13" i="18"/>
  <c r="K13" i="18" s="1"/>
  <c r="Z13" i="18"/>
  <c r="Y13" i="18"/>
  <c r="F8" i="18"/>
  <c r="D9" i="18"/>
  <c r="D8" i="18"/>
  <c r="K8" i="18" s="1"/>
  <c r="K14" i="18" l="1"/>
  <c r="K9" i="18"/>
  <c r="K81" i="18"/>
  <c r="K79" i="18"/>
  <c r="K80" i="18"/>
  <c r="K78" i="18"/>
  <c r="K82" i="18"/>
  <c r="L82" i="18"/>
  <c r="R78" i="18"/>
  <c r="M84" i="18"/>
  <c r="M83" i="18"/>
  <c r="K84" i="18"/>
  <c r="M82" i="18"/>
  <c r="K83" i="18"/>
  <c r="L84" i="18"/>
  <c r="N68" i="18"/>
  <c r="N71" i="18"/>
  <c r="L67" i="18"/>
  <c r="L68" i="18"/>
  <c r="L69" i="18"/>
  <c r="L70" i="18"/>
  <c r="L71" i="18"/>
  <c r="K72" i="18"/>
  <c r="N72" i="18" s="1"/>
  <c r="K73" i="18"/>
  <c r="N73" i="18" s="1"/>
  <c r="S67" i="18"/>
  <c r="M68" i="18"/>
  <c r="M69" i="18"/>
  <c r="M70" i="18"/>
  <c r="M71" i="18"/>
  <c r="L72" i="18"/>
  <c r="L73" i="18"/>
  <c r="M72" i="18"/>
  <c r="M73" i="18"/>
  <c r="N13" i="18"/>
  <c r="Z8" i="18"/>
  <c r="N8" i="18"/>
  <c r="Y8" i="18"/>
  <c r="H8" i="18" s="1"/>
  <c r="N78" i="18" l="1"/>
  <c r="O78" i="18"/>
  <c r="P78" i="18"/>
  <c r="P67" i="18"/>
  <c r="O67" i="18"/>
  <c r="Q67" i="18"/>
  <c r="I8" i="18"/>
  <c r="P9" i="18"/>
  <c r="P14" i="18"/>
  <c r="P8" i="18"/>
  <c r="J8" i="18"/>
  <c r="M8" i="18" l="1"/>
  <c r="O8" i="18"/>
  <c r="Q8" i="18"/>
  <c r="S140" i="2" l="1"/>
  <c r="S141" i="2" s="1"/>
  <c r="R140" i="2"/>
  <c r="R141" i="2" s="1"/>
  <c r="G148" i="2"/>
  <c r="H148" i="2" s="1"/>
  <c r="F148" i="2"/>
  <c r="N145" i="2"/>
  <c r="M145" i="2"/>
  <c r="G145" i="2"/>
  <c r="H145" i="2" s="1"/>
  <c r="F145" i="2"/>
  <c r="N142" i="2"/>
  <c r="M142" i="2"/>
  <c r="G142" i="2"/>
  <c r="F142" i="2"/>
  <c r="H142" i="2" s="1"/>
  <c r="M139" i="2"/>
  <c r="N139" i="2" s="1"/>
  <c r="G139" i="2"/>
  <c r="H139" i="2" s="1"/>
  <c r="F139" i="2"/>
  <c r="N136" i="2"/>
  <c r="M136" i="2"/>
  <c r="G136" i="2"/>
  <c r="H136" i="2" s="1"/>
  <c r="F136" i="2"/>
  <c r="N133" i="2"/>
  <c r="M133" i="2"/>
  <c r="H133" i="2"/>
  <c r="G133" i="2"/>
  <c r="F133" i="2"/>
  <c r="M130" i="2"/>
  <c r="N130" i="2" s="1"/>
  <c r="G130" i="2"/>
  <c r="F130" i="2"/>
  <c r="H130" i="2" s="1"/>
  <c r="M127" i="2"/>
  <c r="N127" i="2" s="1"/>
  <c r="G127" i="2"/>
  <c r="H127" i="2" s="1"/>
  <c r="F127" i="2"/>
  <c r="M124" i="2"/>
  <c r="N124" i="2" s="1"/>
  <c r="G124" i="2"/>
  <c r="H124" i="2" s="1"/>
  <c r="F124" i="2"/>
  <c r="N121" i="2"/>
  <c r="M121" i="2"/>
  <c r="H121" i="2"/>
  <c r="G121" i="2"/>
  <c r="F121" i="2"/>
  <c r="M118" i="2"/>
  <c r="N118" i="2" s="1"/>
  <c r="G118" i="2"/>
  <c r="H118" i="2" s="1"/>
  <c r="F118" i="2"/>
  <c r="M115" i="2"/>
  <c r="N115" i="2" s="1"/>
  <c r="G115" i="2"/>
  <c r="H115" i="2" s="1"/>
  <c r="F115" i="2"/>
  <c r="M112" i="2"/>
  <c r="N112" i="2" s="1"/>
  <c r="G112" i="2"/>
  <c r="H112" i="2" s="1"/>
  <c r="F112" i="2"/>
  <c r="N109" i="2"/>
  <c r="M109" i="2"/>
  <c r="G109" i="2"/>
  <c r="F109" i="2"/>
  <c r="H109" i="2" s="1"/>
  <c r="S33" i="2"/>
  <c r="R32" i="2"/>
  <c r="R33" i="2" s="1"/>
  <c r="G47" i="2"/>
  <c r="H47" i="2" s="1"/>
  <c r="F47" i="2"/>
  <c r="N44" i="2"/>
  <c r="M44" i="2"/>
  <c r="G44" i="2"/>
  <c r="H44" i="2" s="1"/>
  <c r="F44" i="2"/>
  <c r="G41" i="2"/>
  <c r="H41" i="2" s="1"/>
  <c r="F41" i="2"/>
  <c r="M38" i="2"/>
  <c r="N38" i="2" s="1"/>
  <c r="G38" i="2"/>
  <c r="H38" i="2" s="1"/>
  <c r="F38" i="2"/>
  <c r="G35" i="2"/>
  <c r="H35" i="2" s="1"/>
  <c r="F35" i="2"/>
  <c r="N32" i="2"/>
  <c r="M32" i="2"/>
  <c r="H32" i="2"/>
  <c r="G32" i="2"/>
  <c r="F32" i="2"/>
  <c r="H29" i="2"/>
  <c r="G29" i="2"/>
  <c r="F29" i="2"/>
  <c r="M26" i="2"/>
  <c r="N26" i="2" s="1"/>
  <c r="G26" i="2"/>
  <c r="H26" i="2" s="1"/>
  <c r="F26" i="2"/>
  <c r="G23" i="2"/>
  <c r="H23" i="2" s="1"/>
  <c r="F23" i="2"/>
  <c r="N20" i="2"/>
  <c r="M20" i="2"/>
  <c r="G20" i="2"/>
  <c r="H20" i="2" s="1"/>
  <c r="F20" i="2"/>
  <c r="G17" i="2"/>
  <c r="H17" i="2" s="1"/>
  <c r="F17" i="2"/>
  <c r="M14" i="2"/>
  <c r="N14" i="2" s="1"/>
  <c r="G14" i="2"/>
  <c r="H14" i="2" s="1"/>
  <c r="F14" i="2"/>
  <c r="G11" i="2"/>
  <c r="H11" i="2" s="1"/>
  <c r="F11" i="2"/>
  <c r="M8" i="2"/>
  <c r="N8" i="2" s="1"/>
  <c r="H8" i="2"/>
  <c r="G8" i="2"/>
  <c r="F8" i="2"/>
  <c r="G5" i="2"/>
  <c r="H5" i="2" s="1"/>
  <c r="F5" i="2"/>
  <c r="M2" i="2"/>
  <c r="N2" i="2" s="1"/>
  <c r="G2" i="2"/>
  <c r="H2" i="2" s="1"/>
  <c r="F2" i="2"/>
  <c r="G92" i="1"/>
  <c r="G93" i="1"/>
  <c r="G94" i="1"/>
  <c r="G95" i="1"/>
  <c r="G96" i="1"/>
  <c r="G91" i="1"/>
  <c r="I91" i="1" s="1"/>
  <c r="I94" i="1"/>
  <c r="G20" i="1"/>
  <c r="G19" i="1"/>
  <c r="G18" i="1"/>
  <c r="I18" i="1" s="1"/>
  <c r="G17" i="1"/>
  <c r="H15" i="1" s="1"/>
  <c r="G16" i="1"/>
  <c r="G15" i="1"/>
  <c r="G14" i="1"/>
  <c r="G13" i="1"/>
  <c r="G12" i="1"/>
  <c r="G11" i="1"/>
  <c r="G10" i="1"/>
  <c r="G9" i="1"/>
  <c r="G8" i="1"/>
  <c r="G7" i="1"/>
  <c r="G6" i="1"/>
  <c r="I6" i="1" s="1"/>
  <c r="G5" i="1"/>
  <c r="G4" i="1"/>
  <c r="G3" i="1"/>
  <c r="H91" i="1" l="1"/>
  <c r="J91" i="1" s="1"/>
  <c r="H94" i="1"/>
  <c r="J94" i="1" s="1"/>
  <c r="I12" i="1"/>
  <c r="I15" i="1"/>
  <c r="J15" i="1" s="1"/>
  <c r="H9" i="1"/>
  <c r="I9" i="1"/>
  <c r="J9" i="1" s="1"/>
  <c r="H6" i="1"/>
  <c r="J6" i="1" s="1"/>
  <c r="H12" i="1"/>
  <c r="J12" i="1" s="1"/>
  <c r="I3" i="1"/>
  <c r="H18" i="1"/>
  <c r="J18" i="1" s="1"/>
  <c r="H3" i="1"/>
  <c r="J3" i="1" l="1"/>
  <c r="B32" i="18" l="1"/>
  <c r="G14" i="20" l="1"/>
  <c r="G15" i="20"/>
  <c r="G16" i="20"/>
  <c r="G17" i="20"/>
  <c r="G18" i="20"/>
  <c r="J18" i="20" s="1"/>
  <c r="G11" i="20"/>
  <c r="G12" i="20"/>
  <c r="G13" i="20"/>
  <c r="D18" i="20"/>
  <c r="J16" i="20" l="1"/>
  <c r="F18" i="20"/>
  <c r="H18" i="20" s="1"/>
  <c r="K18" i="20" s="1"/>
  <c r="F17" i="20"/>
  <c r="F16" i="20"/>
  <c r="F15" i="20"/>
  <c r="F14" i="20" l="1"/>
  <c r="D17" i="20"/>
  <c r="H17" i="20" s="1"/>
  <c r="K17" i="20" s="1"/>
  <c r="D16" i="20"/>
  <c r="H16" i="20" s="1"/>
  <c r="K16" i="20" s="1"/>
  <c r="D15" i="20"/>
  <c r="H15" i="20" l="1"/>
  <c r="K15" i="20" s="1"/>
  <c r="D14" i="20"/>
  <c r="H14" i="20" s="1"/>
  <c r="K14" i="20" s="1"/>
  <c r="M49" i="18" l="1"/>
  <c r="J56" i="18"/>
  <c r="M56" i="18" s="1"/>
  <c r="J55" i="18"/>
  <c r="M55" i="18" s="1"/>
  <c r="J54" i="18"/>
  <c r="M54" i="18" s="1"/>
  <c r="J53" i="18"/>
  <c r="M53" i="18" s="1"/>
  <c r="J52" i="18"/>
  <c r="M52" i="18" s="1"/>
  <c r="J51" i="18"/>
  <c r="M51" i="18" s="1"/>
  <c r="J50" i="18"/>
  <c r="M50" i="18" s="1"/>
  <c r="G56" i="18"/>
  <c r="F56" i="18"/>
  <c r="E56" i="18"/>
  <c r="E55" i="18"/>
  <c r="E54" i="18"/>
  <c r="E53" i="18"/>
  <c r="E52" i="18"/>
  <c r="E51" i="18"/>
  <c r="E50" i="18"/>
  <c r="E49" i="18"/>
  <c r="D56" i="18"/>
  <c r="L56" i="18" s="1"/>
  <c r="D55" i="18"/>
  <c r="L55" i="18" s="1"/>
  <c r="D54" i="18"/>
  <c r="L54" i="18" s="1"/>
  <c r="D53" i="18"/>
  <c r="L53" i="18" s="1"/>
  <c r="D52" i="18"/>
  <c r="L52" i="18" s="1"/>
  <c r="D51" i="18"/>
  <c r="L51" i="18" s="1"/>
  <c r="D50" i="18"/>
  <c r="L50" i="18" s="1"/>
  <c r="D49" i="18"/>
  <c r="L49" i="18" s="1"/>
  <c r="V44" i="18"/>
  <c r="U44" i="18"/>
  <c r="T44" i="18"/>
  <c r="V43" i="18"/>
  <c r="U43" i="18"/>
  <c r="T43" i="18"/>
  <c r="V42" i="18"/>
  <c r="U42" i="18"/>
  <c r="T42" i="18"/>
  <c r="V41" i="18"/>
  <c r="U41" i="18"/>
  <c r="T41" i="18"/>
  <c r="V40" i="18"/>
  <c r="U40" i="18"/>
  <c r="T40" i="18"/>
  <c r="V39" i="18"/>
  <c r="U39" i="18"/>
  <c r="T39" i="18"/>
  <c r="V38" i="18"/>
  <c r="U38" i="18"/>
  <c r="T38" i="18"/>
  <c r="V37" i="18"/>
  <c r="U37" i="18"/>
  <c r="T37" i="18"/>
  <c r="V32" i="18"/>
  <c r="U32" i="18"/>
  <c r="T32" i="18"/>
  <c r="V31" i="18"/>
  <c r="U31" i="18"/>
  <c r="T31" i="18"/>
  <c r="V30" i="18"/>
  <c r="U30" i="18"/>
  <c r="T30" i="18"/>
  <c r="V29" i="18"/>
  <c r="U29" i="18"/>
  <c r="T29" i="18"/>
  <c r="V28" i="18"/>
  <c r="U28" i="18"/>
  <c r="T28" i="18"/>
  <c r="V27" i="18"/>
  <c r="U27" i="18"/>
  <c r="T27" i="18"/>
  <c r="W27" i="18" s="1"/>
  <c r="V26" i="18"/>
  <c r="U26" i="18"/>
  <c r="T26" i="18"/>
  <c r="V25" i="18"/>
  <c r="U25" i="18"/>
  <c r="T25" i="18"/>
  <c r="AA25" i="18"/>
  <c r="AC13" i="18" s="1"/>
  <c r="AA24" i="18"/>
  <c r="AC12" i="18" s="1"/>
  <c r="H13" i="18" s="1"/>
  <c r="X43" i="18" l="1"/>
  <c r="W31" i="18"/>
  <c r="J13" i="18"/>
  <c r="I13" i="18"/>
  <c r="P13" i="18"/>
  <c r="Q13" i="18" s="1"/>
  <c r="X32" i="18"/>
  <c r="W28" i="18"/>
  <c r="X40" i="18"/>
  <c r="W29" i="18"/>
  <c r="F29" i="18" s="1"/>
  <c r="X41" i="18"/>
  <c r="X25" i="18"/>
  <c r="X37" i="18"/>
  <c r="W26" i="18"/>
  <c r="F26" i="18" s="1"/>
  <c r="W30" i="18"/>
  <c r="W38" i="18"/>
  <c r="F38" i="18" s="1"/>
  <c r="X42" i="18"/>
  <c r="X44" i="18"/>
  <c r="W40" i="18"/>
  <c r="F40" i="18" s="1"/>
  <c r="X31" i="18"/>
  <c r="X30" i="18"/>
  <c r="X38" i="18"/>
  <c r="X39" i="18"/>
  <c r="W25" i="18"/>
  <c r="F25" i="18" s="1"/>
  <c r="X29" i="18"/>
  <c r="W41" i="18"/>
  <c r="F41" i="18" s="1"/>
  <c r="F31" i="18"/>
  <c r="W32" i="18"/>
  <c r="X28" i="18"/>
  <c r="X27" i="18"/>
  <c r="W42" i="18"/>
  <c r="X26" i="18"/>
  <c r="W37" i="18"/>
  <c r="F37" i="18" s="1"/>
  <c r="W43" i="18"/>
  <c r="F43" i="18" s="1"/>
  <c r="G43" i="18" s="1"/>
  <c r="F28" i="18"/>
  <c r="W44" i="18"/>
  <c r="W39" i="18"/>
  <c r="M13" i="18" l="1"/>
  <c r="O13" i="18"/>
  <c r="G41" i="18"/>
  <c r="G40" i="18"/>
  <c r="G37" i="18"/>
  <c r="G38" i="18"/>
  <c r="H53" i="18"/>
  <c r="K53" i="18" s="1"/>
  <c r="H52" i="18"/>
  <c r="K52" i="18" s="1"/>
  <c r="G26" i="18"/>
  <c r="G31" i="18"/>
  <c r="H55" i="18"/>
  <c r="G25" i="18"/>
  <c r="H49" i="18"/>
  <c r="H50" i="18"/>
  <c r="G28" i="18"/>
  <c r="G29" i="18"/>
  <c r="I52" i="18" l="1"/>
  <c r="I53" i="18"/>
  <c r="K49" i="18"/>
  <c r="I49" i="18"/>
  <c r="I50" i="18"/>
  <c r="K50" i="18"/>
  <c r="I55" i="18"/>
  <c r="K55" i="18"/>
  <c r="D76" i="1"/>
  <c r="D75" i="1"/>
  <c r="D74" i="1"/>
  <c r="D73" i="1"/>
  <c r="D72" i="1"/>
  <c r="D71" i="1"/>
  <c r="M54" i="1"/>
  <c r="M53" i="1"/>
  <c r="M52" i="1"/>
  <c r="K54" i="1"/>
  <c r="K53" i="1"/>
  <c r="K52" i="1"/>
  <c r="E44" i="18" l="1"/>
  <c r="E32" i="18"/>
  <c r="D44" i="18"/>
  <c r="D43" i="18"/>
  <c r="D42" i="18"/>
  <c r="D41" i="18"/>
  <c r="D40" i="18"/>
  <c r="D39" i="18"/>
  <c r="D38" i="18"/>
  <c r="D37" i="18"/>
  <c r="D32" i="18"/>
  <c r="D31" i="18"/>
  <c r="D30" i="18"/>
  <c r="D29" i="18"/>
  <c r="D28" i="18"/>
  <c r="D27" i="18"/>
  <c r="D26" i="18"/>
  <c r="D25" i="18"/>
  <c r="A31" i="1"/>
  <c r="C32" i="18"/>
  <c r="C31" i="18"/>
  <c r="C30" i="18"/>
  <c r="C29" i="18"/>
  <c r="C28" i="18"/>
  <c r="C27" i="18"/>
  <c r="C26" i="18"/>
  <c r="B31" i="18"/>
  <c r="A92" i="2" s="1"/>
  <c r="B30" i="18"/>
  <c r="A86" i="2" s="1"/>
  <c r="B29" i="18"/>
  <c r="A80" i="2" s="1"/>
  <c r="B28" i="18"/>
  <c r="A74" i="2" s="1"/>
  <c r="B27" i="18"/>
  <c r="A25" i="1" s="1"/>
  <c r="B26" i="18"/>
  <c r="A62" i="2" s="1"/>
  <c r="B25" i="18"/>
  <c r="A56" i="2" s="1"/>
  <c r="C25" i="18"/>
  <c r="C9" i="20" l="1"/>
  <c r="C10" i="20"/>
  <c r="E9" i="20"/>
  <c r="E10" i="20"/>
  <c r="A68" i="2"/>
  <c r="H10" i="20" l="1"/>
  <c r="K10" i="20" s="1"/>
  <c r="G10" i="20"/>
  <c r="S86" i="2"/>
  <c r="S87" i="2" s="1"/>
  <c r="R86" i="2"/>
  <c r="R87" i="2" s="1"/>
  <c r="M92" i="2" l="1"/>
  <c r="N92" i="2" s="1"/>
  <c r="M80" i="2"/>
  <c r="N80" i="2" s="1"/>
  <c r="M74" i="2"/>
  <c r="N74" i="2" s="1"/>
  <c r="M62" i="2"/>
  <c r="N62" i="2" s="1"/>
  <c r="M56" i="2"/>
  <c r="N56" i="2" s="1"/>
  <c r="M98" i="2"/>
  <c r="N98" i="2" s="1"/>
  <c r="M86" i="2"/>
  <c r="M68" i="2"/>
  <c r="N86" i="2"/>
  <c r="E3" i="10"/>
  <c r="T16" i="10"/>
  <c r="G42" i="1" l="1"/>
  <c r="G41" i="1"/>
  <c r="G40" i="1"/>
  <c r="G39" i="1"/>
  <c r="G38" i="1"/>
  <c r="G37" i="1"/>
  <c r="G36" i="1"/>
  <c r="G35" i="1"/>
  <c r="G34" i="1"/>
  <c r="G33" i="1"/>
  <c r="G32" i="1"/>
  <c r="G31" i="1"/>
  <c r="G30" i="1"/>
  <c r="I28" i="1" s="1"/>
  <c r="G29" i="1"/>
  <c r="G28" i="1"/>
  <c r="F30" i="18" l="1"/>
  <c r="G30" i="18"/>
  <c r="F42" i="18"/>
  <c r="G42" i="18"/>
  <c r="F44" i="18"/>
  <c r="G44" i="18"/>
  <c r="F32" i="18"/>
  <c r="G32" i="18"/>
  <c r="F39" i="18"/>
  <c r="G39" i="18"/>
  <c r="H40" i="1"/>
  <c r="I37" i="1"/>
  <c r="H28" i="1"/>
  <c r="J28" i="1" s="1"/>
  <c r="I40" i="1"/>
  <c r="H34" i="1"/>
  <c r="H37" i="1"/>
  <c r="I31" i="1"/>
  <c r="I34" i="1"/>
  <c r="H31" i="1"/>
  <c r="G101" i="2"/>
  <c r="G98" i="2"/>
  <c r="G95" i="2"/>
  <c r="G92" i="2"/>
  <c r="G89" i="2"/>
  <c r="G86" i="2"/>
  <c r="G83" i="2"/>
  <c r="G80" i="2"/>
  <c r="G77" i="2"/>
  <c r="G74" i="2"/>
  <c r="G71" i="2"/>
  <c r="G68" i="2"/>
  <c r="G65" i="2"/>
  <c r="G62" i="2"/>
  <c r="G59" i="2"/>
  <c r="G56" i="2"/>
  <c r="F101" i="2"/>
  <c r="F98" i="2"/>
  <c r="F95" i="2"/>
  <c r="F92" i="2"/>
  <c r="F89" i="2"/>
  <c r="F86" i="2"/>
  <c r="F83" i="2"/>
  <c r="F80" i="2"/>
  <c r="F77" i="2"/>
  <c r="F74" i="2"/>
  <c r="F71" i="2"/>
  <c r="F68" i="2"/>
  <c r="F65" i="2"/>
  <c r="F62" i="2"/>
  <c r="F59" i="2"/>
  <c r="F56" i="2"/>
  <c r="H56" i="18" l="1"/>
  <c r="H54" i="18"/>
  <c r="J40" i="1"/>
  <c r="J37" i="1"/>
  <c r="J31" i="1"/>
  <c r="J34" i="1"/>
  <c r="E5" i="10"/>
  <c r="E4" i="10"/>
  <c r="E2" i="10"/>
  <c r="I54" i="18" l="1"/>
  <c r="K54" i="18"/>
  <c r="I56" i="18"/>
  <c r="K56" i="18"/>
  <c r="D13" i="20"/>
  <c r="D12" i="20"/>
  <c r="J12" i="20" l="1"/>
  <c r="J13" i="20"/>
  <c r="J17" i="20"/>
  <c r="F13" i="20"/>
  <c r="H13" i="20" s="1"/>
  <c r="K13" i="20" s="1"/>
  <c r="F12" i="20"/>
  <c r="H12" i="20" s="1"/>
  <c r="K12" i="20" s="1"/>
  <c r="F11" i="20"/>
  <c r="J15" i="20" l="1"/>
  <c r="I38" i="18" l="1"/>
  <c r="I39" i="18"/>
  <c r="I40" i="18"/>
  <c r="I41" i="18"/>
  <c r="I42" i="18"/>
  <c r="I43" i="18"/>
  <c r="I44" i="18"/>
  <c r="I37" i="18"/>
  <c r="K37" i="18" l="1"/>
  <c r="L37" i="18" s="1"/>
  <c r="H43" i="18"/>
  <c r="H30" i="18" l="1"/>
  <c r="H42" i="18"/>
  <c r="H39" i="18"/>
  <c r="H38" i="18"/>
  <c r="H31" i="18"/>
  <c r="H40" i="18"/>
  <c r="H28" i="18"/>
  <c r="H26" i="18"/>
  <c r="H44" i="18" l="1"/>
  <c r="N44" i="18"/>
  <c r="N39" i="18"/>
  <c r="H37" i="18"/>
  <c r="N37" i="18"/>
  <c r="N43" i="18"/>
  <c r="N40" i="18"/>
  <c r="N42" i="18"/>
  <c r="N38" i="18"/>
  <c r="N41" i="18"/>
  <c r="H41" i="18"/>
  <c r="J37" i="18" l="1"/>
  <c r="O37" i="18"/>
  <c r="M37" i="18"/>
  <c r="H56" i="2" l="1"/>
  <c r="I26" i="18" l="1"/>
  <c r="I31" i="18"/>
  <c r="I32" i="18"/>
  <c r="I30" i="18"/>
  <c r="I27" i="18"/>
  <c r="I28" i="18"/>
  <c r="I29" i="18"/>
  <c r="I25" i="18"/>
  <c r="K25" i="18" l="1"/>
  <c r="L25" i="18" s="1"/>
  <c r="J9" i="20"/>
  <c r="K9" i="20"/>
  <c r="J10" i="20"/>
  <c r="H86" i="2"/>
  <c r="H74" i="2" l="1"/>
  <c r="H62" i="2"/>
  <c r="H80" i="2"/>
  <c r="H98" i="2"/>
  <c r="H65" i="2"/>
  <c r="H92" i="2"/>
  <c r="H83" i="2"/>
  <c r="H77" i="2"/>
  <c r="H71" i="2"/>
  <c r="H95" i="2"/>
  <c r="H89" i="2"/>
  <c r="H59" i="2"/>
  <c r="H101" i="2"/>
  <c r="H68" i="2"/>
  <c r="G26" i="1" l="1"/>
  <c r="G27" i="1"/>
  <c r="G25" i="1"/>
  <c r="F27" i="18" l="1"/>
  <c r="H51" i="18" s="1"/>
  <c r="G27" i="18"/>
  <c r="H25" i="1"/>
  <c r="I25" i="1"/>
  <c r="F4" i="10"/>
  <c r="H27" i="18" l="1"/>
  <c r="I51" i="18"/>
  <c r="K51" i="18"/>
  <c r="N27" i="18"/>
  <c r="N30" i="18"/>
  <c r="N28" i="18"/>
  <c r="N25" i="18"/>
  <c r="N31" i="18"/>
  <c r="N26" i="18"/>
  <c r="H25" i="18"/>
  <c r="N29" i="18"/>
  <c r="H29" i="18"/>
  <c r="H32" i="18"/>
  <c r="N32" i="18"/>
  <c r="J25" i="1"/>
  <c r="F5" i="10"/>
  <c r="J25" i="18" l="1"/>
  <c r="M25" i="18"/>
  <c r="O25" i="18"/>
  <c r="F6" i="10"/>
  <c r="F7" i="10" l="1"/>
  <c r="E6" i="10"/>
  <c r="T5" i="10"/>
  <c r="F8" i="10" l="1"/>
  <c r="E7" i="10"/>
  <c r="G4" i="10"/>
  <c r="M3" i="10"/>
  <c r="F9" i="10" l="1"/>
  <c r="E8" i="10"/>
  <c r="G5" i="10"/>
  <c r="G6" i="10"/>
  <c r="G7" i="10"/>
  <c r="G8" i="10"/>
  <c r="G9" i="10"/>
  <c r="J3" i="10"/>
  <c r="K3" i="10" s="1"/>
  <c r="H3" i="10"/>
  <c r="N68" i="2"/>
  <c r="F10" i="10" l="1"/>
  <c r="E9" i="10"/>
  <c r="J4" i="10"/>
  <c r="H4" i="10"/>
  <c r="I4" i="10" s="1"/>
  <c r="F11" i="10" l="1"/>
  <c r="E10" i="10"/>
  <c r="G10" i="10"/>
  <c r="M4" i="10"/>
  <c r="K4" i="10"/>
  <c r="J5" i="10"/>
  <c r="F12" i="10" l="1"/>
  <c r="E11" i="10"/>
  <c r="G11" i="10"/>
  <c r="L4" i="10"/>
  <c r="K5" i="10"/>
  <c r="H5" i="10"/>
  <c r="V16" i="10"/>
  <c r="J6" i="10"/>
  <c r="K6" i="10" s="1"/>
  <c r="I5" i="10" l="1"/>
  <c r="F13" i="10"/>
  <c r="E12" i="10"/>
  <c r="G12" i="10"/>
  <c r="L5" i="10"/>
  <c r="H6" i="10"/>
  <c r="I6" i="10" l="1"/>
  <c r="M5" i="10"/>
  <c r="F14" i="10"/>
  <c r="E13" i="10"/>
  <c r="G13" i="10"/>
  <c r="H7" i="10"/>
  <c r="M6" i="10"/>
  <c r="I7" i="10" l="1"/>
  <c r="F15" i="10"/>
  <c r="E14" i="10"/>
  <c r="G14" i="10"/>
  <c r="H8" i="10"/>
  <c r="L6" i="10"/>
  <c r="J7" i="10"/>
  <c r="K7" i="10" s="1"/>
  <c r="F16" i="10" l="1"/>
  <c r="E15" i="10"/>
  <c r="G15" i="10"/>
  <c r="M7" i="10"/>
  <c r="I8" i="10"/>
  <c r="J8" i="10"/>
  <c r="K8" i="10" s="1"/>
  <c r="H9" i="10"/>
  <c r="L7" i="10"/>
  <c r="F17" i="10" l="1"/>
  <c r="E16" i="10"/>
  <c r="G16" i="10"/>
  <c r="M8" i="10"/>
  <c r="H10" i="10"/>
  <c r="L8" i="10"/>
  <c r="I9" i="10"/>
  <c r="J9" i="10"/>
  <c r="K9" i="10" s="1"/>
  <c r="M9" i="10" l="1"/>
  <c r="F18" i="10"/>
  <c r="E17" i="10"/>
  <c r="G17" i="10"/>
  <c r="J10" i="10"/>
  <c r="K10" i="10" s="1"/>
  <c r="H11" i="10"/>
  <c r="L9" i="10"/>
  <c r="I10" i="10"/>
  <c r="M10" i="10" l="1"/>
  <c r="F19" i="10"/>
  <c r="E18" i="10"/>
  <c r="G18" i="10"/>
  <c r="H12" i="10"/>
  <c r="L10" i="10"/>
  <c r="J11" i="10"/>
  <c r="K11" i="10" s="1"/>
  <c r="I11" i="10"/>
  <c r="M11" i="10" s="1"/>
  <c r="F20" i="10" l="1"/>
  <c r="E19" i="10"/>
  <c r="G19" i="10"/>
  <c r="H13" i="10"/>
  <c r="L11" i="10"/>
  <c r="I12" i="10"/>
  <c r="M12" i="10" s="1"/>
  <c r="J12" i="10"/>
  <c r="F21" i="10" l="1"/>
  <c r="E20" i="10"/>
  <c r="G20" i="10"/>
  <c r="L12" i="10"/>
  <c r="J13" i="10"/>
  <c r="K13" i="10" s="1"/>
  <c r="K12" i="10"/>
  <c r="H14" i="10"/>
  <c r="I13" i="10"/>
  <c r="M13" i="10" s="1"/>
  <c r="F22" i="10" l="1"/>
  <c r="E21" i="10"/>
  <c r="G21" i="10"/>
  <c r="H15" i="10"/>
  <c r="I14" i="10"/>
  <c r="M14" i="10" s="1"/>
  <c r="J14" i="10"/>
  <c r="L13" i="10"/>
  <c r="F23" i="10" l="1"/>
  <c r="E22" i="10"/>
  <c r="G22" i="10"/>
  <c r="J15" i="10"/>
  <c r="K15" i="10" s="1"/>
  <c r="K14" i="10"/>
  <c r="H16" i="10"/>
  <c r="I15" i="10"/>
  <c r="M15" i="10" s="1"/>
  <c r="L14" i="10"/>
  <c r="F24" i="10" l="1"/>
  <c r="E23" i="10"/>
  <c r="G23" i="10"/>
  <c r="H17" i="10"/>
  <c r="L15" i="10"/>
  <c r="J16" i="10"/>
  <c r="K16" i="10" s="1"/>
  <c r="I16" i="10"/>
  <c r="M16" i="10" s="1"/>
  <c r="F25" i="10" l="1"/>
  <c r="E24" i="10"/>
  <c r="G24" i="10"/>
  <c r="H18" i="10"/>
  <c r="L16" i="10"/>
  <c r="J17" i="10"/>
  <c r="I17" i="10"/>
  <c r="M17" i="10" s="1"/>
  <c r="F26" i="10" l="1"/>
  <c r="E25" i="10"/>
  <c r="G25" i="10"/>
  <c r="J18" i="10"/>
  <c r="K18" i="10" s="1"/>
  <c r="K17" i="10"/>
  <c r="H19" i="10"/>
  <c r="L17" i="10"/>
  <c r="I18" i="10"/>
  <c r="M18" i="10" s="1"/>
  <c r="F27" i="10" l="1"/>
  <c r="E26" i="10"/>
  <c r="G26" i="10"/>
  <c r="H20" i="10"/>
  <c r="L18" i="10"/>
  <c r="I19" i="10"/>
  <c r="M19" i="10" s="1"/>
  <c r="J19" i="10"/>
  <c r="K19" i="10" s="1"/>
  <c r="F28" i="10" l="1"/>
  <c r="E27" i="10"/>
  <c r="G27" i="10"/>
  <c r="J20" i="10"/>
  <c r="K20" i="10" s="1"/>
  <c r="H21" i="10"/>
  <c r="L19" i="10"/>
  <c r="I20" i="10"/>
  <c r="M20" i="10" s="1"/>
  <c r="F29" i="10" l="1"/>
  <c r="E28" i="10"/>
  <c r="G28" i="10"/>
  <c r="J21" i="10"/>
  <c r="K21" i="10" s="1"/>
  <c r="H22" i="10"/>
  <c r="I21" i="10"/>
  <c r="M21" i="10" s="1"/>
  <c r="L20" i="10"/>
  <c r="F30" i="10" l="1"/>
  <c r="E29" i="10"/>
  <c r="G29" i="10"/>
  <c r="J22" i="10"/>
  <c r="K22" i="10" s="1"/>
  <c r="H23" i="10"/>
  <c r="L21" i="10"/>
  <c r="I22" i="10"/>
  <c r="M22" i="10" s="1"/>
  <c r="F31" i="10" l="1"/>
  <c r="E30" i="10"/>
  <c r="G30" i="10"/>
  <c r="L22" i="10"/>
  <c r="I23" i="10"/>
  <c r="M23" i="10" s="1"/>
  <c r="H24" i="10"/>
  <c r="J23" i="10"/>
  <c r="K23" i="10" s="1"/>
  <c r="F32" i="10" l="1"/>
  <c r="E31" i="10"/>
  <c r="G31" i="10"/>
  <c r="L23" i="10"/>
  <c r="I24" i="10"/>
  <c r="M24" i="10" s="1"/>
  <c r="J24" i="10"/>
  <c r="K24" i="10" s="1"/>
  <c r="H25" i="10"/>
  <c r="F33" i="10" l="1"/>
  <c r="E32" i="10"/>
  <c r="G32" i="10"/>
  <c r="L24" i="10"/>
  <c r="I25" i="10"/>
  <c r="M25" i="10" s="1"/>
  <c r="J25" i="10"/>
  <c r="K25" i="10" s="1"/>
  <c r="H26" i="10"/>
  <c r="F34" i="10" l="1"/>
  <c r="E33" i="10"/>
  <c r="G33" i="10"/>
  <c r="L25" i="10"/>
  <c r="I26" i="10"/>
  <c r="M26" i="10" s="1"/>
  <c r="J26" i="10"/>
  <c r="K26" i="10" s="1"/>
  <c r="H27" i="10"/>
  <c r="F35" i="10" l="1"/>
  <c r="E34" i="10"/>
  <c r="G34" i="10"/>
  <c r="L26" i="10"/>
  <c r="H28" i="10"/>
  <c r="I27" i="10"/>
  <c r="M27" i="10" s="1"/>
  <c r="J27" i="10"/>
  <c r="K27" i="10" s="1"/>
  <c r="F36" i="10" l="1"/>
  <c r="E35" i="10"/>
  <c r="G35" i="10"/>
  <c r="J28" i="10"/>
  <c r="K28" i="10" s="1"/>
  <c r="H29" i="10"/>
  <c r="L27" i="10"/>
  <c r="I28" i="10"/>
  <c r="M28" i="10" s="1"/>
  <c r="F37" i="10" l="1"/>
  <c r="E36" i="10"/>
  <c r="G36" i="10"/>
  <c r="H30" i="10"/>
  <c r="L28" i="10"/>
  <c r="I29" i="10"/>
  <c r="M29" i="10" s="1"/>
  <c r="J29" i="10"/>
  <c r="F38" i="10" l="1"/>
  <c r="E37" i="10"/>
  <c r="G37" i="10"/>
  <c r="J30" i="10"/>
  <c r="K30" i="10" s="1"/>
  <c r="K29" i="10"/>
  <c r="L29" i="10"/>
  <c r="I30" i="10"/>
  <c r="M30" i="10" s="1"/>
  <c r="F39" i="10" l="1"/>
  <c r="E38" i="10"/>
  <c r="G38" i="10"/>
  <c r="J31" i="10"/>
  <c r="K31" i="10" s="1"/>
  <c r="H31" i="10"/>
  <c r="I31" i="10" s="1"/>
  <c r="M31" i="10" s="1"/>
  <c r="L30" i="10"/>
  <c r="F40" i="10" l="1"/>
  <c r="E39" i="10"/>
  <c r="G39" i="10"/>
  <c r="J32" i="10"/>
  <c r="K32" i="10" s="1"/>
  <c r="H32" i="10"/>
  <c r="I32" i="10" s="1"/>
  <c r="M32" i="10" s="1"/>
  <c r="H33" i="10"/>
  <c r="L31" i="10"/>
  <c r="F41" i="10" l="1"/>
  <c r="E40" i="10"/>
  <c r="G40" i="10"/>
  <c r="J33" i="10"/>
  <c r="K33" i="10" s="1"/>
  <c r="H34" i="10"/>
  <c r="L32" i="10"/>
  <c r="I33" i="10"/>
  <c r="M33" i="10" s="1"/>
  <c r="F42" i="10" l="1"/>
  <c r="E41" i="10"/>
  <c r="G41" i="10"/>
  <c r="H35" i="10"/>
  <c r="L33" i="10"/>
  <c r="J34" i="10"/>
  <c r="K34" i="10" s="1"/>
  <c r="I34" i="10"/>
  <c r="M34" i="10" s="1"/>
  <c r="F43" i="10" l="1"/>
  <c r="E42" i="10"/>
  <c r="G42" i="10"/>
  <c r="H36" i="10"/>
  <c r="J35" i="10"/>
  <c r="K35" i="10" s="1"/>
  <c r="L34" i="10"/>
  <c r="I35" i="10"/>
  <c r="M35" i="10" s="1"/>
  <c r="F44" i="10" l="1"/>
  <c r="E43" i="10"/>
  <c r="G43" i="10"/>
  <c r="J36" i="10"/>
  <c r="K36" i="10" s="1"/>
  <c r="H37" i="10"/>
  <c r="I36" i="10"/>
  <c r="M36" i="10" s="1"/>
  <c r="L35" i="10"/>
  <c r="F45" i="10" l="1"/>
  <c r="E44" i="10"/>
  <c r="G44" i="10"/>
  <c r="H38" i="10"/>
  <c r="L36" i="10"/>
  <c r="J37" i="10"/>
  <c r="K37" i="10" s="1"/>
  <c r="I37" i="10"/>
  <c r="M37" i="10" s="1"/>
  <c r="F46" i="10" l="1"/>
  <c r="E45" i="10"/>
  <c r="G45" i="10"/>
  <c r="H39" i="10"/>
  <c r="I38" i="10"/>
  <c r="M38" i="10" s="1"/>
  <c r="L37" i="10"/>
  <c r="J38" i="10"/>
  <c r="K38" i="10" s="1"/>
  <c r="F47" i="10" l="1"/>
  <c r="E46" i="10"/>
  <c r="G46" i="10"/>
  <c r="H40" i="10"/>
  <c r="L38" i="10"/>
  <c r="J39" i="10"/>
  <c r="I39" i="10"/>
  <c r="F48" i="10" l="1"/>
  <c r="E47" i="10"/>
  <c r="G47" i="10"/>
  <c r="J40" i="10"/>
  <c r="K40" i="10" s="1"/>
  <c r="K39" i="10"/>
  <c r="I40" i="10"/>
  <c r="H41" i="10"/>
  <c r="M39" i="10"/>
  <c r="M40" i="10" s="1"/>
  <c r="L39" i="10"/>
  <c r="L40" i="10" s="1"/>
  <c r="F49" i="10" l="1"/>
  <c r="E48" i="10"/>
  <c r="G48" i="10"/>
  <c r="H42" i="10"/>
  <c r="J41" i="10"/>
  <c r="K41" i="10" s="1"/>
  <c r="I41" i="10"/>
  <c r="M41" i="10" s="1"/>
  <c r="F50" i="10" l="1"/>
  <c r="E49" i="10"/>
  <c r="G49" i="10"/>
  <c r="H43" i="10"/>
  <c r="L41" i="10"/>
  <c r="J42" i="10"/>
  <c r="K42" i="10" s="1"/>
  <c r="I42" i="10"/>
  <c r="M42" i="10" s="1"/>
  <c r="F51" i="10" l="1"/>
  <c r="E50" i="10"/>
  <c r="G50" i="10"/>
  <c r="H44" i="10"/>
  <c r="L42" i="10"/>
  <c r="J43" i="10"/>
  <c r="K43" i="10" s="1"/>
  <c r="I43" i="10"/>
  <c r="M43" i="10" s="1"/>
  <c r="F52" i="10" l="1"/>
  <c r="E51" i="10"/>
  <c r="G51" i="10"/>
  <c r="J44" i="10"/>
  <c r="K44" i="10" s="1"/>
  <c r="H45" i="10"/>
  <c r="I44" i="10"/>
  <c r="M44" i="10" s="1"/>
  <c r="L43" i="10"/>
  <c r="F53" i="10" l="1"/>
  <c r="E52" i="10"/>
  <c r="G52" i="10"/>
  <c r="H46" i="10"/>
  <c r="L44" i="10"/>
  <c r="J45" i="10"/>
  <c r="K45" i="10" s="1"/>
  <c r="I45" i="10"/>
  <c r="M45" i="10" s="1"/>
  <c r="F54" i="10" l="1"/>
  <c r="E53" i="10"/>
  <c r="G53" i="10"/>
  <c r="H47" i="10"/>
  <c r="I46" i="10"/>
  <c r="M46" i="10" s="1"/>
  <c r="L45" i="10"/>
  <c r="J46" i="10"/>
  <c r="F55" i="10" l="1"/>
  <c r="E54" i="10"/>
  <c r="G54" i="10"/>
  <c r="J47" i="10"/>
  <c r="K47" i="10" s="1"/>
  <c r="K46" i="10"/>
  <c r="H48" i="10"/>
  <c r="L46" i="10"/>
  <c r="I47" i="10"/>
  <c r="M47" i="10" s="1"/>
  <c r="F56" i="10" l="1"/>
  <c r="E55" i="10"/>
  <c r="G55" i="10"/>
  <c r="H49" i="10"/>
  <c r="J48" i="10"/>
  <c r="K48" i="10" s="1"/>
  <c r="L47" i="10"/>
  <c r="I48" i="10"/>
  <c r="M48" i="10" s="1"/>
  <c r="F57" i="10" l="1"/>
  <c r="E56" i="10"/>
  <c r="G56" i="10"/>
  <c r="H50" i="10"/>
  <c r="J49" i="10"/>
  <c r="K49" i="10" s="1"/>
  <c r="L48" i="10"/>
  <c r="I49" i="10"/>
  <c r="M49" i="10" s="1"/>
  <c r="F58" i="10" l="1"/>
  <c r="E57" i="10"/>
  <c r="G57" i="10"/>
  <c r="H51" i="10"/>
  <c r="L49" i="10"/>
  <c r="J50" i="10"/>
  <c r="K50" i="10" s="1"/>
  <c r="I50" i="10"/>
  <c r="F59" i="10" l="1"/>
  <c r="E58" i="10"/>
  <c r="G58" i="10"/>
  <c r="H52" i="10"/>
  <c r="L50" i="10"/>
  <c r="M50" i="10"/>
  <c r="J51" i="10"/>
  <c r="K51" i="10" s="1"/>
  <c r="I51" i="10"/>
  <c r="F60" i="10" l="1"/>
  <c r="E59" i="10"/>
  <c r="G59" i="10"/>
  <c r="L51" i="10"/>
  <c r="H53" i="10"/>
  <c r="M51" i="10"/>
  <c r="J52" i="10"/>
  <c r="K52" i="10" s="1"/>
  <c r="I52" i="10"/>
  <c r="F61" i="10" l="1"/>
  <c r="E60" i="10"/>
  <c r="G60" i="10"/>
  <c r="L52" i="10"/>
  <c r="H54" i="10"/>
  <c r="M52" i="10"/>
  <c r="J53" i="10"/>
  <c r="K53" i="10" s="1"/>
  <c r="I53" i="10"/>
  <c r="F62" i="10" l="1"/>
  <c r="E61" i="10"/>
  <c r="G61" i="10"/>
  <c r="L53" i="10"/>
  <c r="H55" i="10"/>
  <c r="M53" i="10"/>
  <c r="J54" i="10"/>
  <c r="K54" i="10" s="1"/>
  <c r="I54" i="10"/>
  <c r="F63" i="10" l="1"/>
  <c r="E62" i="10"/>
  <c r="G62" i="10"/>
  <c r="L54" i="10"/>
  <c r="H56" i="10"/>
  <c r="M54" i="10"/>
  <c r="I55" i="10"/>
  <c r="J55" i="10"/>
  <c r="K55" i="10" s="1"/>
  <c r="F64" i="10" l="1"/>
  <c r="E63" i="10"/>
  <c r="G63" i="10"/>
  <c r="L55" i="10"/>
  <c r="H57" i="10"/>
  <c r="M55" i="10"/>
  <c r="J56" i="10"/>
  <c r="K56" i="10" s="1"/>
  <c r="I56" i="10"/>
  <c r="F65" i="10" l="1"/>
  <c r="E64" i="10"/>
  <c r="G64" i="10"/>
  <c r="L56" i="10"/>
  <c r="H58" i="10"/>
  <c r="M56" i="10"/>
  <c r="I57" i="10"/>
  <c r="J57" i="10"/>
  <c r="K57" i="10" s="1"/>
  <c r="F66" i="10" l="1"/>
  <c r="E65" i="10"/>
  <c r="G65" i="10"/>
  <c r="M57" i="10"/>
  <c r="L57" i="10"/>
  <c r="H59" i="10"/>
  <c r="J58" i="10"/>
  <c r="K58" i="10" s="1"/>
  <c r="I58" i="10"/>
  <c r="F67" i="10" l="1"/>
  <c r="E66" i="10"/>
  <c r="G66" i="10"/>
  <c r="L58" i="10"/>
  <c r="H60" i="10"/>
  <c r="M58" i="10"/>
  <c r="J59" i="10"/>
  <c r="K59" i="10" s="1"/>
  <c r="I59" i="10"/>
  <c r="F68" i="10" l="1"/>
  <c r="E67" i="10"/>
  <c r="G67" i="10"/>
  <c r="L59" i="10"/>
  <c r="H61" i="10"/>
  <c r="M59" i="10"/>
  <c r="J60" i="10"/>
  <c r="K60" i="10" s="1"/>
  <c r="I60" i="10"/>
  <c r="F69" i="10" l="1"/>
  <c r="E68" i="10"/>
  <c r="G68" i="10"/>
  <c r="L60" i="10"/>
  <c r="H62" i="10"/>
  <c r="M60" i="10"/>
  <c r="I61" i="10"/>
  <c r="J61" i="10"/>
  <c r="K61" i="10" s="1"/>
  <c r="F70" i="10" l="1"/>
  <c r="E69" i="10"/>
  <c r="G69" i="10"/>
  <c r="I62" i="10"/>
  <c r="L61" i="10"/>
  <c r="H63" i="10"/>
  <c r="M61" i="10"/>
  <c r="J62" i="10"/>
  <c r="K62" i="10" s="1"/>
  <c r="F71" i="10" l="1"/>
  <c r="E70" i="10"/>
  <c r="G70" i="10"/>
  <c r="M62" i="10"/>
  <c r="L62" i="10"/>
  <c r="H64" i="10"/>
  <c r="I63" i="10"/>
  <c r="J63" i="10"/>
  <c r="K63" i="10" s="1"/>
  <c r="F72" i="10" l="1"/>
  <c r="E71" i="10"/>
  <c r="G71" i="10"/>
  <c r="M63" i="10"/>
  <c r="H65" i="10"/>
  <c r="J64" i="10"/>
  <c r="K64" i="10" s="1"/>
  <c r="L63" i="10"/>
  <c r="I64" i="10"/>
  <c r="F73" i="10" l="1"/>
  <c r="E72" i="10"/>
  <c r="G72" i="10"/>
  <c r="M64" i="10"/>
  <c r="H66" i="10"/>
  <c r="L64" i="10"/>
  <c r="J65" i="10"/>
  <c r="K65" i="10" s="1"/>
  <c r="I65" i="10"/>
  <c r="F74" i="10" l="1"/>
  <c r="E73" i="10"/>
  <c r="G73" i="10"/>
  <c r="M65" i="10"/>
  <c r="J66" i="10"/>
  <c r="K66" i="10" s="1"/>
  <c r="L65" i="10"/>
  <c r="I66" i="10"/>
  <c r="F75" i="10" l="1"/>
  <c r="E74" i="10"/>
  <c r="G74" i="10"/>
  <c r="M66" i="10"/>
  <c r="J67" i="10"/>
  <c r="K67" i="10" s="1"/>
  <c r="L66" i="10"/>
  <c r="H67" i="10"/>
  <c r="I67" i="10" s="1"/>
  <c r="H68" i="10"/>
  <c r="F76" i="10" l="1"/>
  <c r="E75" i="10"/>
  <c r="G75" i="10"/>
  <c r="M67" i="10"/>
  <c r="L67" i="10"/>
  <c r="I68" i="10"/>
  <c r="J68" i="10"/>
  <c r="K68" i="10" s="1"/>
  <c r="F77" i="10" l="1"/>
  <c r="E76" i="10"/>
  <c r="G76" i="10"/>
  <c r="M68" i="10"/>
  <c r="H70" i="10"/>
  <c r="L68" i="10"/>
  <c r="J69" i="10"/>
  <c r="K69" i="10" s="1"/>
  <c r="H69" i="10"/>
  <c r="I69" i="10" s="1"/>
  <c r="F78" i="10" l="1"/>
  <c r="E77" i="10"/>
  <c r="G77" i="10"/>
  <c r="M69" i="10"/>
  <c r="J70" i="10"/>
  <c r="L69" i="10"/>
  <c r="I70" i="10"/>
  <c r="F79" i="10" l="1"/>
  <c r="E78" i="10"/>
  <c r="G78" i="10"/>
  <c r="M70" i="10"/>
  <c r="J71" i="10"/>
  <c r="K71" i="10" s="1"/>
  <c r="K70" i="10"/>
  <c r="H72" i="10"/>
  <c r="L70" i="10"/>
  <c r="H71" i="10"/>
  <c r="I71" i="10" s="1"/>
  <c r="F80" i="10" l="1"/>
  <c r="E79" i="10"/>
  <c r="G79" i="10"/>
  <c r="M71" i="10"/>
  <c r="H73" i="10"/>
  <c r="J72" i="10"/>
  <c r="K72" i="10" s="1"/>
  <c r="I72" i="10"/>
  <c r="L71" i="10"/>
  <c r="F81" i="10" l="1"/>
  <c r="E80" i="10"/>
  <c r="G80" i="10"/>
  <c r="M72" i="10"/>
  <c r="H74" i="10"/>
  <c r="L72" i="10"/>
  <c r="I73" i="10"/>
  <c r="J73" i="10"/>
  <c r="K73" i="10" s="1"/>
  <c r="F82" i="10" l="1"/>
  <c r="E81" i="10"/>
  <c r="G81" i="10"/>
  <c r="M73" i="10"/>
  <c r="H75" i="10"/>
  <c r="J74" i="10"/>
  <c r="K74" i="10" s="1"/>
  <c r="L73" i="10"/>
  <c r="I74" i="10"/>
  <c r="F83" i="10" l="1"/>
  <c r="E82" i="10"/>
  <c r="G82" i="10"/>
  <c r="M74" i="10"/>
  <c r="H76" i="10"/>
  <c r="L74" i="10"/>
  <c r="I75" i="10"/>
  <c r="J75" i="10"/>
  <c r="K75" i="10" s="1"/>
  <c r="F84" i="10" l="1"/>
  <c r="E83" i="10"/>
  <c r="G83" i="10"/>
  <c r="M75" i="10"/>
  <c r="H77" i="10"/>
  <c r="J76" i="10"/>
  <c r="K76" i="10" s="1"/>
  <c r="L75" i="10"/>
  <c r="I76" i="10"/>
  <c r="F85" i="10" l="1"/>
  <c r="E84" i="10"/>
  <c r="G84" i="10"/>
  <c r="M76" i="10"/>
  <c r="H78" i="10"/>
  <c r="L76" i="10"/>
  <c r="I77" i="10"/>
  <c r="J77" i="10"/>
  <c r="K77" i="10" s="1"/>
  <c r="F86" i="10" l="1"/>
  <c r="E85" i="10"/>
  <c r="G85" i="10"/>
  <c r="M77" i="10"/>
  <c r="H79" i="10"/>
  <c r="L77" i="10"/>
  <c r="I78" i="10"/>
  <c r="J78" i="10"/>
  <c r="K78" i="10" s="1"/>
  <c r="F87" i="10" l="1"/>
  <c r="E86" i="10"/>
  <c r="G86" i="10"/>
  <c r="M78" i="10"/>
  <c r="H80" i="10"/>
  <c r="L78" i="10"/>
  <c r="J79" i="10"/>
  <c r="K79" i="10" s="1"/>
  <c r="I79" i="10"/>
  <c r="F88" i="10" l="1"/>
  <c r="E87" i="10"/>
  <c r="G87" i="10"/>
  <c r="H81" i="10"/>
  <c r="L79" i="10"/>
  <c r="M79" i="10"/>
  <c r="J80" i="10"/>
  <c r="K80" i="10" s="1"/>
  <c r="I80" i="10"/>
  <c r="F89" i="10" l="1"/>
  <c r="E88" i="10"/>
  <c r="G88" i="10"/>
  <c r="L80" i="10"/>
  <c r="H82" i="10"/>
  <c r="M80" i="10"/>
  <c r="J81" i="10"/>
  <c r="K81" i="10" s="1"/>
  <c r="I81" i="10"/>
  <c r="F90" i="10" l="1"/>
  <c r="E89" i="10"/>
  <c r="G89" i="10"/>
  <c r="L81" i="10"/>
  <c r="M81" i="10"/>
  <c r="I82" i="10"/>
  <c r="J82" i="10"/>
  <c r="K82" i="10" s="1"/>
  <c r="F91" i="10" l="1"/>
  <c r="E90" i="10"/>
  <c r="G90" i="10"/>
  <c r="L82" i="10"/>
  <c r="H84" i="10"/>
  <c r="M82" i="10"/>
  <c r="J83" i="10"/>
  <c r="K83" i="10" s="1"/>
  <c r="H83" i="10"/>
  <c r="I83" i="10" s="1"/>
  <c r="F92" i="10" l="1"/>
  <c r="E91" i="10"/>
  <c r="G91" i="10"/>
  <c r="H85" i="10"/>
  <c r="M83" i="10"/>
  <c r="J84" i="10"/>
  <c r="K84" i="10" s="1"/>
  <c r="I84" i="10"/>
  <c r="L83" i="10"/>
  <c r="L84" i="10" s="1"/>
  <c r="F93" i="10" l="1"/>
  <c r="E92" i="10"/>
  <c r="G92" i="10"/>
  <c r="M84" i="10"/>
  <c r="J85" i="10"/>
  <c r="K85" i="10" s="1"/>
  <c r="I85" i="10"/>
  <c r="L85" i="10" s="1"/>
  <c r="F94" i="10" l="1"/>
  <c r="E93" i="10"/>
  <c r="G93" i="10"/>
  <c r="J86" i="10"/>
  <c r="K86" i="10" s="1"/>
  <c r="H87" i="10"/>
  <c r="M85" i="10"/>
  <c r="H86" i="10"/>
  <c r="I86" i="10" s="1"/>
  <c r="L86" i="10" s="1"/>
  <c r="F95" i="10" l="1"/>
  <c r="E94" i="10"/>
  <c r="G94" i="10"/>
  <c r="H88" i="10"/>
  <c r="M86" i="10"/>
  <c r="J87" i="10"/>
  <c r="K87" i="10" s="1"/>
  <c r="I87" i="10"/>
  <c r="L87" i="10" s="1"/>
  <c r="F96" i="10" l="1"/>
  <c r="E95" i="10"/>
  <c r="G95" i="10"/>
  <c r="H89" i="10"/>
  <c r="M87" i="10"/>
  <c r="J88" i="10"/>
  <c r="K88" i="10" s="1"/>
  <c r="I88" i="10"/>
  <c r="L88" i="10" s="1"/>
  <c r="F97" i="10" l="1"/>
  <c r="E96" i="10"/>
  <c r="G96" i="10"/>
  <c r="H90" i="10"/>
  <c r="M88" i="10"/>
  <c r="J89" i="10"/>
  <c r="K89" i="10" s="1"/>
  <c r="I89" i="10"/>
  <c r="L89" i="10" s="1"/>
  <c r="F98" i="10" l="1"/>
  <c r="E97" i="10"/>
  <c r="G97" i="10"/>
  <c r="M89" i="10"/>
  <c r="J90" i="10"/>
  <c r="K90" i="10" s="1"/>
  <c r="I90" i="10"/>
  <c r="L90" i="10" s="1"/>
  <c r="F99" i="10" l="1"/>
  <c r="E98" i="10"/>
  <c r="G98" i="10"/>
  <c r="M90" i="10"/>
  <c r="J91" i="10"/>
  <c r="K91" i="10" s="1"/>
  <c r="H91" i="10"/>
  <c r="I91" i="10" s="1"/>
  <c r="F100" i="10" l="1"/>
  <c r="E99" i="10"/>
  <c r="G99" i="10"/>
  <c r="J92" i="10"/>
  <c r="K92" i="10" s="1"/>
  <c r="H93" i="10"/>
  <c r="M91" i="10"/>
  <c r="H92" i="10"/>
  <c r="I92" i="10" s="1"/>
  <c r="L91" i="10"/>
  <c r="F101" i="10" l="1"/>
  <c r="E100" i="10"/>
  <c r="G100" i="10"/>
  <c r="H94" i="10"/>
  <c r="M92" i="10"/>
  <c r="J93" i="10"/>
  <c r="K93" i="10" s="1"/>
  <c r="L92" i="10"/>
  <c r="I93" i="10"/>
  <c r="F102" i="10" l="1"/>
  <c r="E101" i="10"/>
  <c r="G101" i="10"/>
  <c r="H95" i="10"/>
  <c r="M93" i="10"/>
  <c r="I94" i="10"/>
  <c r="L93" i="10"/>
  <c r="J94" i="10"/>
  <c r="K94" i="10" s="1"/>
  <c r="F103" i="10" l="1"/>
  <c r="E102" i="10"/>
  <c r="G102" i="10"/>
  <c r="L94" i="10"/>
  <c r="H96" i="10"/>
  <c r="M94" i="10"/>
  <c r="I95" i="10"/>
  <c r="J95" i="10"/>
  <c r="F104" i="10" l="1"/>
  <c r="E103" i="10"/>
  <c r="G103" i="10"/>
  <c r="M95" i="10"/>
  <c r="J96" i="10"/>
  <c r="K96" i="10" s="1"/>
  <c r="K95" i="10"/>
  <c r="L95" i="10"/>
  <c r="H97" i="10"/>
  <c r="I96" i="10"/>
  <c r="F105" i="10" l="1"/>
  <c r="E104" i="10"/>
  <c r="G104" i="10"/>
  <c r="M96" i="10"/>
  <c r="L96" i="10"/>
  <c r="I97" i="10"/>
  <c r="H98" i="10"/>
  <c r="J97" i="10"/>
  <c r="K97" i="10" s="1"/>
  <c r="F106" i="10" l="1"/>
  <c r="E105" i="10"/>
  <c r="G105" i="10"/>
  <c r="M97" i="10"/>
  <c r="I98" i="10"/>
  <c r="L97" i="10"/>
  <c r="H99" i="10"/>
  <c r="J98" i="10"/>
  <c r="K98" i="10" s="1"/>
  <c r="F107" i="10" l="1"/>
  <c r="E106" i="10"/>
  <c r="G106" i="10"/>
  <c r="M98" i="10"/>
  <c r="L98" i="10"/>
  <c r="I99" i="10"/>
  <c r="H100" i="10"/>
  <c r="J99" i="10"/>
  <c r="K99" i="10" s="1"/>
  <c r="F108" i="10" l="1"/>
  <c r="E107" i="10"/>
  <c r="G107" i="10"/>
  <c r="M99" i="10"/>
  <c r="I100" i="10"/>
  <c r="L99" i="10"/>
  <c r="J100" i="10"/>
  <c r="K100" i="10" s="1"/>
  <c r="F109" i="10" l="1"/>
  <c r="E108" i="10"/>
  <c r="G108" i="10"/>
  <c r="M100" i="10"/>
  <c r="L100" i="10"/>
  <c r="H102" i="10"/>
  <c r="J101" i="10"/>
  <c r="K101" i="10" s="1"/>
  <c r="H101" i="10"/>
  <c r="I101" i="10" s="1"/>
  <c r="F110" i="10" l="1"/>
  <c r="E109" i="10"/>
  <c r="G109" i="10"/>
  <c r="L101" i="10"/>
  <c r="M101" i="10"/>
  <c r="J102" i="10"/>
  <c r="K102" i="10" s="1"/>
  <c r="I102" i="10"/>
  <c r="F111" i="10" l="1"/>
  <c r="E110" i="10"/>
  <c r="G110" i="10"/>
  <c r="L102" i="10"/>
  <c r="J103" i="10"/>
  <c r="K103" i="10" s="1"/>
  <c r="H103" i="10"/>
  <c r="I103" i="10" s="1"/>
  <c r="H104" i="10"/>
  <c r="M102" i="10"/>
  <c r="F112" i="10" l="1"/>
  <c r="E111" i="10"/>
  <c r="G111" i="10"/>
  <c r="L103" i="10"/>
  <c r="I104" i="10"/>
  <c r="H105" i="10"/>
  <c r="M103" i="10"/>
  <c r="J104" i="10"/>
  <c r="K104" i="10" s="1"/>
  <c r="F113" i="10" l="1"/>
  <c r="E112" i="10"/>
  <c r="G112" i="10"/>
  <c r="L104" i="10"/>
  <c r="M104" i="10"/>
  <c r="I105" i="10"/>
  <c r="H106" i="10"/>
  <c r="J105" i="10"/>
  <c r="K105" i="10" s="1"/>
  <c r="F114" i="10" l="1"/>
  <c r="E113" i="10"/>
  <c r="G113" i="10"/>
  <c r="L105" i="10"/>
  <c r="I106" i="10"/>
  <c r="M105" i="10"/>
  <c r="H107" i="10"/>
  <c r="J106" i="10"/>
  <c r="F115" i="10" l="1"/>
  <c r="E114" i="10"/>
  <c r="G114" i="10"/>
  <c r="L106" i="10"/>
  <c r="M106" i="10"/>
  <c r="I107" i="10"/>
  <c r="J107" i="10"/>
  <c r="K107" i="10" s="1"/>
  <c r="K106" i="10"/>
  <c r="H108" i="10"/>
  <c r="F116" i="10" l="1"/>
  <c r="E115" i="10"/>
  <c r="G115" i="10"/>
  <c r="M107" i="10"/>
  <c r="I108" i="10"/>
  <c r="L107" i="10"/>
  <c r="L108" i="10" s="1"/>
  <c r="J108" i="10"/>
  <c r="F117" i="10" l="1"/>
  <c r="E116" i="10"/>
  <c r="G116" i="10"/>
  <c r="M108" i="10"/>
  <c r="J109" i="10"/>
  <c r="K109" i="10" s="1"/>
  <c r="K108" i="10"/>
  <c r="H110" i="10"/>
  <c r="H109" i="10"/>
  <c r="I109" i="10" s="1"/>
  <c r="F118" i="10" l="1"/>
  <c r="E117" i="10"/>
  <c r="G117" i="10"/>
  <c r="M109" i="10"/>
  <c r="H111" i="10"/>
  <c r="J110" i="10"/>
  <c r="K110" i="10" s="1"/>
  <c r="I110" i="10"/>
  <c r="L109" i="10"/>
  <c r="F119" i="10" l="1"/>
  <c r="E118" i="10"/>
  <c r="G118" i="10"/>
  <c r="M110" i="10"/>
  <c r="H112" i="10"/>
  <c r="J111" i="10"/>
  <c r="K111" i="10" s="1"/>
  <c r="I111" i="10"/>
  <c r="L110" i="10"/>
  <c r="F120" i="10" l="1"/>
  <c r="E119" i="10"/>
  <c r="G119" i="10"/>
  <c r="M111" i="10"/>
  <c r="J112" i="10"/>
  <c r="K112" i="10" s="1"/>
  <c r="H113" i="10"/>
  <c r="I112" i="10"/>
  <c r="L111" i="10"/>
  <c r="F121" i="10" l="1"/>
  <c r="E120" i="10"/>
  <c r="G120" i="10"/>
  <c r="M112" i="10"/>
  <c r="J113" i="10"/>
  <c r="K113" i="10" s="1"/>
  <c r="L112" i="10"/>
  <c r="I113" i="10"/>
  <c r="F122" i="10" l="1"/>
  <c r="E121" i="10"/>
  <c r="G121" i="10"/>
  <c r="M113" i="10"/>
  <c r="J114" i="10"/>
  <c r="K114" i="10" s="1"/>
  <c r="H115" i="10"/>
  <c r="H114" i="10"/>
  <c r="I114" i="10" s="1"/>
  <c r="L113" i="10"/>
  <c r="F123" i="10" l="1"/>
  <c r="E122" i="10"/>
  <c r="G122" i="10"/>
  <c r="M114" i="10"/>
  <c r="I115" i="10"/>
  <c r="J115" i="10"/>
  <c r="L114" i="10"/>
  <c r="F124" i="10" l="1"/>
  <c r="E123" i="10"/>
  <c r="G123" i="10"/>
  <c r="M115" i="10"/>
  <c r="J116" i="10"/>
  <c r="K116" i="10" s="1"/>
  <c r="K115" i="10"/>
  <c r="H117" i="10"/>
  <c r="L115" i="10"/>
  <c r="H116" i="10"/>
  <c r="I116" i="10" s="1"/>
  <c r="F125" i="10" l="1"/>
  <c r="E124" i="10"/>
  <c r="G124" i="10"/>
  <c r="L116" i="10"/>
  <c r="H118" i="10"/>
  <c r="M116" i="10"/>
  <c r="J117" i="10"/>
  <c r="K117" i="10" s="1"/>
  <c r="I117" i="10"/>
  <c r="F126" i="10" l="1"/>
  <c r="E125" i="10"/>
  <c r="G125" i="10"/>
  <c r="L117" i="10"/>
  <c r="H119" i="10"/>
  <c r="M117" i="10"/>
  <c r="I118" i="10"/>
  <c r="J118" i="10"/>
  <c r="K118" i="10" s="1"/>
  <c r="F127" i="10" l="1"/>
  <c r="E126" i="10"/>
  <c r="G126" i="10"/>
  <c r="L118" i="10"/>
  <c r="H120" i="10"/>
  <c r="M118" i="10"/>
  <c r="J119" i="10"/>
  <c r="K119" i="10" s="1"/>
  <c r="I119" i="10"/>
  <c r="F128" i="10" l="1"/>
  <c r="E127" i="10"/>
  <c r="G127" i="10"/>
  <c r="M119" i="10"/>
  <c r="H121" i="10"/>
  <c r="L119" i="10"/>
  <c r="I120" i="10"/>
  <c r="J120" i="10"/>
  <c r="K120" i="10" s="1"/>
  <c r="F129" i="10" l="1"/>
  <c r="E128" i="10"/>
  <c r="G128" i="10"/>
  <c r="M120" i="10"/>
  <c r="L120" i="10"/>
  <c r="I121" i="10"/>
  <c r="H122" i="10"/>
  <c r="J121" i="10"/>
  <c r="I122" i="10" l="1"/>
  <c r="F130" i="10"/>
  <c r="E129" i="10"/>
  <c r="G129" i="10"/>
  <c r="M121" i="10"/>
  <c r="M122" i="10" s="1"/>
  <c r="L121" i="10"/>
  <c r="L122" i="10" s="1"/>
  <c r="J122" i="10"/>
  <c r="K122" i="10" s="1"/>
  <c r="K121" i="10"/>
  <c r="H123" i="10"/>
  <c r="I123" i="10" s="1"/>
  <c r="F131" i="10" l="1"/>
  <c r="E130" i="10"/>
  <c r="G130" i="10"/>
  <c r="M123" i="10"/>
  <c r="J123" i="10"/>
  <c r="L123" i="10"/>
  <c r="F132" i="10" l="1"/>
  <c r="E131" i="10"/>
  <c r="G131" i="10"/>
  <c r="J124" i="10"/>
  <c r="K124" i="10" s="1"/>
  <c r="K123" i="10"/>
  <c r="H125" i="10"/>
  <c r="H124" i="10"/>
  <c r="I124" i="10" s="1"/>
  <c r="M124" i="10" s="1"/>
  <c r="F133" i="10" l="1"/>
  <c r="E132" i="10"/>
  <c r="G132" i="10"/>
  <c r="H126" i="10"/>
  <c r="L124" i="10"/>
  <c r="J125" i="10"/>
  <c r="K125" i="10" s="1"/>
  <c r="I125" i="10"/>
  <c r="M125" i="10" s="1"/>
  <c r="F134" i="10" l="1"/>
  <c r="E133" i="10"/>
  <c r="G133" i="10"/>
  <c r="L125" i="10"/>
  <c r="I126" i="10"/>
  <c r="M126" i="10" s="1"/>
  <c r="J126" i="10"/>
  <c r="K126" i="10" s="1"/>
  <c r="F135" i="10" l="1"/>
  <c r="E134" i="10"/>
  <c r="G134" i="10"/>
  <c r="L126" i="10"/>
  <c r="H128" i="10"/>
  <c r="J127" i="10"/>
  <c r="K127" i="10" s="1"/>
  <c r="H127" i="10"/>
  <c r="I127" i="10" s="1"/>
  <c r="M127" i="10" s="1"/>
  <c r="F136" i="10" l="1"/>
  <c r="E135" i="10"/>
  <c r="G135" i="10"/>
  <c r="H129" i="10"/>
  <c r="J128" i="10"/>
  <c r="K128" i="10" s="1"/>
  <c r="L127" i="10"/>
  <c r="I128" i="10"/>
  <c r="M128" i="10" s="1"/>
  <c r="F137" i="10" l="1"/>
  <c r="E136" i="10"/>
  <c r="G136" i="10"/>
  <c r="H130" i="10"/>
  <c r="J129" i="10"/>
  <c r="K129" i="10" s="1"/>
  <c r="I129" i="10"/>
  <c r="M129" i="10" s="1"/>
  <c r="L128" i="10"/>
  <c r="F138" i="10" l="1"/>
  <c r="E137" i="10"/>
  <c r="G137" i="10"/>
  <c r="H131" i="10"/>
  <c r="J130" i="10"/>
  <c r="K130" i="10" s="1"/>
  <c r="L129" i="10"/>
  <c r="I130" i="10"/>
  <c r="M130" i="10" s="1"/>
  <c r="F139" i="10" l="1"/>
  <c r="E138" i="10"/>
  <c r="G138" i="10"/>
  <c r="J131" i="10"/>
  <c r="K131" i="10" s="1"/>
  <c r="L130" i="10"/>
  <c r="I131" i="10"/>
  <c r="M131" i="10" s="1"/>
  <c r="F140" i="10" l="1"/>
  <c r="E139" i="10"/>
  <c r="G139" i="10"/>
  <c r="J132" i="10"/>
  <c r="K132" i="10" s="1"/>
  <c r="H132" i="10"/>
  <c r="I132" i="10" s="1"/>
  <c r="M132" i="10" s="1"/>
  <c r="L131" i="10"/>
  <c r="F141" i="10" l="1"/>
  <c r="E140" i="10"/>
  <c r="G140" i="10"/>
  <c r="H134" i="10"/>
  <c r="L132" i="10"/>
  <c r="J133" i="10"/>
  <c r="K133" i="10" s="1"/>
  <c r="H133" i="10"/>
  <c r="I133" i="10" s="1"/>
  <c r="F142" i="10" l="1"/>
  <c r="E141" i="10"/>
  <c r="G141" i="10"/>
  <c r="M133" i="10"/>
  <c r="H135" i="10"/>
  <c r="J134" i="10"/>
  <c r="K134" i="10" s="1"/>
  <c r="I134" i="10"/>
  <c r="L133" i="10"/>
  <c r="M134" i="10" l="1"/>
  <c r="F143" i="10"/>
  <c r="E142" i="10"/>
  <c r="G142" i="10"/>
  <c r="H136" i="10"/>
  <c r="J135" i="10"/>
  <c r="K135" i="10" s="1"/>
  <c r="L134" i="10"/>
  <c r="I135" i="10"/>
  <c r="M135" i="10" s="1"/>
  <c r="F144" i="10" l="1"/>
  <c r="E143" i="10"/>
  <c r="G143" i="10"/>
  <c r="H137" i="10"/>
  <c r="L135" i="10"/>
  <c r="I136" i="10"/>
  <c r="M136" i="10" s="1"/>
  <c r="J136" i="10"/>
  <c r="K136" i="10" s="1"/>
  <c r="F145" i="10" l="1"/>
  <c r="E144" i="10"/>
  <c r="G144" i="10"/>
  <c r="J137" i="10"/>
  <c r="K137" i="10" s="1"/>
  <c r="L136" i="10"/>
  <c r="I137" i="10"/>
  <c r="M137" i="10" s="1"/>
  <c r="F146" i="10" l="1"/>
  <c r="E145" i="10"/>
  <c r="G145" i="10"/>
  <c r="J138" i="10"/>
  <c r="K138" i="10" s="1"/>
  <c r="H138" i="10"/>
  <c r="L137" i="10"/>
  <c r="I138" i="10"/>
  <c r="M138" i="10" s="1"/>
  <c r="F147" i="10" l="1"/>
  <c r="E146" i="10"/>
  <c r="G146" i="10"/>
  <c r="J139" i="10"/>
  <c r="K139" i="10" s="1"/>
  <c r="H140" i="10"/>
  <c r="H139" i="10"/>
  <c r="I139" i="10" s="1"/>
  <c r="L138" i="10"/>
  <c r="F148" i="10" l="1"/>
  <c r="E147" i="10"/>
  <c r="G147" i="10"/>
  <c r="L139" i="10"/>
  <c r="M139" i="10"/>
  <c r="J140" i="10"/>
  <c r="I140" i="10"/>
  <c r="F149" i="10" l="1"/>
  <c r="E148" i="10"/>
  <c r="G148" i="10"/>
  <c r="L140" i="10"/>
  <c r="J141" i="10"/>
  <c r="K141" i="10" s="1"/>
  <c r="K140" i="10"/>
  <c r="H142" i="10"/>
  <c r="M140" i="10"/>
  <c r="H141" i="10"/>
  <c r="I141" i="10" s="1"/>
  <c r="L141" i="10" l="1"/>
  <c r="F150" i="10"/>
  <c r="E149" i="10"/>
  <c r="G149" i="10"/>
  <c r="M141" i="10"/>
  <c r="J142" i="10"/>
  <c r="K142" i="10" s="1"/>
  <c r="I142" i="10"/>
  <c r="L142" i="10" s="1"/>
  <c r="F151" i="10" l="1"/>
  <c r="E150" i="10"/>
  <c r="G150" i="10"/>
  <c r="J143" i="10"/>
  <c r="K143" i="10" s="1"/>
  <c r="H144" i="10"/>
  <c r="M142" i="10"/>
  <c r="H143" i="10"/>
  <c r="I143" i="10" s="1"/>
  <c r="L143" i="10" s="1"/>
  <c r="F152" i="10" l="1"/>
  <c r="E151" i="10"/>
  <c r="G151" i="10"/>
  <c r="H145" i="10"/>
  <c r="I144" i="10"/>
  <c r="L144" i="10" s="1"/>
  <c r="M143" i="10"/>
  <c r="J144" i="10"/>
  <c r="K144" i="10" s="1"/>
  <c r="F153" i="10" l="1"/>
  <c r="E152" i="10"/>
  <c r="G152" i="10"/>
  <c r="M144" i="10"/>
  <c r="I145" i="10"/>
  <c r="H146" i="10"/>
  <c r="J145" i="10"/>
  <c r="K145" i="10" s="1"/>
  <c r="M145" i="10" l="1"/>
  <c r="F154" i="10"/>
  <c r="E153" i="10"/>
  <c r="G153" i="10"/>
  <c r="L145" i="10"/>
  <c r="I146" i="10"/>
  <c r="M146" i="10" s="1"/>
  <c r="J146" i="10"/>
  <c r="F155" i="10" l="1"/>
  <c r="E154" i="10"/>
  <c r="G154" i="10"/>
  <c r="L146" i="10"/>
  <c r="J147" i="10"/>
  <c r="K147" i="10" s="1"/>
  <c r="K146" i="10"/>
  <c r="H148" i="10"/>
  <c r="H147" i="10"/>
  <c r="I147" i="10" s="1"/>
  <c r="M147" i="10" s="1"/>
  <c r="F156" i="10" l="1"/>
  <c r="E155" i="10"/>
  <c r="G155" i="10"/>
  <c r="L147" i="10"/>
  <c r="I148" i="10"/>
  <c r="H149" i="10"/>
  <c r="J148" i="10"/>
  <c r="K148" i="10" s="1"/>
  <c r="F157" i="10" l="1"/>
  <c r="E156" i="10"/>
  <c r="G156" i="10"/>
  <c r="L148" i="10"/>
  <c r="I149" i="10"/>
  <c r="M148" i="10"/>
  <c r="H150" i="10"/>
  <c r="J149" i="10"/>
  <c r="K149" i="10" s="1"/>
  <c r="F158" i="10" l="1"/>
  <c r="E157" i="10"/>
  <c r="G157" i="10"/>
  <c r="M149" i="10"/>
  <c r="J150" i="10"/>
  <c r="K150" i="10" s="1"/>
  <c r="L149" i="10"/>
  <c r="I150" i="10"/>
  <c r="H151" i="10"/>
  <c r="F159" i="10" l="1"/>
  <c r="E158" i="10"/>
  <c r="G158" i="10"/>
  <c r="I151" i="10"/>
  <c r="J151" i="10"/>
  <c r="K151" i="10" s="1"/>
  <c r="M150" i="10"/>
  <c r="L150" i="10"/>
  <c r="F160" i="10" l="1"/>
  <c r="E159" i="10"/>
  <c r="G159" i="10"/>
  <c r="M151" i="10"/>
  <c r="L151" i="10"/>
  <c r="J152" i="10"/>
  <c r="K152" i="10" s="1"/>
  <c r="H152" i="10"/>
  <c r="I152" i="10" s="1"/>
  <c r="F161" i="10" l="1"/>
  <c r="E160" i="10"/>
  <c r="G160" i="10"/>
  <c r="M152" i="10"/>
  <c r="J153" i="10"/>
  <c r="K153" i="10" s="1"/>
  <c r="L152" i="10"/>
  <c r="H154" i="10"/>
  <c r="H153" i="10"/>
  <c r="I153" i="10" s="1"/>
  <c r="F162" i="10" l="1"/>
  <c r="E161" i="10"/>
  <c r="G161" i="10"/>
  <c r="M153" i="10"/>
  <c r="L153" i="10"/>
  <c r="I154" i="10"/>
  <c r="H155" i="10"/>
  <c r="J154" i="10"/>
  <c r="F163" i="10" l="1"/>
  <c r="E162" i="10"/>
  <c r="G162" i="10"/>
  <c r="M154" i="10"/>
  <c r="I155" i="10"/>
  <c r="L154" i="10"/>
  <c r="J155" i="10"/>
  <c r="K155" i="10" s="1"/>
  <c r="K154" i="10"/>
  <c r="H156" i="10"/>
  <c r="F164" i="10" l="1"/>
  <c r="E163" i="10"/>
  <c r="G163" i="10"/>
  <c r="M155" i="10"/>
  <c r="L155" i="10"/>
  <c r="I156" i="10"/>
  <c r="J156" i="10"/>
  <c r="K156" i="10" s="1"/>
  <c r="H157" i="10"/>
  <c r="F165" i="10" l="1"/>
  <c r="E164" i="10"/>
  <c r="G164" i="10"/>
  <c r="M156" i="10"/>
  <c r="L156" i="10"/>
  <c r="I157" i="10"/>
  <c r="H158" i="10"/>
  <c r="J157" i="10"/>
  <c r="K157" i="10" s="1"/>
  <c r="F166" i="10" l="1"/>
  <c r="E165" i="10"/>
  <c r="G165" i="10"/>
  <c r="M157" i="10"/>
  <c r="L157" i="10"/>
  <c r="I158" i="10"/>
  <c r="J158" i="10"/>
  <c r="K158" i="10" s="1"/>
  <c r="H159" i="10"/>
  <c r="F167" i="10" l="1"/>
  <c r="E166" i="10"/>
  <c r="G166" i="10"/>
  <c r="M158" i="10"/>
  <c r="L158" i="10"/>
  <c r="I159" i="10"/>
  <c r="J159" i="10"/>
  <c r="K159" i="10" s="1"/>
  <c r="H160" i="10"/>
  <c r="F168" i="10" l="1"/>
  <c r="E167" i="10"/>
  <c r="G167" i="10"/>
  <c r="M159" i="10"/>
  <c r="J160" i="10"/>
  <c r="K160" i="10" s="1"/>
  <c r="L159" i="10"/>
  <c r="I160" i="10"/>
  <c r="H161" i="10"/>
  <c r="F169" i="10" l="1"/>
  <c r="E168" i="10"/>
  <c r="G168" i="10"/>
  <c r="M160" i="10"/>
  <c r="I161" i="10"/>
  <c r="L160" i="10"/>
  <c r="H162" i="10"/>
  <c r="J161" i="10"/>
  <c r="K161" i="10" s="1"/>
  <c r="F170" i="10" l="1"/>
  <c r="E169" i="10"/>
  <c r="G169" i="10"/>
  <c r="L161" i="10"/>
  <c r="M161" i="10"/>
  <c r="H163" i="10"/>
  <c r="J162" i="10"/>
  <c r="K162" i="10" s="1"/>
  <c r="I162" i="10"/>
  <c r="F171" i="10" l="1"/>
  <c r="E170" i="10"/>
  <c r="G170" i="10"/>
  <c r="L162" i="10"/>
  <c r="M162" i="10"/>
  <c r="H164" i="10"/>
  <c r="I163" i="10"/>
  <c r="J163" i="10"/>
  <c r="F172" i="10" l="1"/>
  <c r="E171" i="10"/>
  <c r="G171" i="10"/>
  <c r="M163" i="10"/>
  <c r="J164" i="10"/>
  <c r="K164" i="10" s="1"/>
  <c r="K163" i="10"/>
  <c r="H165" i="10"/>
  <c r="I164" i="10"/>
  <c r="L163" i="10"/>
  <c r="F173" i="10" l="1"/>
  <c r="E172" i="10"/>
  <c r="G172" i="10"/>
  <c r="M164" i="10"/>
  <c r="J165" i="10"/>
  <c r="K165" i="10" s="1"/>
  <c r="L164" i="10"/>
  <c r="I165" i="10"/>
  <c r="F174" i="10" l="1"/>
  <c r="E173" i="10"/>
  <c r="G173" i="10"/>
  <c r="M165" i="10"/>
  <c r="H167" i="10"/>
  <c r="L165" i="10"/>
  <c r="H166" i="10"/>
  <c r="I166" i="10" s="1"/>
  <c r="J166" i="10"/>
  <c r="K166" i="10" s="1"/>
  <c r="F175" i="10" l="1"/>
  <c r="E174" i="10"/>
  <c r="G174" i="10"/>
  <c r="M166" i="10"/>
  <c r="H168" i="10"/>
  <c r="I167" i="10"/>
  <c r="L166" i="10"/>
  <c r="J167" i="10"/>
  <c r="K167" i="10" s="1"/>
  <c r="F176" i="10" l="1"/>
  <c r="E175" i="10"/>
  <c r="G175" i="10"/>
  <c r="M167" i="10"/>
  <c r="I168" i="10"/>
  <c r="L167" i="10"/>
  <c r="L168" i="10" s="1"/>
  <c r="J168" i="10"/>
  <c r="K168" i="10" s="1"/>
  <c r="F177" i="10" l="1"/>
  <c r="E176" i="10"/>
  <c r="G176" i="10"/>
  <c r="M168" i="10"/>
  <c r="H170" i="10"/>
  <c r="J169" i="10"/>
  <c r="K169" i="10" s="1"/>
  <c r="H169" i="10"/>
  <c r="I169" i="10" s="1"/>
  <c r="F178" i="10" l="1"/>
  <c r="E177" i="10"/>
  <c r="G177" i="10"/>
  <c r="M169" i="10"/>
  <c r="H171" i="10"/>
  <c r="I170" i="10"/>
  <c r="L169" i="10"/>
  <c r="J170" i="10"/>
  <c r="K170" i="10" s="1"/>
  <c r="F179" i="10" l="1"/>
  <c r="E178" i="10"/>
  <c r="G178" i="10"/>
  <c r="M170" i="10"/>
  <c r="L170" i="10"/>
  <c r="J171" i="10"/>
  <c r="K171" i="10" s="1"/>
  <c r="I171" i="10"/>
  <c r="F180" i="10" l="1"/>
  <c r="E179" i="10"/>
  <c r="G179" i="10"/>
  <c r="L171" i="10"/>
  <c r="H173" i="10"/>
  <c r="M171" i="10"/>
  <c r="J172" i="10"/>
  <c r="K172" i="10" s="1"/>
  <c r="H172" i="10"/>
  <c r="I172" i="10" s="1"/>
  <c r="F181" i="10" l="1"/>
  <c r="E180" i="10"/>
  <c r="G180" i="10"/>
  <c r="H174" i="10"/>
  <c r="M172" i="10"/>
  <c r="J173" i="10"/>
  <c r="K173" i="10" s="1"/>
  <c r="I173" i="10"/>
  <c r="L172" i="10"/>
  <c r="F182" i="10" l="1"/>
  <c r="E181" i="10"/>
  <c r="G181" i="10"/>
  <c r="H175" i="10"/>
  <c r="M173" i="10"/>
  <c r="L173" i="10"/>
  <c r="J174" i="10"/>
  <c r="K174" i="10" s="1"/>
  <c r="I174" i="10"/>
  <c r="F183" i="10" l="1"/>
  <c r="E182" i="10"/>
  <c r="G182" i="10"/>
  <c r="H176" i="10"/>
  <c r="M174" i="10"/>
  <c r="I175" i="10"/>
  <c r="L174" i="10"/>
  <c r="L175" i="10" s="1"/>
  <c r="J175" i="10"/>
  <c r="K175" i="10" s="1"/>
  <c r="F184" i="10" l="1"/>
  <c r="E183" i="10"/>
  <c r="G183" i="10"/>
  <c r="I176" i="10"/>
  <c r="L176" i="10" s="1"/>
  <c r="H177" i="10"/>
  <c r="M175" i="10"/>
  <c r="J176" i="10"/>
  <c r="K176" i="10" s="1"/>
  <c r="F185" i="10" l="1"/>
  <c r="E184" i="10"/>
  <c r="G184" i="10"/>
  <c r="I177" i="10"/>
  <c r="M176" i="10"/>
  <c r="H178" i="10"/>
  <c r="J177" i="10"/>
  <c r="K177" i="10" s="1"/>
  <c r="F186" i="10" l="1"/>
  <c r="E185" i="10"/>
  <c r="G185" i="10"/>
  <c r="M177" i="10"/>
  <c r="I178" i="10"/>
  <c r="L177" i="10"/>
  <c r="H179" i="10"/>
  <c r="J178" i="10"/>
  <c r="K178" i="10" s="1"/>
  <c r="F187" i="10" l="1"/>
  <c r="E186" i="10"/>
  <c r="G186" i="10"/>
  <c r="L178" i="10"/>
  <c r="M178" i="10"/>
  <c r="I179" i="10"/>
  <c r="H180" i="10"/>
  <c r="J179" i="10"/>
  <c r="K179" i="10" s="1"/>
  <c r="F188" i="10" l="1"/>
  <c r="E187" i="10"/>
  <c r="G187" i="10"/>
  <c r="L179" i="10"/>
  <c r="M179" i="10"/>
  <c r="H181" i="10"/>
  <c r="I180" i="10"/>
  <c r="J180" i="10"/>
  <c r="K180" i="10" s="1"/>
  <c r="F189" i="10" l="1"/>
  <c r="E188" i="10"/>
  <c r="G188" i="10"/>
  <c r="M180" i="10"/>
  <c r="H182" i="10"/>
  <c r="L180" i="10"/>
  <c r="I181" i="10"/>
  <c r="J181" i="10"/>
  <c r="K181" i="10" s="1"/>
  <c r="F190" i="10" l="1"/>
  <c r="E189" i="10"/>
  <c r="G189" i="10"/>
  <c r="M181" i="10"/>
  <c r="I182" i="10"/>
  <c r="H183" i="10"/>
  <c r="L181" i="10"/>
  <c r="J182" i="10"/>
  <c r="K182" i="10" s="1"/>
  <c r="F191" i="10" l="1"/>
  <c r="E190" i="10"/>
  <c r="G190" i="10"/>
  <c r="M182" i="10"/>
  <c r="I183" i="10"/>
  <c r="L182" i="10"/>
  <c r="H184" i="10"/>
  <c r="J183" i="10"/>
  <c r="K183" i="10" s="1"/>
  <c r="F192" i="10" l="1"/>
  <c r="E191" i="10"/>
  <c r="G191" i="10"/>
  <c r="M183" i="10"/>
  <c r="L183" i="10"/>
  <c r="I184" i="10"/>
  <c r="H185" i="10"/>
  <c r="J184" i="10"/>
  <c r="K184" i="10" s="1"/>
  <c r="F193" i="10" l="1"/>
  <c r="E192" i="10"/>
  <c r="G192" i="10"/>
  <c r="M184" i="10"/>
  <c r="I185" i="10"/>
  <c r="L184" i="10"/>
  <c r="J185" i="10"/>
  <c r="F194" i="10" l="1"/>
  <c r="E193" i="10"/>
  <c r="G193" i="10"/>
  <c r="M185" i="10"/>
  <c r="L185" i="10"/>
  <c r="J186" i="10"/>
  <c r="K186" i="10" s="1"/>
  <c r="K185" i="10"/>
  <c r="H187" i="10"/>
  <c r="H186" i="10"/>
  <c r="I186" i="10" s="1"/>
  <c r="F195" i="10" l="1"/>
  <c r="E194" i="10"/>
  <c r="G194" i="10"/>
  <c r="M186" i="10"/>
  <c r="H188" i="10"/>
  <c r="L186" i="10"/>
  <c r="I187" i="10"/>
  <c r="J187" i="10"/>
  <c r="K187" i="10" s="1"/>
  <c r="F196" i="10" l="1"/>
  <c r="E195" i="10"/>
  <c r="G195" i="10"/>
  <c r="M187" i="10"/>
  <c r="H189" i="10"/>
  <c r="L187" i="10"/>
  <c r="J188" i="10"/>
  <c r="K188" i="10" s="1"/>
  <c r="I188" i="10"/>
  <c r="F197" i="10" l="1"/>
  <c r="E196" i="10"/>
  <c r="G196" i="10"/>
  <c r="M188" i="10"/>
  <c r="L188" i="10"/>
  <c r="I189" i="10"/>
  <c r="J189" i="10"/>
  <c r="K189" i="10" s="1"/>
  <c r="F198" i="10" l="1"/>
  <c r="E197" i="10"/>
  <c r="G197" i="10"/>
  <c r="M189" i="10"/>
  <c r="L189" i="10"/>
  <c r="J190" i="10"/>
  <c r="H190" i="10"/>
  <c r="I190" i="10" s="1"/>
  <c r="F199" i="10" l="1"/>
  <c r="E198" i="10"/>
  <c r="G198" i="10"/>
  <c r="M190" i="10"/>
  <c r="J191" i="10"/>
  <c r="K191" i="10" s="1"/>
  <c r="K190" i="10"/>
  <c r="H191" i="10"/>
  <c r="L190" i="10"/>
  <c r="I191" i="10"/>
  <c r="F200" i="10" l="1"/>
  <c r="E199" i="10"/>
  <c r="G199" i="10"/>
  <c r="M191" i="10"/>
  <c r="J192" i="10"/>
  <c r="K192" i="10" s="1"/>
  <c r="H193" i="10"/>
  <c r="H192" i="10"/>
  <c r="I192" i="10" s="1"/>
  <c r="L191" i="10"/>
  <c r="F201" i="10" l="1"/>
  <c r="E200" i="10"/>
  <c r="G200" i="10"/>
  <c r="M192" i="10"/>
  <c r="H194" i="10"/>
  <c r="I193" i="10"/>
  <c r="L192" i="10"/>
  <c r="L193" i="10" s="1"/>
  <c r="J193" i="10"/>
  <c r="K193" i="10" s="1"/>
  <c r="F202" i="10" l="1"/>
  <c r="E201" i="10"/>
  <c r="G201" i="10"/>
  <c r="M193" i="10"/>
  <c r="J194" i="10"/>
  <c r="K194" i="10" s="1"/>
  <c r="I194" i="10"/>
  <c r="F203" i="10" l="1"/>
  <c r="E202" i="10"/>
  <c r="G202" i="10"/>
  <c r="M194" i="10"/>
  <c r="L194" i="10"/>
  <c r="J195" i="10"/>
  <c r="K195" i="10" s="1"/>
  <c r="H196" i="10"/>
  <c r="H195" i="10"/>
  <c r="I195" i="10" s="1"/>
  <c r="F204" i="10" l="1"/>
  <c r="E203" i="10"/>
  <c r="G203" i="10"/>
  <c r="M195" i="10"/>
  <c r="L195" i="10"/>
  <c r="H197" i="10"/>
  <c r="I196" i="10"/>
  <c r="J196" i="10"/>
  <c r="K196" i="10" s="1"/>
  <c r="F205" i="10" l="1"/>
  <c r="E204" i="10"/>
  <c r="G204" i="10"/>
  <c r="M196" i="10"/>
  <c r="L196" i="10"/>
  <c r="I197" i="10"/>
  <c r="J197" i="10"/>
  <c r="K197" i="10" s="1"/>
  <c r="H198" i="10"/>
  <c r="F206" i="10" l="1"/>
  <c r="E205" i="10"/>
  <c r="G205" i="10"/>
  <c r="L197" i="10"/>
  <c r="M197" i="10"/>
  <c r="H199" i="10"/>
  <c r="I198" i="10"/>
  <c r="J198" i="10"/>
  <c r="K198" i="10" s="1"/>
  <c r="F207" i="10" l="1"/>
  <c r="E206" i="10"/>
  <c r="G206" i="10"/>
  <c r="M198" i="10"/>
  <c r="H200" i="10"/>
  <c r="L198" i="10"/>
  <c r="J199" i="10"/>
  <c r="K199" i="10" s="1"/>
  <c r="I199" i="10"/>
  <c r="F208" i="10" l="1"/>
  <c r="E207" i="10"/>
  <c r="G207" i="10"/>
  <c r="L199" i="10"/>
  <c r="H201" i="10"/>
  <c r="M199" i="10"/>
  <c r="J200" i="10"/>
  <c r="K200" i="10" s="1"/>
  <c r="I200" i="10"/>
  <c r="F209" i="10" l="1"/>
  <c r="E208" i="10"/>
  <c r="G208" i="10"/>
  <c r="L200" i="10"/>
  <c r="H202" i="10"/>
  <c r="M200" i="10"/>
  <c r="I201" i="10"/>
  <c r="J201" i="10"/>
  <c r="K201" i="10" s="1"/>
  <c r="F210" i="10" l="1"/>
  <c r="E209" i="10"/>
  <c r="G209" i="10"/>
  <c r="L201" i="10"/>
  <c r="H203" i="10"/>
  <c r="I202" i="10"/>
  <c r="M201" i="10"/>
  <c r="M202" i="10" s="1"/>
  <c r="J202" i="10"/>
  <c r="K202" i="10" s="1"/>
  <c r="F211" i="10" l="1"/>
  <c r="E210" i="10"/>
  <c r="G210" i="10"/>
  <c r="L202" i="10"/>
  <c r="I203" i="10"/>
  <c r="M203" i="10" s="1"/>
  <c r="H204" i="10"/>
  <c r="J203" i="10"/>
  <c r="K203" i="10" s="1"/>
  <c r="F212" i="10" l="1"/>
  <c r="E211" i="10"/>
  <c r="G211" i="10"/>
  <c r="L203" i="10"/>
  <c r="H205" i="10"/>
  <c r="J204" i="10"/>
  <c r="K204" i="10" s="1"/>
  <c r="I204" i="10"/>
  <c r="M204" i="10" s="1"/>
  <c r="F213" i="10" l="1"/>
  <c r="E212" i="10"/>
  <c r="G212" i="10"/>
  <c r="L204" i="10"/>
  <c r="H206" i="10"/>
  <c r="I205" i="10"/>
  <c r="M205" i="10" s="1"/>
  <c r="J205" i="10"/>
  <c r="K205" i="10" s="1"/>
  <c r="F214" i="10" l="1"/>
  <c r="E213" i="10"/>
  <c r="G213" i="10"/>
  <c r="H207" i="10"/>
  <c r="L205" i="10"/>
  <c r="I206" i="10"/>
  <c r="M206" i="10" s="1"/>
  <c r="J206" i="10"/>
  <c r="K206" i="10" s="1"/>
  <c r="F215" i="10" l="1"/>
  <c r="E214" i="10"/>
  <c r="G214" i="10"/>
  <c r="L206" i="10"/>
  <c r="I207" i="10"/>
  <c r="M207" i="10" s="1"/>
  <c r="H208" i="10"/>
  <c r="J207" i="10"/>
  <c r="K207" i="10" s="1"/>
  <c r="F216" i="10" l="1"/>
  <c r="E215" i="10"/>
  <c r="G215" i="10"/>
  <c r="L207" i="10"/>
  <c r="I208" i="10"/>
  <c r="M208" i="10"/>
  <c r="J208" i="10"/>
  <c r="K208" i="10" s="1"/>
  <c r="F217" i="10" l="1"/>
  <c r="E216" i="10"/>
  <c r="G216" i="10"/>
  <c r="L208" i="10"/>
  <c r="H210" i="10"/>
  <c r="H209" i="10"/>
  <c r="I209" i="10" s="1"/>
  <c r="M209" i="10" s="1"/>
  <c r="J209" i="10"/>
  <c r="K209" i="10" s="1"/>
  <c r="F218" i="10" l="1"/>
  <c r="E217" i="10"/>
  <c r="G217" i="10"/>
  <c r="H211" i="10"/>
  <c r="J210" i="10"/>
  <c r="K210" i="10" s="1"/>
  <c r="I210" i="10"/>
  <c r="M210" i="10" s="1"/>
  <c r="L209" i="10"/>
  <c r="F219" i="10" l="1"/>
  <c r="E218" i="10"/>
  <c r="G218" i="10"/>
  <c r="H212" i="10"/>
  <c r="L210" i="10"/>
  <c r="I211" i="10"/>
  <c r="M211" i="10" s="1"/>
  <c r="J211" i="10"/>
  <c r="K211" i="10" s="1"/>
  <c r="F220" i="10" l="1"/>
  <c r="E219" i="10"/>
  <c r="G219" i="10"/>
  <c r="I212" i="10"/>
  <c r="M212" i="10" s="1"/>
  <c r="H213" i="10"/>
  <c r="L211" i="10"/>
  <c r="J212" i="10"/>
  <c r="K212" i="10" s="1"/>
  <c r="F221" i="10" l="1"/>
  <c r="E220" i="10"/>
  <c r="G220" i="10"/>
  <c r="L212" i="10"/>
  <c r="I213" i="10"/>
  <c r="M213" i="10" s="1"/>
  <c r="H214" i="10"/>
  <c r="J213" i="10"/>
  <c r="K213" i="10" s="1"/>
  <c r="F222" i="10" l="1"/>
  <c r="E221" i="10"/>
  <c r="G221" i="10"/>
  <c r="L213" i="10"/>
  <c r="I214" i="10"/>
  <c r="M214" i="10" s="1"/>
  <c r="H215" i="10"/>
  <c r="J214" i="10"/>
  <c r="K214" i="10" s="1"/>
  <c r="F223" i="10" l="1"/>
  <c r="E222" i="10"/>
  <c r="G222" i="10"/>
  <c r="I215" i="10"/>
  <c r="L214" i="10"/>
  <c r="L215" i="10" s="1"/>
  <c r="M215" i="10"/>
  <c r="H216" i="10"/>
  <c r="I216" i="10" s="1"/>
  <c r="J215" i="10"/>
  <c r="K215" i="10" s="1"/>
  <c r="F224" i="10" l="1"/>
  <c r="E223" i="10"/>
  <c r="G223" i="10"/>
  <c r="M216" i="10"/>
  <c r="H217" i="10"/>
  <c r="I217" i="10" s="1"/>
  <c r="J216" i="10"/>
  <c r="K216" i="10" s="1"/>
  <c r="L216" i="10"/>
  <c r="F225" i="10" l="1"/>
  <c r="E224" i="10"/>
  <c r="G224" i="10"/>
  <c r="M217" i="10"/>
  <c r="H218" i="10"/>
  <c r="J217" i="10"/>
  <c r="K217" i="10" s="1"/>
  <c r="L217" i="10"/>
  <c r="F226" i="10" l="1"/>
  <c r="E225" i="10"/>
  <c r="G225" i="10"/>
  <c r="I218" i="10"/>
  <c r="M218" i="10" s="1"/>
  <c r="J218" i="10"/>
  <c r="K218" i="10" s="1"/>
  <c r="H219" i="10"/>
  <c r="F227" i="10" l="1"/>
  <c r="E226" i="10"/>
  <c r="G226" i="10"/>
  <c r="L218" i="10"/>
  <c r="H220" i="10"/>
  <c r="J219" i="10"/>
  <c r="K219" i="10" s="1"/>
  <c r="I219" i="10"/>
  <c r="M219" i="10" s="1"/>
  <c r="F228" i="10" l="1"/>
  <c r="E227" i="10"/>
  <c r="G227" i="10"/>
  <c r="H221" i="10"/>
  <c r="J220" i="10"/>
  <c r="K220" i="10" s="1"/>
  <c r="I220" i="10"/>
  <c r="M220" i="10" s="1"/>
  <c r="L219" i="10"/>
  <c r="F229" i="10" l="1"/>
  <c r="E228" i="10"/>
  <c r="G228" i="10"/>
  <c r="H222" i="10"/>
  <c r="J221" i="10"/>
  <c r="K221" i="10" s="1"/>
  <c r="I221" i="10"/>
  <c r="M221" i="10" s="1"/>
  <c r="L220" i="10"/>
  <c r="F230" i="10" l="1"/>
  <c r="E229" i="10"/>
  <c r="G229" i="10"/>
  <c r="H223" i="10"/>
  <c r="I222" i="10"/>
  <c r="M222" i="10" s="1"/>
  <c r="L221" i="10"/>
  <c r="J222" i="10"/>
  <c r="K222" i="10" s="1"/>
  <c r="F231" i="10" l="1"/>
  <c r="E230" i="10"/>
  <c r="G230" i="10"/>
  <c r="H224" i="10"/>
  <c r="J223" i="10"/>
  <c r="K223" i="10" s="1"/>
  <c r="L222" i="10"/>
  <c r="I223" i="10"/>
  <c r="M223" i="10" s="1"/>
  <c r="F232" i="10" l="1"/>
  <c r="E231" i="10"/>
  <c r="G231" i="10"/>
  <c r="H225" i="10"/>
  <c r="I224" i="10"/>
  <c r="M224" i="10" s="1"/>
  <c r="L223" i="10"/>
  <c r="J224" i="10"/>
  <c r="K224" i="10" s="1"/>
  <c r="F233" i="10" l="1"/>
  <c r="E232" i="10"/>
  <c r="G232" i="10"/>
  <c r="L224" i="10"/>
  <c r="I225" i="10"/>
  <c r="M225" i="10" s="1"/>
  <c r="H226" i="10"/>
  <c r="J225" i="10"/>
  <c r="K225" i="10" s="1"/>
  <c r="F234" i="10" l="1"/>
  <c r="E233" i="10"/>
  <c r="G233" i="10"/>
  <c r="L225" i="10"/>
  <c r="H227" i="10"/>
  <c r="I226" i="10"/>
  <c r="M226" i="10" s="1"/>
  <c r="J226" i="10"/>
  <c r="K226" i="10" s="1"/>
  <c r="F235" i="10" l="1"/>
  <c r="E234" i="10"/>
  <c r="G234" i="10"/>
  <c r="L226" i="10"/>
  <c r="I227" i="10"/>
  <c r="H228" i="10"/>
  <c r="J227" i="10"/>
  <c r="K227" i="10" s="1"/>
  <c r="F236" i="10" l="1"/>
  <c r="E235" i="10"/>
  <c r="G235" i="10"/>
  <c r="L227" i="10"/>
  <c r="M227" i="10"/>
  <c r="J228" i="10"/>
  <c r="K228" i="10" s="1"/>
  <c r="H229" i="10"/>
  <c r="I228" i="10"/>
  <c r="F237" i="10" l="1"/>
  <c r="E236" i="10"/>
  <c r="G236" i="10"/>
  <c r="L228" i="10"/>
  <c r="M228" i="10"/>
  <c r="I229" i="10"/>
  <c r="H230" i="10"/>
  <c r="J229" i="10"/>
  <c r="K229" i="10" s="1"/>
  <c r="F238" i="10" l="1"/>
  <c r="E237" i="10"/>
  <c r="G237" i="10"/>
  <c r="L229" i="10"/>
  <c r="M229" i="10"/>
  <c r="I230" i="10"/>
  <c r="H231" i="10"/>
  <c r="J230" i="10"/>
  <c r="K230" i="10" s="1"/>
  <c r="F239" i="10" l="1"/>
  <c r="E238" i="10"/>
  <c r="G238" i="10"/>
  <c r="I231" i="10"/>
  <c r="L230" i="10"/>
  <c r="M230" i="10"/>
  <c r="H232" i="10"/>
  <c r="J231" i="10"/>
  <c r="F240" i="10" l="1"/>
  <c r="E239" i="10"/>
  <c r="G239" i="10"/>
  <c r="I232" i="10"/>
  <c r="L231" i="10"/>
  <c r="M231" i="10"/>
  <c r="J232" i="10"/>
  <c r="K232" i="10" s="1"/>
  <c r="K231" i="10"/>
  <c r="H233" i="10"/>
  <c r="F241" i="10" l="1"/>
  <c r="E240" i="10"/>
  <c r="G240" i="10"/>
  <c r="L232" i="10"/>
  <c r="M232" i="10"/>
  <c r="H234" i="10"/>
  <c r="J233" i="10"/>
  <c r="K233" i="10" s="1"/>
  <c r="I233" i="10"/>
  <c r="F242" i="10" l="1"/>
  <c r="E241" i="10"/>
  <c r="G241" i="10"/>
  <c r="H235" i="10"/>
  <c r="L233" i="10"/>
  <c r="M233" i="10"/>
  <c r="J234" i="10"/>
  <c r="K234" i="10" s="1"/>
  <c r="I234" i="10"/>
  <c r="F243" i="10" l="1"/>
  <c r="E242" i="10"/>
  <c r="G242" i="10"/>
  <c r="L234" i="10"/>
  <c r="H236" i="10"/>
  <c r="M234" i="10"/>
  <c r="I235" i="10"/>
  <c r="J235" i="10"/>
  <c r="K235" i="10" s="1"/>
  <c r="F244" i="10" l="1"/>
  <c r="E243" i="10"/>
  <c r="G243" i="10"/>
  <c r="L235" i="10"/>
  <c r="H237" i="10"/>
  <c r="I236" i="10"/>
  <c r="M235" i="10"/>
  <c r="M236" i="10" s="1"/>
  <c r="J236" i="10"/>
  <c r="K236" i="10" s="1"/>
  <c r="F245" i="10" l="1"/>
  <c r="E244" i="10"/>
  <c r="G244" i="10"/>
  <c r="L236" i="10"/>
  <c r="I237" i="10"/>
  <c r="H238" i="10"/>
  <c r="J237" i="10"/>
  <c r="K237" i="10" s="1"/>
  <c r="F246" i="10" l="1"/>
  <c r="E245" i="10"/>
  <c r="G245" i="10"/>
  <c r="L237" i="10"/>
  <c r="M237" i="10"/>
  <c r="I238" i="10"/>
  <c r="H239" i="10"/>
  <c r="J238" i="10"/>
  <c r="K238" i="10" s="1"/>
  <c r="F247" i="10" l="1"/>
  <c r="E246" i="10"/>
  <c r="G246" i="10"/>
  <c r="I239" i="10"/>
  <c r="L238" i="10"/>
  <c r="L239" i="10" s="1"/>
  <c r="M238" i="10"/>
  <c r="M239" i="10" s="1"/>
  <c r="J239" i="10"/>
  <c r="K239" i="10" s="1"/>
  <c r="H240" i="10"/>
  <c r="I240" i="10" s="1"/>
  <c r="F248" i="10" l="1"/>
  <c r="E247" i="10"/>
  <c r="G247" i="10"/>
  <c r="H241" i="10"/>
  <c r="I241" i="10" s="1"/>
  <c r="M240" i="10"/>
  <c r="J240" i="10"/>
  <c r="K240" i="10" s="1"/>
  <c r="L240" i="10"/>
  <c r="F249" i="10" l="1"/>
  <c r="E248" i="10"/>
  <c r="G248" i="10"/>
  <c r="M241" i="10"/>
  <c r="J241" i="10"/>
  <c r="K241" i="10" s="1"/>
  <c r="H242" i="10"/>
  <c r="I242" i="10" s="1"/>
  <c r="L241" i="10"/>
  <c r="F250" i="10" l="1"/>
  <c r="E249" i="10"/>
  <c r="G249" i="10"/>
  <c r="M242" i="10"/>
  <c r="H243" i="10"/>
  <c r="I243" i="10" s="1"/>
  <c r="J242" i="10"/>
  <c r="K242" i="10" s="1"/>
  <c r="L242" i="10"/>
  <c r="F251" i="10" l="1"/>
  <c r="E250" i="10"/>
  <c r="G250" i="10"/>
  <c r="M243" i="10"/>
  <c r="H244" i="10"/>
  <c r="I244" i="10" s="1"/>
  <c r="J243" i="10"/>
  <c r="K243" i="10" s="1"/>
  <c r="L243" i="10"/>
  <c r="F252" i="10" l="1"/>
  <c r="E251" i="10"/>
  <c r="G251" i="10"/>
  <c r="M244" i="10"/>
  <c r="J244" i="10"/>
  <c r="K244" i="10" s="1"/>
  <c r="L244" i="10"/>
  <c r="F253" i="10" l="1"/>
  <c r="E252" i="10"/>
  <c r="G252" i="10"/>
  <c r="H246" i="10"/>
  <c r="J245" i="10"/>
  <c r="K245" i="10" s="1"/>
  <c r="H245" i="10"/>
  <c r="I245" i="10" s="1"/>
  <c r="M245" i="10" s="1"/>
  <c r="F254" i="10" l="1"/>
  <c r="E253" i="10"/>
  <c r="G253" i="10"/>
  <c r="H247" i="10"/>
  <c r="L245" i="10"/>
  <c r="I246" i="10"/>
  <c r="M246" i="10" s="1"/>
  <c r="J246" i="10"/>
  <c r="K246" i="10" s="1"/>
  <c r="F255" i="10" l="1"/>
  <c r="E254" i="10"/>
  <c r="G254" i="10"/>
  <c r="H248" i="10"/>
  <c r="I247" i="10"/>
  <c r="M247" i="10" s="1"/>
  <c r="L246" i="10"/>
  <c r="J247" i="10"/>
  <c r="K247" i="10" s="1"/>
  <c r="F256" i="10" l="1"/>
  <c r="E255" i="10"/>
  <c r="G255" i="10"/>
  <c r="H249" i="10"/>
  <c r="J248" i="10"/>
  <c r="K248" i="10" s="1"/>
  <c r="L247" i="10"/>
  <c r="I248" i="10"/>
  <c r="M248" i="10" s="1"/>
  <c r="F257" i="10" l="1"/>
  <c r="E256" i="10"/>
  <c r="G256" i="10"/>
  <c r="L248" i="10"/>
  <c r="J249" i="10"/>
  <c r="K249" i="10" s="1"/>
  <c r="I249" i="10"/>
  <c r="M249" i="10" s="1"/>
  <c r="F258" i="10" l="1"/>
  <c r="E257" i="10"/>
  <c r="G257" i="10"/>
  <c r="L249" i="10"/>
  <c r="J250" i="10"/>
  <c r="K250" i="10" s="1"/>
  <c r="H250" i="10"/>
  <c r="I250" i="10" s="1"/>
  <c r="M250" i="10" s="1"/>
  <c r="H251" i="10"/>
  <c r="F259" i="10" l="1"/>
  <c r="E258" i="10"/>
  <c r="G258" i="10"/>
  <c r="I251" i="10"/>
  <c r="M251" i="10" s="1"/>
  <c r="L250" i="10"/>
  <c r="J251" i="10"/>
  <c r="K251" i="10" s="1"/>
  <c r="H252" i="10"/>
  <c r="F260" i="10" l="1"/>
  <c r="E259" i="10"/>
  <c r="G259" i="10"/>
  <c r="I252" i="10"/>
  <c r="M252" i="10" s="1"/>
  <c r="L251" i="10"/>
  <c r="H253" i="10"/>
  <c r="J252" i="10"/>
  <c r="K252" i="10" s="1"/>
  <c r="F261" i="10" l="1"/>
  <c r="E260" i="10"/>
  <c r="G260" i="10"/>
  <c r="I253" i="10"/>
  <c r="M253" i="10" s="1"/>
  <c r="L252" i="10"/>
  <c r="H254" i="10"/>
  <c r="J253" i="10"/>
  <c r="K253" i="10" s="1"/>
  <c r="F262" i="10" l="1"/>
  <c r="E261" i="10"/>
  <c r="G261" i="10"/>
  <c r="L253" i="10"/>
  <c r="I254" i="10"/>
  <c r="M254" i="10" s="1"/>
  <c r="H255" i="10"/>
  <c r="J254" i="10"/>
  <c r="K254" i="10" s="1"/>
  <c r="F263" i="10" l="1"/>
  <c r="E262" i="10"/>
  <c r="G262" i="10"/>
  <c r="L254" i="10"/>
  <c r="H256" i="10"/>
  <c r="I255" i="10"/>
  <c r="M255" i="10" s="1"/>
  <c r="J255" i="10"/>
  <c r="K255" i="10" s="1"/>
  <c r="F264" i="10" l="1"/>
  <c r="E263" i="10"/>
  <c r="G263" i="10"/>
  <c r="L255" i="10"/>
  <c r="H257" i="10"/>
  <c r="J256" i="10"/>
  <c r="K256" i="10" s="1"/>
  <c r="I256" i="10"/>
  <c r="M256" i="10" s="1"/>
  <c r="F265" i="10" l="1"/>
  <c r="E264" i="10"/>
  <c r="G264" i="10"/>
  <c r="H258" i="10"/>
  <c r="J257" i="10"/>
  <c r="K257" i="10" s="1"/>
  <c r="I257" i="10"/>
  <c r="M257" i="10" s="1"/>
  <c r="L256" i="10"/>
  <c r="F266" i="10" l="1"/>
  <c r="E265" i="10"/>
  <c r="G265" i="10"/>
  <c r="H259" i="10"/>
  <c r="J258" i="10"/>
  <c r="K258" i="10" s="1"/>
  <c r="L257" i="10"/>
  <c r="I258" i="10"/>
  <c r="F267" i="10" l="1"/>
  <c r="E266" i="10"/>
  <c r="G266" i="10"/>
  <c r="L258" i="10"/>
  <c r="H260" i="10"/>
  <c r="M258" i="10"/>
  <c r="J259" i="10"/>
  <c r="K259" i="10" s="1"/>
  <c r="I259" i="10"/>
  <c r="F268" i="10" l="1"/>
  <c r="E267" i="10"/>
  <c r="G267" i="10"/>
  <c r="M259" i="10"/>
  <c r="J260" i="10"/>
  <c r="K260" i="10" s="1"/>
  <c r="L259" i="10"/>
  <c r="I260" i="10"/>
  <c r="F269" i="10" l="1"/>
  <c r="E268" i="10"/>
  <c r="G268" i="10"/>
  <c r="H262" i="10"/>
  <c r="M260" i="10"/>
  <c r="J261" i="10"/>
  <c r="K261" i="10" s="1"/>
  <c r="H261" i="10"/>
  <c r="I261" i="10" s="1"/>
  <c r="L260" i="10"/>
  <c r="L261" i="10" s="1"/>
  <c r="F270" i="10" l="1"/>
  <c r="E269" i="10"/>
  <c r="G269" i="10"/>
  <c r="I262" i="10"/>
  <c r="L262" i="10" s="1"/>
  <c r="H263" i="10"/>
  <c r="M261" i="10"/>
  <c r="J262" i="10"/>
  <c r="K262" i="10" s="1"/>
  <c r="F271" i="10" l="1"/>
  <c r="E270" i="10"/>
  <c r="G270" i="10"/>
  <c r="I263" i="10"/>
  <c r="M262" i="10"/>
  <c r="H264" i="10"/>
  <c r="J263" i="10"/>
  <c r="F272" i="10" l="1"/>
  <c r="E271" i="10"/>
  <c r="G271" i="10"/>
  <c r="M263" i="10"/>
  <c r="L263" i="10"/>
  <c r="I264" i="10"/>
  <c r="J264" i="10"/>
  <c r="K264" i="10" s="1"/>
  <c r="K263" i="10"/>
  <c r="J265" i="10" l="1"/>
  <c r="K265" i="10" s="1"/>
  <c r="F273" i="10"/>
  <c r="E272" i="10"/>
  <c r="G272" i="10"/>
  <c r="L264" i="10"/>
  <c r="M264" i="10"/>
  <c r="H266" i="10"/>
  <c r="H265" i="10"/>
  <c r="I265" i="10" s="1"/>
  <c r="F274" i="10" l="1"/>
  <c r="E273" i="10"/>
  <c r="G273" i="10"/>
  <c r="M265" i="10"/>
  <c r="L265" i="10"/>
  <c r="I266" i="10"/>
  <c r="H267" i="10"/>
  <c r="J266" i="10"/>
  <c r="K266" i="10" s="1"/>
  <c r="F275" i="10" l="1"/>
  <c r="E274" i="10"/>
  <c r="G274" i="10"/>
  <c r="M266" i="10"/>
  <c r="L266" i="10"/>
  <c r="I267" i="10"/>
  <c r="M267" i="10" s="1"/>
  <c r="H268" i="10"/>
  <c r="J267" i="10"/>
  <c r="K267" i="10" s="1"/>
  <c r="F276" i="10" l="1"/>
  <c r="E275" i="10"/>
  <c r="G275" i="10"/>
  <c r="I268" i="10"/>
  <c r="M268" i="10" s="1"/>
  <c r="L267" i="10"/>
  <c r="H269" i="10"/>
  <c r="J268" i="10"/>
  <c r="K268" i="10" s="1"/>
  <c r="F277" i="10" l="1"/>
  <c r="E276" i="10"/>
  <c r="G276" i="10"/>
  <c r="L268" i="10"/>
  <c r="H270" i="10"/>
  <c r="J269" i="10"/>
  <c r="K269" i="10" s="1"/>
  <c r="I269" i="10"/>
  <c r="M269" i="10" s="1"/>
  <c r="F278" i="10" l="1"/>
  <c r="E277" i="10"/>
  <c r="G277" i="10"/>
  <c r="L269" i="10"/>
  <c r="H271" i="10"/>
  <c r="I270" i="10"/>
  <c r="M270" i="10" s="1"/>
  <c r="J270" i="10"/>
  <c r="K270" i="10" s="1"/>
  <c r="F279" i="10" l="1"/>
  <c r="E278" i="10"/>
  <c r="G278" i="10"/>
  <c r="L270" i="10"/>
  <c r="I271" i="10"/>
  <c r="M271" i="10" s="1"/>
  <c r="J271" i="10"/>
  <c r="K271" i="10" s="1"/>
  <c r="F280" i="10" l="1"/>
  <c r="E279" i="10"/>
  <c r="G279" i="10"/>
  <c r="L271" i="10"/>
  <c r="J272" i="10"/>
  <c r="K272" i="10" s="1"/>
  <c r="H272" i="10"/>
  <c r="I272" i="10" s="1"/>
  <c r="M272" i="10" s="1"/>
  <c r="H273" i="10"/>
  <c r="F281" i="10" l="1"/>
  <c r="E280" i="10"/>
  <c r="G280" i="10"/>
  <c r="J273" i="10"/>
  <c r="K273" i="10" s="1"/>
  <c r="L272" i="10"/>
  <c r="I273" i="10"/>
  <c r="M273" i="10" s="1"/>
  <c r="H274" i="10"/>
  <c r="F282" i="10" l="1"/>
  <c r="E281" i="10"/>
  <c r="G281" i="10"/>
  <c r="I274" i="10"/>
  <c r="M274" i="10" s="1"/>
  <c r="L273" i="10"/>
  <c r="J274" i="10"/>
  <c r="K274" i="10" s="1"/>
  <c r="H275" i="10"/>
  <c r="F283" i="10" l="1"/>
  <c r="E282" i="10"/>
  <c r="G282" i="10"/>
  <c r="L274" i="10"/>
  <c r="H276" i="10"/>
  <c r="I275" i="10"/>
  <c r="M275" i="10" s="1"/>
  <c r="J275" i="10"/>
  <c r="K275" i="10" s="1"/>
  <c r="F284" i="10" l="1"/>
  <c r="E283" i="10"/>
  <c r="G283" i="10"/>
  <c r="H277" i="10"/>
  <c r="L275" i="10"/>
  <c r="I276" i="10"/>
  <c r="M276" i="10" s="1"/>
  <c r="J276" i="10"/>
  <c r="K276" i="10" s="1"/>
  <c r="F285" i="10" l="1"/>
  <c r="E284" i="10"/>
  <c r="G284" i="10"/>
  <c r="H278" i="10"/>
  <c r="J277" i="10"/>
  <c r="K277" i="10" s="1"/>
  <c r="L276" i="10"/>
  <c r="I277" i="10"/>
  <c r="M277" i="10" s="1"/>
  <c r="F286" i="10" l="1"/>
  <c r="E285" i="10"/>
  <c r="G285" i="10"/>
  <c r="H279" i="10"/>
  <c r="J278" i="10"/>
  <c r="K278" i="10" s="1"/>
  <c r="I278" i="10"/>
  <c r="M278" i="10" s="1"/>
  <c r="L277" i="10"/>
  <c r="F287" i="10" l="1"/>
  <c r="E286" i="10"/>
  <c r="G286" i="10"/>
  <c r="I279" i="10"/>
  <c r="M279" i="10" s="1"/>
  <c r="H280" i="10"/>
  <c r="L278" i="10"/>
  <c r="J279" i="10"/>
  <c r="K279" i="10" s="1"/>
  <c r="F288" i="10" l="1"/>
  <c r="E287" i="10"/>
  <c r="G287" i="10"/>
  <c r="L279" i="10"/>
  <c r="I280" i="10"/>
  <c r="M280" i="10" s="1"/>
  <c r="H281" i="10"/>
  <c r="J280" i="10"/>
  <c r="K280" i="10" s="1"/>
  <c r="F289" i="10" l="1"/>
  <c r="E288" i="10"/>
  <c r="G288" i="10"/>
  <c r="L280" i="10"/>
  <c r="H282" i="10"/>
  <c r="I281" i="10"/>
  <c r="J281" i="10"/>
  <c r="K281" i="10" s="1"/>
  <c r="F290" i="10" l="1"/>
  <c r="E289" i="10"/>
  <c r="G289" i="10"/>
  <c r="H283" i="10"/>
  <c r="L281" i="10"/>
  <c r="M281" i="10"/>
  <c r="I282" i="10"/>
  <c r="J282" i="10"/>
  <c r="K282" i="10" s="1"/>
  <c r="F291" i="10" l="1"/>
  <c r="E290" i="10"/>
  <c r="G290" i="10"/>
  <c r="L282" i="10"/>
  <c r="H284" i="10"/>
  <c r="M282" i="10"/>
  <c r="J283" i="10"/>
  <c r="K283" i="10" s="1"/>
  <c r="I283" i="10"/>
  <c r="F292" i="10" l="1"/>
  <c r="E291" i="10"/>
  <c r="G291" i="10"/>
  <c r="M283" i="10"/>
  <c r="J284" i="10"/>
  <c r="K284" i="10" s="1"/>
  <c r="L283" i="10"/>
  <c r="I284" i="10"/>
  <c r="F293" i="10" l="1"/>
  <c r="E292" i="10"/>
  <c r="G292" i="10"/>
  <c r="J285" i="10"/>
  <c r="K285" i="10" s="1"/>
  <c r="H286" i="10"/>
  <c r="M284" i="10"/>
  <c r="L284" i="10"/>
  <c r="H285" i="10"/>
  <c r="I285" i="10" s="1"/>
  <c r="F294" i="10" l="1"/>
  <c r="E293" i="10"/>
  <c r="G293" i="10"/>
  <c r="H287" i="10"/>
  <c r="M285" i="10"/>
  <c r="L285" i="10"/>
  <c r="I286" i="10"/>
  <c r="J286" i="10"/>
  <c r="K286" i="10" s="1"/>
  <c r="F295" i="10" l="1"/>
  <c r="E294" i="10"/>
  <c r="G294" i="10"/>
  <c r="J287" i="10"/>
  <c r="K287" i="10" s="1"/>
  <c r="H288" i="10"/>
  <c r="M286" i="10"/>
  <c r="I287" i="10"/>
  <c r="L286" i="10"/>
  <c r="F296" i="10" l="1"/>
  <c r="E295" i="10"/>
  <c r="G295" i="10"/>
  <c r="M287" i="10"/>
  <c r="I288" i="10"/>
  <c r="L287" i="10"/>
  <c r="J288" i="10"/>
  <c r="K288" i="10" s="1"/>
  <c r="F297" i="10" l="1"/>
  <c r="E296" i="10"/>
  <c r="G296" i="10"/>
  <c r="L288" i="10"/>
  <c r="M288" i="10"/>
  <c r="J289" i="10"/>
  <c r="K289" i="10" s="1"/>
  <c r="H289" i="10"/>
  <c r="I289" i="10" s="1"/>
  <c r="F298" i="10" l="1"/>
  <c r="E297" i="10"/>
  <c r="G297" i="10"/>
  <c r="J290" i="10"/>
  <c r="K290" i="10" s="1"/>
  <c r="M289" i="10"/>
  <c r="H290" i="10"/>
  <c r="L289" i="10"/>
  <c r="I290" i="10"/>
  <c r="F299" i="10" l="1"/>
  <c r="E298" i="10"/>
  <c r="G298" i="10"/>
  <c r="M290" i="10"/>
  <c r="J291" i="10"/>
  <c r="K291" i="10" s="1"/>
  <c r="H292" i="10"/>
  <c r="L290" i="10"/>
  <c r="H291" i="10"/>
  <c r="I291" i="10" s="1"/>
  <c r="M291" i="10" s="1"/>
  <c r="F300" i="10" l="1"/>
  <c r="E299" i="10"/>
  <c r="G299" i="10"/>
  <c r="I292" i="10"/>
  <c r="M292" i="10" s="1"/>
  <c r="L291" i="10"/>
  <c r="J292" i="10"/>
  <c r="K292" i="10" s="1"/>
  <c r="F301" i="10" l="1"/>
  <c r="E300" i="10"/>
  <c r="G300" i="10"/>
  <c r="H294" i="10"/>
  <c r="J293" i="10"/>
  <c r="K293" i="10" s="1"/>
  <c r="L292" i="10"/>
  <c r="H293" i="10"/>
  <c r="I293" i="10" s="1"/>
  <c r="M293" i="10" s="1"/>
  <c r="F302" i="10" l="1"/>
  <c r="E301" i="10"/>
  <c r="G301" i="10"/>
  <c r="J294" i="10"/>
  <c r="K294" i="10" s="1"/>
  <c r="L293" i="10"/>
  <c r="I294" i="10"/>
  <c r="M294" i="10" s="1"/>
  <c r="F303" i="10" l="1"/>
  <c r="E302" i="10"/>
  <c r="G302" i="10"/>
  <c r="J295" i="10"/>
  <c r="K295" i="10" s="1"/>
  <c r="H296" i="10"/>
  <c r="H295" i="10"/>
  <c r="I295" i="10" s="1"/>
  <c r="M295" i="10" s="1"/>
  <c r="L294" i="10"/>
  <c r="F304" i="10" l="1"/>
  <c r="E303" i="10"/>
  <c r="G303" i="10"/>
  <c r="L295" i="10"/>
  <c r="H298" i="10"/>
  <c r="H297" i="10"/>
  <c r="J296" i="10"/>
  <c r="K296" i="10" s="1"/>
  <c r="I296" i="10"/>
  <c r="M296" i="10" s="1"/>
  <c r="F305" i="10" l="1"/>
  <c r="E304" i="10"/>
  <c r="G304" i="10"/>
  <c r="L296" i="10"/>
  <c r="H299" i="10"/>
  <c r="I297" i="10"/>
  <c r="J297" i="10"/>
  <c r="F306" i="10" l="1"/>
  <c r="E305" i="10"/>
  <c r="G305" i="10"/>
  <c r="L297" i="10"/>
  <c r="J298" i="10"/>
  <c r="K297" i="10"/>
  <c r="M297" i="10"/>
  <c r="I298" i="10"/>
  <c r="I299" i="10" s="1"/>
  <c r="H300" i="10"/>
  <c r="F307" i="10" l="1"/>
  <c r="E306" i="10"/>
  <c r="G306" i="10"/>
  <c r="M298" i="10"/>
  <c r="M299" i="10" s="1"/>
  <c r="J299" i="10"/>
  <c r="K299" i="10" s="1"/>
  <c r="K298" i="10"/>
  <c r="H301" i="10"/>
  <c r="I300" i="10"/>
  <c r="L298" i="10"/>
  <c r="L299" i="10" s="1"/>
  <c r="F308" i="10" l="1"/>
  <c r="E307" i="10"/>
  <c r="G307" i="10"/>
  <c r="I301" i="10"/>
  <c r="J300" i="10"/>
  <c r="L300" i="10"/>
  <c r="M300" i="10"/>
  <c r="H302" i="10"/>
  <c r="F309" i="10" l="1"/>
  <c r="E308" i="10"/>
  <c r="G308" i="10"/>
  <c r="L301" i="10"/>
  <c r="M301" i="10"/>
  <c r="J301" i="10"/>
  <c r="K301" i="10" s="1"/>
  <c r="K300" i="10"/>
  <c r="H303" i="10"/>
  <c r="I302" i="10"/>
  <c r="F310" i="10" l="1"/>
  <c r="E309" i="10"/>
  <c r="G309" i="10"/>
  <c r="I303" i="10"/>
  <c r="J302" i="10"/>
  <c r="J303" i="10" s="1"/>
  <c r="K303" i="10" s="1"/>
  <c r="L302" i="10"/>
  <c r="M302" i="10"/>
  <c r="H304" i="10"/>
  <c r="F311" i="10" l="1"/>
  <c r="E310" i="10"/>
  <c r="G310" i="10"/>
  <c r="L303" i="10"/>
  <c r="M303" i="10"/>
  <c r="K302" i="10"/>
  <c r="H305" i="10"/>
  <c r="I304" i="10"/>
  <c r="J304" i="10"/>
  <c r="F312" i="10" l="1"/>
  <c r="E311" i="10"/>
  <c r="G311" i="10"/>
  <c r="I305" i="10"/>
  <c r="L304" i="10"/>
  <c r="J305" i="10"/>
  <c r="K305" i="10" s="1"/>
  <c r="K304" i="10"/>
  <c r="M304" i="10"/>
  <c r="H306" i="10"/>
  <c r="F313" i="10" l="1"/>
  <c r="E312" i="10"/>
  <c r="G312" i="10"/>
  <c r="M305" i="10"/>
  <c r="L305" i="10"/>
  <c r="H307" i="10"/>
  <c r="I306" i="10"/>
  <c r="J306" i="10"/>
  <c r="F314" i="10" l="1"/>
  <c r="E313" i="10"/>
  <c r="G313" i="10"/>
  <c r="L306" i="10"/>
  <c r="I307" i="10"/>
  <c r="J307" i="10"/>
  <c r="K307" i="10" s="1"/>
  <c r="K306" i="10"/>
  <c r="M306" i="10"/>
  <c r="H308" i="10"/>
  <c r="F315" i="10" l="1"/>
  <c r="E314" i="10"/>
  <c r="G314" i="10"/>
  <c r="L307" i="10"/>
  <c r="M307" i="10"/>
  <c r="I308" i="10"/>
  <c r="H309" i="10"/>
  <c r="J308" i="10"/>
  <c r="F316" i="10" l="1"/>
  <c r="E315" i="10"/>
  <c r="G315" i="10"/>
  <c r="L308" i="10"/>
  <c r="M308" i="10"/>
  <c r="J309" i="10"/>
  <c r="K309" i="10" s="1"/>
  <c r="K308" i="10"/>
  <c r="H310" i="10"/>
  <c r="I309" i="10"/>
  <c r="F317" i="10" l="1"/>
  <c r="E316" i="10"/>
  <c r="G316" i="10"/>
  <c r="I310" i="10"/>
  <c r="J310" i="10"/>
  <c r="K310" i="10" s="1"/>
  <c r="M309" i="10"/>
  <c r="L309" i="10"/>
  <c r="H311" i="10"/>
  <c r="F318" i="10" l="1"/>
  <c r="E317" i="10"/>
  <c r="G317" i="10"/>
  <c r="I311" i="10"/>
  <c r="M310" i="10"/>
  <c r="L310" i="10"/>
  <c r="J311" i="10"/>
  <c r="K311" i="10" s="1"/>
  <c r="H312" i="10"/>
  <c r="F319" i="10" l="1"/>
  <c r="E318" i="10"/>
  <c r="G318" i="10"/>
  <c r="L311" i="10"/>
  <c r="M311" i="10"/>
  <c r="J312" i="10"/>
  <c r="K312" i="10" s="1"/>
  <c r="H313" i="10"/>
  <c r="I312" i="10"/>
  <c r="F320" i="10" l="1"/>
  <c r="E319" i="10"/>
  <c r="G319" i="10"/>
  <c r="I313" i="10"/>
  <c r="M312" i="10"/>
  <c r="H314" i="10"/>
  <c r="L312" i="10"/>
  <c r="J313" i="10"/>
  <c r="F321" i="10" l="1"/>
  <c r="E320" i="10"/>
  <c r="G320" i="10"/>
  <c r="L313" i="10"/>
  <c r="M313" i="10"/>
  <c r="J314" i="10"/>
  <c r="K314" i="10" s="1"/>
  <c r="K313" i="10"/>
  <c r="H315" i="10"/>
  <c r="I314" i="10"/>
  <c r="F322" i="10" l="1"/>
  <c r="E321" i="10"/>
  <c r="G321" i="10"/>
  <c r="I315" i="10"/>
  <c r="J315" i="10"/>
  <c r="K315" i="10" s="1"/>
  <c r="M314" i="10"/>
  <c r="H316" i="10"/>
  <c r="L314" i="10"/>
  <c r="F323" i="10" l="1"/>
  <c r="E322" i="10"/>
  <c r="G322" i="10"/>
  <c r="L315" i="10"/>
  <c r="M315" i="10"/>
  <c r="I316" i="10"/>
  <c r="H317" i="10"/>
  <c r="J316" i="10"/>
  <c r="F324" i="10" l="1"/>
  <c r="E323" i="10"/>
  <c r="G323" i="10"/>
  <c r="L316" i="10"/>
  <c r="M316" i="10"/>
  <c r="J317" i="10"/>
  <c r="K317" i="10" s="1"/>
  <c r="K316" i="10"/>
  <c r="H318" i="10"/>
  <c r="I317" i="10"/>
  <c r="F325" i="10" l="1"/>
  <c r="E324" i="10"/>
  <c r="G324" i="10"/>
  <c r="I318" i="10"/>
  <c r="M317" i="10"/>
  <c r="L317" i="10"/>
  <c r="H319" i="10"/>
  <c r="J318" i="10"/>
  <c r="F326" i="10" l="1"/>
  <c r="E325" i="10"/>
  <c r="G325" i="10"/>
  <c r="L318" i="10"/>
  <c r="M318" i="10"/>
  <c r="J319" i="10"/>
  <c r="K319" i="10" s="1"/>
  <c r="K318" i="10"/>
  <c r="H320" i="10"/>
  <c r="I319" i="10"/>
  <c r="F327" i="10" l="1"/>
  <c r="E326" i="10"/>
  <c r="G326" i="10"/>
  <c r="I320" i="10"/>
  <c r="M319" i="10"/>
  <c r="L319" i="10"/>
  <c r="H321" i="10"/>
  <c r="J320" i="10"/>
  <c r="F328" i="10" l="1"/>
  <c r="E327" i="10"/>
  <c r="G327" i="10"/>
  <c r="L320" i="10"/>
  <c r="M320" i="10"/>
  <c r="J321" i="10"/>
  <c r="K321" i="10" s="1"/>
  <c r="K320" i="10"/>
  <c r="H322" i="10"/>
  <c r="I321" i="10"/>
  <c r="F329" i="10" l="1"/>
  <c r="E328" i="10"/>
  <c r="G328" i="10"/>
  <c r="L321" i="10"/>
  <c r="I322" i="10"/>
  <c r="M321" i="10"/>
  <c r="H323" i="10"/>
  <c r="J322" i="10"/>
  <c r="F330" i="10" l="1"/>
  <c r="E329" i="10"/>
  <c r="G329" i="10"/>
  <c r="L322" i="10"/>
  <c r="M322" i="10"/>
  <c r="J323" i="10"/>
  <c r="K323" i="10" s="1"/>
  <c r="K322" i="10"/>
  <c r="H324" i="10"/>
  <c r="I323" i="10"/>
  <c r="F331" i="10" l="1"/>
  <c r="E330" i="10"/>
  <c r="G330" i="10"/>
  <c r="I324" i="10"/>
  <c r="M323" i="10"/>
  <c r="H325" i="10"/>
  <c r="L323" i="10"/>
  <c r="J324" i="10"/>
  <c r="F332" i="10" l="1"/>
  <c r="E331" i="10"/>
  <c r="G331" i="10"/>
  <c r="L324" i="10"/>
  <c r="M324" i="10"/>
  <c r="J325" i="10"/>
  <c r="K325" i="10" s="1"/>
  <c r="K324" i="10"/>
  <c r="H326" i="10"/>
  <c r="I325" i="10"/>
  <c r="F333" i="10" l="1"/>
  <c r="E332" i="10"/>
  <c r="G332" i="10"/>
  <c r="I326" i="10"/>
  <c r="M325" i="10"/>
  <c r="H327" i="10"/>
  <c r="J326" i="10"/>
  <c r="L325" i="10"/>
  <c r="F334" i="10" l="1"/>
  <c r="E333" i="10"/>
  <c r="G333" i="10"/>
  <c r="L326" i="10"/>
  <c r="M326" i="10"/>
  <c r="J327" i="10"/>
  <c r="K327" i="10" s="1"/>
  <c r="K326" i="10"/>
  <c r="I327" i="10"/>
  <c r="H328" i="10"/>
  <c r="F335" i="10" l="1"/>
  <c r="E334" i="10"/>
  <c r="G334" i="10"/>
  <c r="L327" i="10"/>
  <c r="M327" i="10"/>
  <c r="I328" i="10"/>
  <c r="H329" i="10"/>
  <c r="J328" i="10"/>
  <c r="F336" i="10" l="1"/>
  <c r="E335" i="10"/>
  <c r="G335" i="10"/>
  <c r="M328" i="10"/>
  <c r="L328" i="10"/>
  <c r="J329" i="10"/>
  <c r="K329" i="10" s="1"/>
  <c r="K328" i="10"/>
  <c r="H330" i="10"/>
  <c r="I329" i="10"/>
  <c r="F337" i="10" l="1"/>
  <c r="E336" i="10"/>
  <c r="G336" i="10"/>
  <c r="I330" i="10"/>
  <c r="L329" i="10"/>
  <c r="M329" i="10"/>
  <c r="H331" i="10"/>
  <c r="J330" i="10"/>
  <c r="F338" i="10" l="1"/>
  <c r="E337" i="10"/>
  <c r="G337" i="10"/>
  <c r="M330" i="10"/>
  <c r="L330" i="10"/>
  <c r="I331" i="10"/>
  <c r="J331" i="10"/>
  <c r="K331" i="10" s="1"/>
  <c r="K330" i="10"/>
  <c r="H332" i="10"/>
  <c r="F339" i="10" l="1"/>
  <c r="E338" i="10"/>
  <c r="G338" i="10"/>
  <c r="M331" i="10"/>
  <c r="L331" i="10"/>
  <c r="I332" i="10"/>
  <c r="H333" i="10"/>
  <c r="J332" i="10"/>
  <c r="F340" i="10" l="1"/>
  <c r="E339" i="10"/>
  <c r="G339" i="10"/>
  <c r="L332" i="10"/>
  <c r="M332" i="10"/>
  <c r="J333" i="10"/>
  <c r="K333" i="10" s="1"/>
  <c r="K332" i="10"/>
  <c r="I333" i="10"/>
  <c r="H334" i="10"/>
  <c r="F341" i="10" l="1"/>
  <c r="E340" i="10"/>
  <c r="G340" i="10"/>
  <c r="L333" i="10"/>
  <c r="M333" i="10"/>
  <c r="H335" i="10"/>
  <c r="J334" i="10"/>
  <c r="I334" i="10"/>
  <c r="F342" i="10" l="1"/>
  <c r="E341" i="10"/>
  <c r="G341" i="10"/>
  <c r="I335" i="10"/>
  <c r="J335" i="10"/>
  <c r="K335" i="10" s="1"/>
  <c r="K334" i="10"/>
  <c r="M334" i="10"/>
  <c r="H336" i="10"/>
  <c r="L334" i="10"/>
  <c r="F343" i="10" l="1"/>
  <c r="E342" i="10"/>
  <c r="G342" i="10"/>
  <c r="L335" i="10"/>
  <c r="M335" i="10"/>
  <c r="H337" i="10"/>
  <c r="J336" i="10"/>
  <c r="I336" i="10"/>
  <c r="F344" i="10" l="1"/>
  <c r="E343" i="10"/>
  <c r="G343" i="10"/>
  <c r="I337" i="10"/>
  <c r="J337" i="10"/>
  <c r="K337" i="10" s="1"/>
  <c r="K336" i="10"/>
  <c r="M336" i="10"/>
  <c r="H338" i="10"/>
  <c r="L336" i="10"/>
  <c r="F345" i="10" l="1"/>
  <c r="E344" i="10"/>
  <c r="G344" i="10"/>
  <c r="L337" i="10"/>
  <c r="I338" i="10"/>
  <c r="M337" i="10"/>
  <c r="M338" i="10" s="1"/>
  <c r="H339" i="10"/>
  <c r="J338" i="10"/>
  <c r="F346" i="10" l="1"/>
  <c r="E345" i="10"/>
  <c r="G345" i="10"/>
  <c r="L338" i="10"/>
  <c r="J339" i="10"/>
  <c r="K339" i="10" s="1"/>
  <c r="K338" i="10"/>
  <c r="I339" i="10"/>
  <c r="H340" i="10"/>
  <c r="F347" i="10" l="1"/>
  <c r="E346" i="10"/>
  <c r="G346" i="10"/>
  <c r="I340" i="10"/>
  <c r="L339" i="10"/>
  <c r="M339" i="10"/>
  <c r="H341" i="10"/>
  <c r="J340" i="10"/>
  <c r="F348" i="10" l="1"/>
  <c r="E347" i="10"/>
  <c r="G347" i="10"/>
  <c r="M340" i="10"/>
  <c r="L340" i="10"/>
  <c r="I341" i="10"/>
  <c r="J341" i="10"/>
  <c r="K341" i="10" s="1"/>
  <c r="K340" i="10"/>
  <c r="H342" i="10"/>
  <c r="F349" i="10" l="1"/>
  <c r="E348" i="10"/>
  <c r="G348" i="10"/>
  <c r="M341" i="10"/>
  <c r="L341" i="10"/>
  <c r="J342" i="10"/>
  <c r="K342" i="10" s="1"/>
  <c r="H343" i="10"/>
  <c r="I342" i="10"/>
  <c r="F350" i="10" l="1"/>
  <c r="E349" i="10"/>
  <c r="G349" i="10"/>
  <c r="I343" i="10"/>
  <c r="M342" i="10"/>
  <c r="H344" i="10"/>
  <c r="J343" i="10"/>
  <c r="L342" i="10"/>
  <c r="F351" i="10" l="1"/>
  <c r="E350" i="10"/>
  <c r="G350" i="10"/>
  <c r="L343" i="10"/>
  <c r="M343" i="10"/>
  <c r="J344" i="10"/>
  <c r="K344" i="10" s="1"/>
  <c r="K343" i="10"/>
  <c r="H345" i="10"/>
  <c r="I344" i="10"/>
  <c r="F352" i="10" l="1"/>
  <c r="E351" i="10"/>
  <c r="G351" i="10"/>
  <c r="I345" i="10"/>
  <c r="M344" i="10"/>
  <c r="H346" i="10"/>
  <c r="L344" i="10"/>
  <c r="J345" i="10"/>
  <c r="F353" i="10" l="1"/>
  <c r="E352" i="10"/>
  <c r="G352" i="10"/>
  <c r="L345" i="10"/>
  <c r="M345" i="10"/>
  <c r="J346" i="10"/>
  <c r="K346" i="10" s="1"/>
  <c r="K345" i="10"/>
  <c r="H347" i="10"/>
  <c r="I346" i="10"/>
  <c r="F354" i="10" l="1"/>
  <c r="E353" i="10"/>
  <c r="G353" i="10"/>
  <c r="I347" i="10"/>
  <c r="M346" i="10"/>
  <c r="L346" i="10"/>
  <c r="H348" i="10"/>
  <c r="J347" i="10"/>
  <c r="F355" i="10" l="1"/>
  <c r="E354" i="10"/>
  <c r="G354" i="10"/>
  <c r="L347" i="10"/>
  <c r="M347" i="10"/>
  <c r="J348" i="10"/>
  <c r="K348" i="10" s="1"/>
  <c r="K347" i="10"/>
  <c r="H349" i="10"/>
  <c r="I348" i="10"/>
  <c r="F356" i="10" l="1"/>
  <c r="E355" i="10"/>
  <c r="G355" i="10"/>
  <c r="I349" i="10"/>
  <c r="L348" i="10"/>
  <c r="M348" i="10"/>
  <c r="H350" i="10"/>
  <c r="J349" i="10"/>
  <c r="F357" i="10" l="1"/>
  <c r="E356" i="10"/>
  <c r="G356" i="10"/>
  <c r="M349" i="10"/>
  <c r="L349" i="10"/>
  <c r="I350" i="10"/>
  <c r="J350" i="10"/>
  <c r="K350" i="10" s="1"/>
  <c r="K349" i="10"/>
  <c r="H351" i="10"/>
  <c r="F358" i="10" l="1"/>
  <c r="E357" i="10"/>
  <c r="G357" i="10"/>
  <c r="M350" i="10"/>
  <c r="L350" i="10"/>
  <c r="H352" i="10"/>
  <c r="I351" i="10"/>
  <c r="J351" i="10"/>
  <c r="F359" i="10" l="1"/>
  <c r="E358" i="10"/>
  <c r="G358" i="10"/>
  <c r="I352" i="10"/>
  <c r="J352" i="10"/>
  <c r="K352" i="10" s="1"/>
  <c r="K351" i="10"/>
  <c r="M351" i="10"/>
  <c r="H353" i="10"/>
  <c r="L351" i="10"/>
  <c r="F360" i="10" l="1"/>
  <c r="E359" i="10"/>
  <c r="G359" i="10"/>
  <c r="L352" i="10"/>
  <c r="M352" i="10"/>
  <c r="I353" i="10"/>
  <c r="H354" i="10"/>
  <c r="J353" i="10"/>
  <c r="F361" i="10" l="1"/>
  <c r="E360" i="10"/>
  <c r="G360" i="10"/>
  <c r="L353" i="10"/>
  <c r="M353" i="10"/>
  <c r="J354" i="10"/>
  <c r="K354" i="10" s="1"/>
  <c r="K353" i="10"/>
  <c r="H355" i="10"/>
  <c r="I354" i="10"/>
  <c r="F362" i="10" l="1"/>
  <c r="E361" i="10"/>
  <c r="G361" i="10"/>
  <c r="I355" i="10"/>
  <c r="M354" i="10"/>
  <c r="L354" i="10"/>
  <c r="H356" i="10"/>
  <c r="J355" i="10"/>
  <c r="F363" i="10" l="1"/>
  <c r="E362" i="10"/>
  <c r="G362" i="10"/>
  <c r="M355" i="10"/>
  <c r="L355" i="10"/>
  <c r="J356" i="10"/>
  <c r="K356" i="10" s="1"/>
  <c r="K355" i="10"/>
  <c r="H357" i="10"/>
  <c r="I356" i="10"/>
  <c r="F364" i="10" l="1"/>
  <c r="E363" i="10"/>
  <c r="G363" i="10"/>
  <c r="I357" i="10"/>
  <c r="L356" i="10"/>
  <c r="M356" i="10"/>
  <c r="H358" i="10"/>
  <c r="J357" i="10"/>
  <c r="F365" i="10" l="1"/>
  <c r="E364" i="10"/>
  <c r="G364" i="10"/>
  <c r="M357" i="10"/>
  <c r="L357" i="10"/>
  <c r="J358" i="10"/>
  <c r="K358" i="10" s="1"/>
  <c r="K357" i="10"/>
  <c r="I358" i="10"/>
  <c r="H359" i="10"/>
  <c r="F366" i="10" l="1"/>
  <c r="E365" i="10"/>
  <c r="G365" i="10"/>
  <c r="M358" i="10"/>
  <c r="L358" i="10"/>
  <c r="H360" i="10"/>
  <c r="J359" i="10"/>
  <c r="I359" i="10"/>
  <c r="F367" i="10" l="1"/>
  <c r="E366" i="10"/>
  <c r="G366" i="10"/>
  <c r="I360" i="10"/>
  <c r="J360" i="10"/>
  <c r="K360" i="10" s="1"/>
  <c r="K359" i="10"/>
  <c r="M359" i="10"/>
  <c r="H361" i="10"/>
  <c r="L359" i="10"/>
  <c r="F368" i="10" l="1"/>
  <c r="E367" i="10"/>
  <c r="G367" i="10"/>
  <c r="L360" i="10"/>
  <c r="J361" i="10"/>
  <c r="K361" i="10" s="1"/>
  <c r="M360" i="10"/>
  <c r="H362" i="10"/>
  <c r="I361" i="10"/>
  <c r="F369" i="10" l="1"/>
  <c r="E368" i="10"/>
  <c r="G368" i="10"/>
  <c r="I362" i="10"/>
  <c r="M361" i="10"/>
  <c r="L361" i="10"/>
  <c r="H363" i="10"/>
  <c r="J362" i="10"/>
  <c r="F370" i="10" l="1"/>
  <c r="E369" i="10"/>
  <c r="G369" i="10"/>
  <c r="L362" i="10"/>
  <c r="M362" i="10"/>
  <c r="I363" i="10"/>
  <c r="J363" i="10"/>
  <c r="K363" i="10" s="1"/>
  <c r="K362" i="10"/>
  <c r="H364" i="10"/>
  <c r="F371" i="10" l="1"/>
  <c r="E370" i="10"/>
  <c r="G370" i="10"/>
  <c r="M363" i="10"/>
  <c r="L363" i="10"/>
  <c r="J364" i="10"/>
  <c r="K364" i="10" s="1"/>
  <c r="H365" i="10"/>
  <c r="I364" i="10"/>
  <c r="F372" i="10" l="1"/>
  <c r="E371" i="10"/>
  <c r="G371" i="10"/>
  <c r="I365" i="10"/>
  <c r="J365" i="10"/>
  <c r="K365" i="10" s="1"/>
  <c r="M364" i="10"/>
  <c r="H366" i="10"/>
  <c r="L364" i="10"/>
  <c r="F373" i="10" l="1"/>
  <c r="E372" i="10"/>
  <c r="G372" i="10"/>
  <c r="L365" i="10"/>
  <c r="M365" i="10"/>
  <c r="I366" i="10"/>
  <c r="H367" i="10"/>
  <c r="J366" i="10"/>
  <c r="F374" i="10" l="1"/>
  <c r="E373" i="10"/>
  <c r="G373" i="10"/>
  <c r="L366" i="10"/>
  <c r="M366" i="10"/>
  <c r="J367" i="10"/>
  <c r="K367" i="10" s="1"/>
  <c r="K366" i="10"/>
  <c r="H368" i="10"/>
  <c r="I367" i="10"/>
  <c r="F375" i="10" l="1"/>
  <c r="E374" i="10"/>
  <c r="G374" i="10"/>
  <c r="L367" i="10"/>
  <c r="I368" i="10"/>
  <c r="J368" i="10"/>
  <c r="K368" i="10" s="1"/>
  <c r="M367" i="10"/>
  <c r="M368" i="10" s="1"/>
  <c r="H369" i="10"/>
  <c r="F376" i="10" l="1"/>
  <c r="E375" i="10"/>
  <c r="G375" i="10"/>
  <c r="L368" i="10"/>
  <c r="J369" i="10"/>
  <c r="K369" i="10" s="1"/>
  <c r="H370" i="10"/>
  <c r="I369" i="10"/>
  <c r="M369" i="10" s="1"/>
  <c r="F377" i="10" l="1"/>
  <c r="E376" i="10"/>
  <c r="G376" i="10"/>
  <c r="H371" i="10"/>
  <c r="I370" i="10"/>
  <c r="L369" i="10"/>
  <c r="L370" i="10" s="1"/>
  <c r="J370" i="10"/>
  <c r="F378" i="10" l="1"/>
  <c r="E377" i="10"/>
  <c r="G377" i="10"/>
  <c r="I371" i="10"/>
  <c r="L371" i="10" s="1"/>
  <c r="M370" i="10"/>
  <c r="J371" i="10"/>
  <c r="K371" i="10" s="1"/>
  <c r="K370" i="10"/>
  <c r="H372" i="10"/>
  <c r="F379" i="10" l="1"/>
  <c r="E378" i="10"/>
  <c r="G378" i="10"/>
  <c r="M371" i="10"/>
  <c r="H373" i="10"/>
  <c r="I372" i="10"/>
  <c r="L372" i="10" s="1"/>
  <c r="J372" i="10"/>
  <c r="F380" i="10" l="1"/>
  <c r="E379" i="10"/>
  <c r="G379" i="10"/>
  <c r="I373" i="10"/>
  <c r="L373" i="10" s="1"/>
  <c r="M372" i="10"/>
  <c r="J373" i="10"/>
  <c r="K373" i="10" s="1"/>
  <c r="K372" i="10"/>
  <c r="H374" i="10"/>
  <c r="F381" i="10" l="1"/>
  <c r="E380" i="10"/>
  <c r="G380" i="10"/>
  <c r="M373" i="10"/>
  <c r="H375" i="10"/>
  <c r="I374" i="10"/>
  <c r="L374" i="10" s="1"/>
  <c r="J374" i="10"/>
  <c r="F382" i="10" l="1"/>
  <c r="E381" i="10"/>
  <c r="G381" i="10"/>
  <c r="I375" i="10"/>
  <c r="L375" i="10" s="1"/>
  <c r="M374" i="10"/>
  <c r="J375" i="10"/>
  <c r="K375" i="10" s="1"/>
  <c r="K374" i="10"/>
  <c r="H376" i="10"/>
  <c r="F383" i="10" l="1"/>
  <c r="E382" i="10"/>
  <c r="G382" i="10"/>
  <c r="M375" i="10"/>
  <c r="J376" i="10"/>
  <c r="K376" i="10" s="1"/>
  <c r="I376" i="10"/>
  <c r="H377" i="10"/>
  <c r="F384" i="10" l="1"/>
  <c r="E383" i="10"/>
  <c r="G383" i="10"/>
  <c r="M376" i="10"/>
  <c r="L376" i="10"/>
  <c r="H378" i="10"/>
  <c r="I377" i="10"/>
  <c r="J377" i="10"/>
  <c r="F385" i="10" l="1"/>
  <c r="E384" i="10"/>
  <c r="G384" i="10"/>
  <c r="I378" i="10"/>
  <c r="M377" i="10"/>
  <c r="J378" i="10"/>
  <c r="K378" i="10" s="1"/>
  <c r="K377" i="10"/>
  <c r="H379" i="10"/>
  <c r="L377" i="10"/>
  <c r="F386" i="10" l="1"/>
  <c r="E385" i="10"/>
  <c r="G385" i="10"/>
  <c r="L378" i="10"/>
  <c r="I379" i="10"/>
  <c r="M378" i="10"/>
  <c r="H380" i="10"/>
  <c r="J379" i="10"/>
  <c r="F387" i="10" l="1"/>
  <c r="E386" i="10"/>
  <c r="G386" i="10"/>
  <c r="L379" i="10"/>
  <c r="M379" i="10"/>
  <c r="J380" i="10"/>
  <c r="K380" i="10" s="1"/>
  <c r="K379" i="10"/>
  <c r="H381" i="10"/>
  <c r="I380" i="10"/>
  <c r="F388" i="10" l="1"/>
  <c r="E387" i="10"/>
  <c r="G387" i="10"/>
  <c r="I381" i="10"/>
  <c r="L380" i="10"/>
  <c r="M380" i="10"/>
  <c r="H382" i="10"/>
  <c r="J381" i="10"/>
  <c r="F389" i="10" l="1"/>
  <c r="E388" i="10"/>
  <c r="G388" i="10"/>
  <c r="M381" i="10"/>
  <c r="L381" i="10"/>
  <c r="J382" i="10"/>
  <c r="K382" i="10" s="1"/>
  <c r="K381" i="10"/>
  <c r="H383" i="10"/>
  <c r="I382" i="10"/>
  <c r="F390" i="10" l="1"/>
  <c r="E389" i="10"/>
  <c r="G389" i="10"/>
  <c r="I383" i="10"/>
  <c r="M382" i="10"/>
  <c r="L382" i="10"/>
  <c r="H384" i="10"/>
  <c r="J383" i="10"/>
  <c r="F391" i="10" l="1"/>
  <c r="E390" i="10"/>
  <c r="G390" i="10"/>
  <c r="M383" i="10"/>
  <c r="L383" i="10"/>
  <c r="J384" i="10"/>
  <c r="K384" i="10" s="1"/>
  <c r="K383" i="10"/>
  <c r="H385" i="10"/>
  <c r="I384" i="10"/>
  <c r="F392" i="10" l="1"/>
  <c r="E391" i="10"/>
  <c r="G391" i="10"/>
  <c r="I385" i="10"/>
  <c r="L384" i="10"/>
  <c r="M384" i="10"/>
  <c r="H386" i="10"/>
  <c r="J385" i="10"/>
  <c r="F393" i="10" l="1"/>
  <c r="E392" i="10"/>
  <c r="G392" i="10"/>
  <c r="I386" i="10"/>
  <c r="M385" i="10"/>
  <c r="L385" i="10"/>
  <c r="J386" i="10"/>
  <c r="K386" i="10" s="1"/>
  <c r="K385" i="10"/>
  <c r="H387" i="10"/>
  <c r="F394" i="10" l="1"/>
  <c r="E393" i="10"/>
  <c r="G393" i="10"/>
  <c r="L386" i="10"/>
  <c r="M386" i="10"/>
  <c r="I387" i="10"/>
  <c r="H388" i="10"/>
  <c r="J387" i="10"/>
  <c r="F395" i="10" l="1"/>
  <c r="E394" i="10"/>
  <c r="G394" i="10"/>
  <c r="M387" i="10"/>
  <c r="L387" i="10"/>
  <c r="I388" i="10"/>
  <c r="J388" i="10"/>
  <c r="K388" i="10" s="1"/>
  <c r="K387" i="10"/>
  <c r="H389" i="10"/>
  <c r="F396" i="10" l="1"/>
  <c r="E395" i="10"/>
  <c r="G395" i="10"/>
  <c r="M388" i="10"/>
  <c r="L388" i="10"/>
  <c r="J389" i="10"/>
  <c r="K389" i="10" s="1"/>
  <c r="H390" i="10"/>
  <c r="I389" i="10"/>
  <c r="F397" i="10" l="1"/>
  <c r="E396" i="10"/>
  <c r="G396" i="10"/>
  <c r="I390" i="10"/>
  <c r="M389" i="10"/>
  <c r="H391" i="10"/>
  <c r="L389" i="10"/>
  <c r="J390" i="10"/>
  <c r="F398" i="10" l="1"/>
  <c r="E397" i="10"/>
  <c r="G397" i="10"/>
  <c r="L390" i="10"/>
  <c r="M390" i="10"/>
  <c r="J391" i="10"/>
  <c r="K391" i="10" s="1"/>
  <c r="K390" i="10"/>
  <c r="H392" i="10"/>
  <c r="I391" i="10"/>
  <c r="F399" i="10" l="1"/>
  <c r="E398" i="10"/>
  <c r="G398" i="10"/>
  <c r="M391" i="10"/>
  <c r="I392" i="10"/>
  <c r="H393" i="10"/>
  <c r="L391" i="10"/>
  <c r="J392" i="10"/>
  <c r="F400" i="10" l="1"/>
  <c r="E399" i="10"/>
  <c r="G399" i="10"/>
  <c r="M392" i="10"/>
  <c r="L392" i="10"/>
  <c r="J393" i="10"/>
  <c r="K393" i="10" s="1"/>
  <c r="K392" i="10"/>
  <c r="H394" i="10"/>
  <c r="I393" i="10"/>
  <c r="F401" i="10" l="1"/>
  <c r="E400" i="10"/>
  <c r="G400" i="10"/>
  <c r="I394" i="10"/>
  <c r="M393" i="10"/>
  <c r="H395" i="10"/>
  <c r="L393" i="10"/>
  <c r="J394" i="10"/>
  <c r="F402" i="10" l="1"/>
  <c r="E401" i="10"/>
  <c r="G401" i="10"/>
  <c r="L394" i="10"/>
  <c r="M394" i="10"/>
  <c r="J395" i="10"/>
  <c r="K395" i="10" s="1"/>
  <c r="K394" i="10"/>
  <c r="H396" i="10"/>
  <c r="I395" i="10"/>
  <c r="F403" i="10" l="1"/>
  <c r="E402" i="10"/>
  <c r="G402" i="10"/>
  <c r="I396" i="10"/>
  <c r="M395" i="10"/>
  <c r="H397" i="10"/>
  <c r="J396" i="10"/>
  <c r="L395" i="10"/>
  <c r="F404" i="10" l="1"/>
  <c r="E403" i="10"/>
  <c r="G403" i="10"/>
  <c r="L396" i="10"/>
  <c r="M396" i="10"/>
  <c r="J397" i="10"/>
  <c r="K397" i="10" s="1"/>
  <c r="K396" i="10"/>
  <c r="H398" i="10"/>
  <c r="I397" i="10"/>
  <c r="F405" i="10" l="1"/>
  <c r="E404" i="10"/>
  <c r="G404" i="10"/>
  <c r="I398" i="10"/>
  <c r="M397" i="10"/>
  <c r="L397" i="10"/>
  <c r="H399" i="10"/>
  <c r="J398" i="10"/>
  <c r="F406" i="10" l="1"/>
  <c r="E405" i="10"/>
  <c r="G405" i="10"/>
  <c r="M398" i="10"/>
  <c r="L398" i="10"/>
  <c r="J399" i="10"/>
  <c r="K399" i="10" s="1"/>
  <c r="K398" i="10"/>
  <c r="H400" i="10"/>
  <c r="I399" i="10"/>
  <c r="F407" i="10" l="1"/>
  <c r="E406" i="10"/>
  <c r="G406" i="10"/>
  <c r="L399" i="10"/>
  <c r="I400" i="10"/>
  <c r="M399" i="10"/>
  <c r="H401" i="10"/>
  <c r="J400" i="10"/>
  <c r="F408" i="10" l="1"/>
  <c r="E407" i="10"/>
  <c r="G407" i="10"/>
  <c r="L400" i="10"/>
  <c r="M400" i="10"/>
  <c r="J401" i="10"/>
  <c r="K401" i="10" s="1"/>
  <c r="K400" i="10"/>
  <c r="H402" i="10"/>
  <c r="I401" i="10"/>
  <c r="F409" i="10" l="1"/>
  <c r="E408" i="10"/>
  <c r="G408" i="10"/>
  <c r="M401" i="10"/>
  <c r="H403" i="10"/>
  <c r="I402" i="10"/>
  <c r="L401" i="10"/>
  <c r="L402" i="10" s="1"/>
  <c r="J402" i="10"/>
  <c r="F410" i="10" l="1"/>
  <c r="E409" i="10"/>
  <c r="G409" i="10"/>
  <c r="M402" i="10"/>
  <c r="I403" i="10"/>
  <c r="J403" i="10"/>
  <c r="K403" i="10" s="1"/>
  <c r="K402" i="10"/>
  <c r="H404" i="10"/>
  <c r="F411" i="10" l="1"/>
  <c r="E410" i="10"/>
  <c r="G410" i="10"/>
  <c r="M403" i="10"/>
  <c r="L403" i="10"/>
  <c r="H405" i="10"/>
  <c r="I404" i="10"/>
  <c r="J404" i="10"/>
  <c r="F412" i="10" l="1"/>
  <c r="E411" i="10"/>
  <c r="G411" i="10"/>
  <c r="L404" i="10"/>
  <c r="I405" i="10"/>
  <c r="J405" i="10"/>
  <c r="K405" i="10" s="1"/>
  <c r="K404" i="10"/>
  <c r="M404" i="10"/>
  <c r="H406" i="10"/>
  <c r="F413" i="10" l="1"/>
  <c r="E412" i="10"/>
  <c r="G412" i="10"/>
  <c r="L405" i="10"/>
  <c r="M405" i="10"/>
  <c r="I406" i="10"/>
  <c r="H407" i="10"/>
  <c r="J406" i="10"/>
  <c r="F414" i="10" l="1"/>
  <c r="E413" i="10"/>
  <c r="G413" i="10"/>
  <c r="L406" i="10"/>
  <c r="M406" i="10"/>
  <c r="J407" i="10"/>
  <c r="K407" i="10" s="1"/>
  <c r="K406" i="10"/>
  <c r="H408" i="10"/>
  <c r="I407" i="10"/>
  <c r="F415" i="10" l="1"/>
  <c r="E414" i="10"/>
  <c r="G414" i="10"/>
  <c r="I408" i="10"/>
  <c r="M407" i="10"/>
  <c r="H409" i="10"/>
  <c r="L407" i="10"/>
  <c r="J408" i="10"/>
  <c r="F416" i="10" l="1"/>
  <c r="E415" i="10"/>
  <c r="G415" i="10"/>
  <c r="L408" i="10"/>
  <c r="M408" i="10"/>
  <c r="J409" i="10"/>
  <c r="K409" i="10" s="1"/>
  <c r="K408" i="10"/>
  <c r="H410" i="10"/>
  <c r="I409" i="10"/>
  <c r="F417" i="10" l="1"/>
  <c r="E416" i="10"/>
  <c r="G416" i="10"/>
  <c r="I410" i="10"/>
  <c r="M409" i="10"/>
  <c r="H411" i="10"/>
  <c r="L409" i="10"/>
  <c r="J410" i="10"/>
  <c r="F418" i="10" l="1"/>
  <c r="E417" i="10"/>
  <c r="G417" i="10"/>
  <c r="L410" i="10"/>
  <c r="M410" i="10"/>
  <c r="J411" i="10"/>
  <c r="K411" i="10" s="1"/>
  <c r="K410" i="10"/>
  <c r="H412" i="10"/>
  <c r="I411" i="10"/>
  <c r="F419" i="10" l="1"/>
  <c r="E418" i="10"/>
  <c r="G418" i="10"/>
  <c r="I412" i="10"/>
  <c r="M411" i="10"/>
  <c r="H413" i="10"/>
  <c r="J412" i="10"/>
  <c r="L411" i="10"/>
  <c r="F420" i="10" l="1"/>
  <c r="E419" i="10"/>
  <c r="G419" i="10"/>
  <c r="L412" i="10"/>
  <c r="M412" i="10"/>
  <c r="J413" i="10"/>
  <c r="K413" i="10" s="1"/>
  <c r="K412" i="10"/>
  <c r="I413" i="10"/>
  <c r="H414" i="10"/>
  <c r="F421" i="10" l="1"/>
  <c r="E420" i="10"/>
  <c r="G420" i="10"/>
  <c r="L413" i="10"/>
  <c r="M413" i="10"/>
  <c r="I414" i="10"/>
  <c r="H415" i="10"/>
  <c r="J414" i="10"/>
  <c r="F422" i="10" l="1"/>
  <c r="E421" i="10"/>
  <c r="G421" i="10"/>
  <c r="L414" i="10"/>
  <c r="J415" i="10"/>
  <c r="K415" i="10" s="1"/>
  <c r="K414" i="10"/>
  <c r="M414" i="10"/>
  <c r="H416" i="10"/>
  <c r="I415" i="10"/>
  <c r="F423" i="10" l="1"/>
  <c r="E422" i="10"/>
  <c r="G422" i="10"/>
  <c r="L415" i="10"/>
  <c r="I416" i="10"/>
  <c r="M415" i="10"/>
  <c r="H417" i="10"/>
  <c r="J416" i="10"/>
  <c r="F424" i="10" l="1"/>
  <c r="E423" i="10"/>
  <c r="G423" i="10"/>
  <c r="L416" i="10"/>
  <c r="M416" i="10"/>
  <c r="I417" i="10"/>
  <c r="J417" i="10"/>
  <c r="K417" i="10" s="1"/>
  <c r="K416" i="10"/>
  <c r="H418" i="10"/>
  <c r="F425" i="10" l="1"/>
  <c r="E424" i="10"/>
  <c r="G424" i="10"/>
  <c r="M417" i="10"/>
  <c r="L417" i="10"/>
  <c r="J418" i="10"/>
  <c r="K418" i="10" s="1"/>
  <c r="H419" i="10"/>
  <c r="I418" i="10"/>
  <c r="F426" i="10" l="1"/>
  <c r="E425" i="10"/>
  <c r="G425" i="10"/>
  <c r="I419" i="10"/>
  <c r="M418" i="10"/>
  <c r="L418" i="10"/>
  <c r="H420" i="10"/>
  <c r="J419" i="10"/>
  <c r="F427" i="10" l="1"/>
  <c r="E426" i="10"/>
  <c r="G426" i="10"/>
  <c r="L419" i="10"/>
  <c r="M419" i="10"/>
  <c r="J420" i="10"/>
  <c r="K420" i="10" s="1"/>
  <c r="K419" i="10"/>
  <c r="H421" i="10"/>
  <c r="I420" i="10"/>
  <c r="F428" i="10" l="1"/>
  <c r="E427" i="10"/>
  <c r="G427" i="10"/>
  <c r="I421" i="10"/>
  <c r="L420" i="10"/>
  <c r="M420" i="10"/>
  <c r="H422" i="10"/>
  <c r="J421" i="10"/>
  <c r="F429" i="10" l="1"/>
  <c r="E428" i="10"/>
  <c r="G428" i="10"/>
  <c r="M421" i="10"/>
  <c r="L421" i="10"/>
  <c r="J422" i="10"/>
  <c r="K422" i="10" s="1"/>
  <c r="K421" i="10"/>
  <c r="H423" i="10"/>
  <c r="I422" i="10"/>
  <c r="F430" i="10" l="1"/>
  <c r="E429" i="10"/>
  <c r="G429" i="10"/>
  <c r="M422" i="10"/>
  <c r="I423" i="10"/>
  <c r="L422" i="10"/>
  <c r="H424" i="10"/>
  <c r="J423" i="10"/>
  <c r="F431" i="10" l="1"/>
  <c r="E430" i="10"/>
  <c r="G430" i="10"/>
  <c r="M423" i="10"/>
  <c r="L423" i="10"/>
  <c r="J424" i="10"/>
  <c r="K424" i="10" s="1"/>
  <c r="K423" i="10"/>
  <c r="H425" i="10"/>
  <c r="I424" i="10"/>
  <c r="F432" i="10" l="1"/>
  <c r="E431" i="10"/>
  <c r="G431" i="10"/>
  <c r="I425" i="10"/>
  <c r="L424" i="10"/>
  <c r="M424" i="10"/>
  <c r="H426" i="10"/>
  <c r="J425" i="10"/>
  <c r="F433" i="10" l="1"/>
  <c r="E432" i="10"/>
  <c r="G432" i="10"/>
  <c r="M425" i="10"/>
  <c r="L425" i="10"/>
  <c r="J426" i="10"/>
  <c r="K426" i="10" s="1"/>
  <c r="K425" i="10"/>
  <c r="H427" i="10"/>
  <c r="I426" i="10"/>
  <c r="F434" i="10" l="1"/>
  <c r="E433" i="10"/>
  <c r="G433" i="10"/>
  <c r="I427" i="10"/>
  <c r="J427" i="10"/>
  <c r="K427" i="10" s="1"/>
  <c r="M426" i="10"/>
  <c r="L426" i="10"/>
  <c r="H428" i="10"/>
  <c r="F435" i="10" l="1"/>
  <c r="E434" i="10"/>
  <c r="G434" i="10"/>
  <c r="L427" i="10"/>
  <c r="M427" i="10"/>
  <c r="H429" i="10"/>
  <c r="J428" i="10"/>
  <c r="I428" i="10"/>
  <c r="F436" i="10" l="1"/>
  <c r="E435" i="10"/>
  <c r="G435" i="10"/>
  <c r="I429" i="10"/>
  <c r="J429" i="10"/>
  <c r="K429" i="10" s="1"/>
  <c r="K428" i="10"/>
  <c r="M428" i="10"/>
  <c r="L428" i="10"/>
  <c r="H430" i="10"/>
  <c r="F437" i="10" l="1"/>
  <c r="E436" i="10"/>
  <c r="G436" i="10"/>
  <c r="L429" i="10"/>
  <c r="M429" i="10"/>
  <c r="J430" i="10"/>
  <c r="K430" i="10" s="1"/>
  <c r="H431" i="10"/>
  <c r="I430" i="10"/>
  <c r="F438" i="10" l="1"/>
  <c r="E437" i="10"/>
  <c r="G437" i="10"/>
  <c r="I431" i="10"/>
  <c r="M430" i="10"/>
  <c r="L430" i="10"/>
  <c r="H432" i="10"/>
  <c r="J431" i="10"/>
  <c r="F439" i="10" l="1"/>
  <c r="E438" i="10"/>
  <c r="G438" i="10"/>
  <c r="M431" i="10"/>
  <c r="L431" i="10"/>
  <c r="J432" i="10"/>
  <c r="K432" i="10" s="1"/>
  <c r="K431" i="10"/>
  <c r="H433" i="10"/>
  <c r="I432" i="10"/>
  <c r="F440" i="10" l="1"/>
  <c r="E439" i="10"/>
  <c r="G439" i="10"/>
  <c r="I433" i="10"/>
  <c r="L432" i="10"/>
  <c r="M432" i="10"/>
  <c r="H434" i="10"/>
  <c r="J433" i="10"/>
  <c r="F441" i="10" l="1"/>
  <c r="E440" i="10"/>
  <c r="G440" i="10"/>
  <c r="L433" i="10"/>
  <c r="M433" i="10"/>
  <c r="J434" i="10"/>
  <c r="K434" i="10" s="1"/>
  <c r="K433" i="10"/>
  <c r="H435" i="10"/>
  <c r="I434" i="10"/>
  <c r="F442" i="10" l="1"/>
  <c r="E441" i="10"/>
  <c r="G441" i="10"/>
  <c r="M434" i="10"/>
  <c r="H436" i="10"/>
  <c r="I435" i="10"/>
  <c r="L434" i="10"/>
  <c r="J435" i="10"/>
  <c r="F443" i="10" l="1"/>
  <c r="E442" i="10"/>
  <c r="G442" i="10"/>
  <c r="L435" i="10"/>
  <c r="I436" i="10"/>
  <c r="J436" i="10"/>
  <c r="K436" i="10" s="1"/>
  <c r="K435" i="10"/>
  <c r="M435" i="10"/>
  <c r="H437" i="10"/>
  <c r="F444" i="10" l="1"/>
  <c r="E443" i="10"/>
  <c r="G443" i="10"/>
  <c r="L436" i="10"/>
  <c r="M436" i="10"/>
  <c r="H438" i="10"/>
  <c r="I437" i="10"/>
  <c r="J437" i="10"/>
  <c r="F445" i="10" l="1"/>
  <c r="E444" i="10"/>
  <c r="G444" i="10"/>
  <c r="L437" i="10"/>
  <c r="I438" i="10"/>
  <c r="J438" i="10"/>
  <c r="K438" i="10" s="1"/>
  <c r="K437" i="10"/>
  <c r="M437" i="10"/>
  <c r="H439" i="10"/>
  <c r="F446" i="10" l="1"/>
  <c r="E445" i="10"/>
  <c r="G445" i="10"/>
  <c r="L438" i="10"/>
  <c r="M438" i="10"/>
  <c r="I439" i="10"/>
  <c r="H440" i="10"/>
  <c r="J439" i="10"/>
  <c r="F447" i="10" l="1"/>
  <c r="E446" i="10"/>
  <c r="G446" i="10"/>
  <c r="M439" i="10"/>
  <c r="L439" i="10"/>
  <c r="I440" i="10"/>
  <c r="J440" i="10"/>
  <c r="K440" i="10" s="1"/>
  <c r="K439" i="10"/>
  <c r="H441" i="10"/>
  <c r="F448" i="10" l="1"/>
  <c r="E447" i="10"/>
  <c r="G447" i="10"/>
  <c r="M440" i="10"/>
  <c r="L440" i="10"/>
  <c r="J441" i="10"/>
  <c r="K441" i="10" s="1"/>
  <c r="H442" i="10"/>
  <c r="I441" i="10"/>
  <c r="F449" i="10" l="1"/>
  <c r="E448" i="10"/>
  <c r="G448" i="10"/>
  <c r="L441" i="10"/>
  <c r="I442" i="10"/>
  <c r="M441" i="10"/>
  <c r="H443" i="10"/>
  <c r="J442" i="10"/>
  <c r="F450" i="10" l="1"/>
  <c r="E449" i="10"/>
  <c r="G449" i="10"/>
  <c r="L442" i="10"/>
  <c r="M442" i="10"/>
  <c r="J443" i="10"/>
  <c r="K443" i="10" s="1"/>
  <c r="K442" i="10"/>
  <c r="H444" i="10"/>
  <c r="I443" i="10"/>
  <c r="F451" i="10" l="1"/>
  <c r="E450" i="10"/>
  <c r="G450" i="10"/>
  <c r="M443" i="10"/>
  <c r="H445" i="10"/>
  <c r="I444" i="10"/>
  <c r="L443" i="10"/>
  <c r="J444" i="10"/>
  <c r="F452" i="10" l="1"/>
  <c r="E451" i="10"/>
  <c r="G451" i="10"/>
  <c r="L444" i="10"/>
  <c r="I445" i="10"/>
  <c r="J445" i="10"/>
  <c r="K445" i="10" s="1"/>
  <c r="K444" i="10"/>
  <c r="M444" i="10"/>
  <c r="H446" i="10"/>
  <c r="L445" i="10" l="1"/>
  <c r="F453" i="10"/>
  <c r="E452" i="10"/>
  <c r="G452" i="10"/>
  <c r="M445" i="10"/>
  <c r="J446" i="10"/>
  <c r="K446" i="10" s="1"/>
  <c r="I446" i="10"/>
  <c r="L446" i="10" s="1"/>
  <c r="H447" i="10"/>
  <c r="F454" i="10" l="1"/>
  <c r="E453" i="10"/>
  <c r="G453" i="10"/>
  <c r="M446" i="10"/>
  <c r="H448" i="10"/>
  <c r="I447" i="10"/>
  <c r="J447" i="10"/>
  <c r="F455" i="10" l="1"/>
  <c r="E454" i="10"/>
  <c r="G454" i="10"/>
  <c r="I448" i="10"/>
  <c r="J448" i="10"/>
  <c r="K448" i="10" s="1"/>
  <c r="K447" i="10"/>
  <c r="M447" i="10"/>
  <c r="H449" i="10"/>
  <c r="L447" i="10"/>
  <c r="F456" i="10" l="1"/>
  <c r="E455" i="10"/>
  <c r="G455" i="10"/>
  <c r="L448" i="10"/>
  <c r="M448" i="10"/>
  <c r="I449" i="10"/>
  <c r="H450" i="10"/>
  <c r="J449" i="10"/>
  <c r="F457" i="10" l="1"/>
  <c r="E456" i="10"/>
  <c r="G456" i="10"/>
  <c r="L449" i="10"/>
  <c r="I450" i="10"/>
  <c r="M449" i="10"/>
  <c r="J450" i="10"/>
  <c r="K450" i="10" s="1"/>
  <c r="K449" i="10"/>
  <c r="H451" i="10"/>
  <c r="F458" i="10" l="1"/>
  <c r="E457" i="10"/>
  <c r="G457" i="10"/>
  <c r="L450" i="10"/>
  <c r="M450" i="10"/>
  <c r="I451" i="10"/>
  <c r="H452" i="10"/>
  <c r="J451" i="10"/>
  <c r="F459" i="10" l="1"/>
  <c r="E458" i="10"/>
  <c r="G458" i="10"/>
  <c r="L451" i="10"/>
  <c r="M451" i="10"/>
  <c r="J452" i="10"/>
  <c r="K452" i="10" s="1"/>
  <c r="K451" i="10"/>
  <c r="H453" i="10"/>
  <c r="I452" i="10"/>
  <c r="F460" i="10" l="1"/>
  <c r="E459" i="10"/>
  <c r="G459" i="10"/>
  <c r="I453" i="10"/>
  <c r="M452" i="10"/>
  <c r="J453" i="10"/>
  <c r="K453" i="10" s="1"/>
  <c r="L452" i="10"/>
  <c r="H454" i="10"/>
  <c r="F461" i="10" l="1"/>
  <c r="E460" i="10"/>
  <c r="G460" i="10"/>
  <c r="L453" i="10"/>
  <c r="M453" i="10"/>
  <c r="H455" i="10"/>
  <c r="I454" i="10"/>
  <c r="J454" i="10"/>
  <c r="F462" i="10" l="1"/>
  <c r="E461" i="10"/>
  <c r="G461" i="10"/>
  <c r="I455" i="10"/>
  <c r="L454" i="10"/>
  <c r="J455" i="10"/>
  <c r="K455" i="10" s="1"/>
  <c r="K454" i="10"/>
  <c r="M454" i="10"/>
  <c r="H456" i="10"/>
  <c r="F463" i="10" l="1"/>
  <c r="E462" i="10"/>
  <c r="G462" i="10"/>
  <c r="M455" i="10"/>
  <c r="L455" i="10"/>
  <c r="H457" i="10"/>
  <c r="I456" i="10"/>
  <c r="J456" i="10"/>
  <c r="F464" i="10" l="1"/>
  <c r="E463" i="10"/>
  <c r="G463" i="10"/>
  <c r="L456" i="10"/>
  <c r="I457" i="10"/>
  <c r="J457" i="10"/>
  <c r="K457" i="10" s="1"/>
  <c r="K456" i="10"/>
  <c r="M456" i="10"/>
  <c r="H458" i="10"/>
  <c r="F465" i="10" l="1"/>
  <c r="E464" i="10"/>
  <c r="G464" i="10"/>
  <c r="L457" i="10"/>
  <c r="M457" i="10"/>
  <c r="H459" i="10"/>
  <c r="I458" i="10"/>
  <c r="J458" i="10"/>
  <c r="F466" i="10" l="1"/>
  <c r="E465" i="10"/>
  <c r="G465" i="10"/>
  <c r="L458" i="10"/>
  <c r="I459" i="10"/>
  <c r="J459" i="10"/>
  <c r="K459" i="10" s="1"/>
  <c r="K458" i="10"/>
  <c r="M458" i="10"/>
  <c r="H460" i="10"/>
  <c r="F467" i="10" l="1"/>
  <c r="E466" i="10"/>
  <c r="G466" i="10"/>
  <c r="L459" i="10"/>
  <c r="M459" i="10"/>
  <c r="H461" i="10"/>
  <c r="I460" i="10"/>
  <c r="J460" i="10"/>
  <c r="E467" i="10" l="1"/>
  <c r="F468" i="10"/>
  <c r="G467" i="10"/>
  <c r="H467" i="10" s="1"/>
  <c r="L460" i="10"/>
  <c r="I461" i="10"/>
  <c r="J461" i="10"/>
  <c r="K461" i="10" s="1"/>
  <c r="K460" i="10"/>
  <c r="M460" i="10"/>
  <c r="H462" i="10"/>
  <c r="E468" i="10" l="1"/>
  <c r="F469" i="10"/>
  <c r="G468" i="10"/>
  <c r="H468" i="10" s="1"/>
  <c r="L461" i="10"/>
  <c r="M461" i="10"/>
  <c r="I462" i="10"/>
  <c r="H463" i="10"/>
  <c r="J462" i="10"/>
  <c r="E469" i="10" l="1"/>
  <c r="F470" i="10"/>
  <c r="G469" i="10"/>
  <c r="H469" i="10" s="1"/>
  <c r="M462" i="10"/>
  <c r="L462" i="10"/>
  <c r="I463" i="10"/>
  <c r="J463" i="10"/>
  <c r="K463" i="10" s="1"/>
  <c r="K462" i="10"/>
  <c r="H464" i="10"/>
  <c r="E470" i="10" l="1"/>
  <c r="G470" i="10"/>
  <c r="H470" i="10" s="1"/>
  <c r="F471" i="10"/>
  <c r="L463" i="10"/>
  <c r="M463" i="10"/>
  <c r="J464" i="10"/>
  <c r="K464" i="10" s="1"/>
  <c r="H465" i="10"/>
  <c r="I464" i="10"/>
  <c r="G471" i="10" l="1"/>
  <c r="H471" i="10" s="1"/>
  <c r="E471" i="10"/>
  <c r="F472" i="10"/>
  <c r="L464" i="10"/>
  <c r="I465" i="10"/>
  <c r="M464" i="10"/>
  <c r="H466" i="10"/>
  <c r="J465" i="10"/>
  <c r="G472" i="10" l="1"/>
  <c r="H472" i="10" s="1"/>
  <c r="E472" i="10"/>
  <c r="F473" i="10"/>
  <c r="J466" i="10"/>
  <c r="J467" i="10" s="1"/>
  <c r="M465" i="10"/>
  <c r="I466" i="10"/>
  <c r="I467" i="10" s="1"/>
  <c r="I468" i="10" s="1"/>
  <c r="I469" i="10" s="1"/>
  <c r="I470" i="10" s="1"/>
  <c r="I471" i="10" s="1"/>
  <c r="I472" i="10" s="1"/>
  <c r="L465" i="10"/>
  <c r="K465" i="10"/>
  <c r="G473" i="10" l="1"/>
  <c r="H473" i="10" s="1"/>
  <c r="E473" i="10"/>
  <c r="F474" i="10"/>
  <c r="L466" i="10"/>
  <c r="L467" i="10" s="1"/>
  <c r="L468" i="10" s="1"/>
  <c r="L469" i="10" s="1"/>
  <c r="L470" i="10" s="1"/>
  <c r="L471" i="10" s="1"/>
  <c r="L472" i="10" s="1"/>
  <c r="K466" i="10"/>
  <c r="J468" i="10"/>
  <c r="K467" i="10"/>
  <c r="M466" i="10"/>
  <c r="M467" i="10" s="1"/>
  <c r="M468" i="10" s="1"/>
  <c r="M469" i="10" s="1"/>
  <c r="M470" i="10" s="1"/>
  <c r="M471" i="10" s="1"/>
  <c r="M472" i="10" s="1"/>
  <c r="I473" i="10" l="1"/>
  <c r="L473" i="10" s="1"/>
  <c r="G474" i="10"/>
  <c r="H474" i="10" s="1"/>
  <c r="E474" i="10"/>
  <c r="F475" i="10"/>
  <c r="J469" i="10"/>
  <c r="K468" i="10"/>
  <c r="M473" i="10" l="1"/>
  <c r="G475" i="10"/>
  <c r="H475" i="10" s="1"/>
  <c r="E475" i="10"/>
  <c r="F476" i="10"/>
  <c r="I474" i="10"/>
  <c r="J470" i="10"/>
  <c r="K469" i="10"/>
  <c r="G476" i="10" l="1"/>
  <c r="H476" i="10" s="1"/>
  <c r="E476" i="10"/>
  <c r="F477" i="10"/>
  <c r="I475" i="10"/>
  <c r="M474" i="10"/>
  <c r="M475" i="10" s="1"/>
  <c r="L474" i="10"/>
  <c r="L475" i="10" s="1"/>
  <c r="J471" i="10"/>
  <c r="K470" i="10"/>
  <c r="G477" i="10" l="1"/>
  <c r="H477" i="10" s="1"/>
  <c r="E477" i="10"/>
  <c r="F478" i="10"/>
  <c r="I476" i="10"/>
  <c r="I477" i="10" s="1"/>
  <c r="J472" i="10"/>
  <c r="K471" i="10"/>
  <c r="L476" i="10" l="1"/>
  <c r="L477" i="10" s="1"/>
  <c r="M476" i="10"/>
  <c r="M477" i="10" s="1"/>
  <c r="G478" i="10"/>
  <c r="H478" i="10" s="1"/>
  <c r="E478" i="10"/>
  <c r="F479" i="10"/>
  <c r="J473" i="10"/>
  <c r="K472" i="10"/>
  <c r="G479" i="10" l="1"/>
  <c r="H479" i="10" s="1"/>
  <c r="E479" i="10"/>
  <c r="F480" i="10"/>
  <c r="I478" i="10"/>
  <c r="M478" i="10" s="1"/>
  <c r="J474" i="10"/>
  <c r="K473" i="10"/>
  <c r="I479" i="10" l="1"/>
  <c r="L478" i="10"/>
  <c r="G480" i="10"/>
  <c r="H480" i="10" s="1"/>
  <c r="E480" i="10"/>
  <c r="F481" i="10"/>
  <c r="J475" i="10"/>
  <c r="K474" i="10"/>
  <c r="I480" i="10" l="1"/>
  <c r="G481" i="10"/>
  <c r="H481" i="10" s="1"/>
  <c r="E481" i="10"/>
  <c r="F482" i="10"/>
  <c r="M479" i="10"/>
  <c r="M480" i="10" s="1"/>
  <c r="L479" i="10"/>
  <c r="L480" i="10" s="1"/>
  <c r="J476" i="10"/>
  <c r="K475" i="10"/>
  <c r="I481" i="10" l="1"/>
  <c r="M481" i="10" s="1"/>
  <c r="L481" i="10"/>
  <c r="G482" i="10"/>
  <c r="H482" i="10" s="1"/>
  <c r="I482" i="10" s="1"/>
  <c r="E482" i="10"/>
  <c r="J477" i="10"/>
  <c r="K476" i="10"/>
  <c r="L482" i="10" l="1"/>
  <c r="M482" i="10"/>
  <c r="J478" i="10"/>
  <c r="K477" i="10"/>
  <c r="J479" i="10" l="1"/>
  <c r="K478" i="10"/>
  <c r="J480" i="10" l="1"/>
  <c r="K479" i="10"/>
  <c r="J481" i="10" l="1"/>
  <c r="K480" i="10"/>
  <c r="J482" i="10" l="1"/>
  <c r="K482" i="10" s="1"/>
  <c r="K481" i="10"/>
  <c r="D11" i="20" l="1"/>
  <c r="H11" i="20" s="1"/>
  <c r="K11" i="20" s="1"/>
  <c r="J11" i="2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T3" authorId="0" shapeId="0" xr:uid="{EF325942-4075-4D43-9D34-C6889241665B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Biomassa final batch</t>
        </r>
      </text>
    </comment>
    <comment ref="T7" authorId="0" shapeId="0" xr:uid="{554AE1A3-76B4-4E4D-8A4A-F6E440757F19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Concentració metanol pur (792 g/l) entre dos perquè s'entrarà el mateix cabal de sals del medi, per tant la concentració real que entrarà serà de 396 g/l</t>
        </r>
      </text>
    </comment>
    <comment ref="T16" authorId="0" shapeId="0" xr:uid="{74F6D136-E019-42AC-8417-AA65956C739B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Cabal inicial total, realment s'ha de dividir entre dos per saber el cabal de metanol i sals per separat</t>
        </r>
      </text>
    </comment>
  </commentList>
</comments>
</file>

<file path=xl/sharedStrings.xml><?xml version="1.0" encoding="utf-8"?>
<sst xmlns="http://schemas.openxmlformats.org/spreadsheetml/2006/main" count="2787" uniqueCount="401">
  <si>
    <t>Filter number</t>
  </si>
  <si>
    <t>Sample</t>
  </si>
  <si>
    <t>Sample volume (ml)</t>
  </si>
  <si>
    <t>Time (h)</t>
  </si>
  <si>
    <t>Dilution</t>
  </si>
  <si>
    <t>Average DO600</t>
  </si>
  <si>
    <t>SD [X]</t>
  </si>
  <si>
    <t>Raw DO600</t>
  </si>
  <si>
    <t>Reactor V (ml)</t>
  </si>
  <si>
    <t>Vo</t>
  </si>
  <si>
    <t>Base</t>
  </si>
  <si>
    <t>NH3 15 %</t>
  </si>
  <si>
    <t>1 vvm</t>
  </si>
  <si>
    <t>Bioreactor:</t>
  </si>
  <si>
    <t xml:space="preserve">pH </t>
  </si>
  <si>
    <t>Genophys</t>
  </si>
  <si>
    <t>T</t>
  </si>
  <si>
    <t>Gli 40 g L</t>
  </si>
  <si>
    <t>rpm</t>
  </si>
  <si>
    <t>MetOH 792 gL</t>
  </si>
  <si>
    <t>Fermentation name:</t>
  </si>
  <si>
    <t>Strains:</t>
  </si>
  <si>
    <t>DASGIP Parallel Bioreactor System</t>
  </si>
  <si>
    <t>Feeding time (h)</t>
  </si>
  <si>
    <t>Reactor volume (ml)</t>
  </si>
  <si>
    <t>Fermentation time (h)</t>
  </si>
  <si>
    <t>mu set point</t>
  </si>
  <si>
    <r>
      <t>h</t>
    </r>
    <r>
      <rPr>
        <vertAlign val="superscript"/>
        <sz val="10"/>
        <rFont val="Calibri"/>
        <family val="2"/>
      </rPr>
      <t>-1</t>
    </r>
  </si>
  <si>
    <r>
      <t>X</t>
    </r>
    <r>
      <rPr>
        <b/>
        <vertAlign val="subscript"/>
        <sz val="10"/>
        <rFont val="Calibri"/>
        <family val="2"/>
      </rPr>
      <t>0</t>
    </r>
  </si>
  <si>
    <t>g/L</t>
  </si>
  <si>
    <r>
      <t>V</t>
    </r>
    <r>
      <rPr>
        <b/>
        <vertAlign val="subscript"/>
        <sz val="10"/>
        <rFont val="Calibri"/>
        <family val="2"/>
      </rPr>
      <t>0</t>
    </r>
  </si>
  <si>
    <t>L</t>
  </si>
  <si>
    <r>
      <t>Y*</t>
    </r>
    <r>
      <rPr>
        <b/>
        <vertAlign val="subscript"/>
        <sz val="10"/>
        <rFont val="Calibri"/>
        <family val="2"/>
      </rPr>
      <t>XS</t>
    </r>
  </si>
  <si>
    <r>
      <t>S</t>
    </r>
    <r>
      <rPr>
        <b/>
        <vertAlign val="subscript"/>
        <sz val="10"/>
        <rFont val="Calibri"/>
        <family val="2"/>
      </rPr>
      <t>0</t>
    </r>
  </si>
  <si>
    <t>p feeding</t>
  </si>
  <si>
    <t>p sals</t>
  </si>
  <si>
    <t>ρ brou</t>
  </si>
  <si>
    <t>p metoh</t>
  </si>
  <si>
    <t>ρ base</t>
  </si>
  <si>
    <r>
      <t>ρ H</t>
    </r>
    <r>
      <rPr>
        <b/>
        <vertAlign val="subscript"/>
        <sz val="10"/>
        <rFont val="Calibri"/>
        <family val="2"/>
      </rPr>
      <t>2</t>
    </r>
    <r>
      <rPr>
        <b/>
        <sz val="10"/>
        <rFont val="Calibri"/>
        <family val="2"/>
      </rPr>
      <t>0</t>
    </r>
  </si>
  <si>
    <r>
      <t>X</t>
    </r>
    <r>
      <rPr>
        <b/>
        <vertAlign val="subscript"/>
        <sz val="10"/>
        <rFont val="Calibri"/>
        <family val="2"/>
      </rPr>
      <t>0</t>
    </r>
    <r>
      <rPr>
        <b/>
        <sz val="10"/>
        <rFont val="Calibri"/>
        <family val="2"/>
      </rPr>
      <t xml:space="preserve"> real</t>
    </r>
  </si>
  <si>
    <r>
      <t>Y*</t>
    </r>
    <r>
      <rPr>
        <b/>
        <vertAlign val="subscript"/>
        <sz val="10"/>
        <rFont val="Calibri"/>
        <family val="2"/>
      </rPr>
      <t>O2/X</t>
    </r>
  </si>
  <si>
    <r>
      <t>Y*</t>
    </r>
    <r>
      <rPr>
        <b/>
        <vertAlign val="subscript"/>
        <sz val="10"/>
        <rFont val="Calibri"/>
        <family val="2"/>
      </rPr>
      <t>CO2/X</t>
    </r>
  </si>
  <si>
    <t>Factor a</t>
  </si>
  <si>
    <t>cabal cada</t>
  </si>
  <si>
    <t xml:space="preserve">F0 </t>
  </si>
  <si>
    <t>F0 real</t>
  </si>
  <si>
    <t xml:space="preserve">FW0 </t>
  </si>
  <si>
    <r>
      <t>Y</t>
    </r>
    <r>
      <rPr>
        <b/>
        <vertAlign val="subscript"/>
        <sz val="10"/>
        <rFont val="Calibri"/>
        <family val="2"/>
      </rPr>
      <t>O2</t>
    </r>
  </si>
  <si>
    <r>
      <t>m</t>
    </r>
    <r>
      <rPr>
        <b/>
        <vertAlign val="subscript"/>
        <sz val="10"/>
        <rFont val="Calibri"/>
        <family val="2"/>
      </rPr>
      <t>O2</t>
    </r>
  </si>
  <si>
    <t>mol/g·min</t>
  </si>
  <si>
    <r>
      <t>Y</t>
    </r>
    <r>
      <rPr>
        <b/>
        <vertAlign val="subscript"/>
        <sz val="10"/>
        <rFont val="Calibri"/>
        <family val="2"/>
      </rPr>
      <t>CO2/X</t>
    </r>
  </si>
  <si>
    <r>
      <t>m</t>
    </r>
    <r>
      <rPr>
        <b/>
        <vertAlign val="subscript"/>
        <sz val="10"/>
        <rFont val="Calibri"/>
        <family val="2"/>
      </rPr>
      <t>CO2</t>
    </r>
  </si>
  <si>
    <t>M4</t>
  </si>
  <si>
    <t>M5</t>
  </si>
  <si>
    <t>M6</t>
  </si>
  <si>
    <t>M7</t>
  </si>
  <si>
    <t>M8</t>
  </si>
  <si>
    <t>100 (10+10)</t>
  </si>
  <si>
    <t>Sample volume (ul)</t>
  </si>
  <si>
    <t>CDW (ml)</t>
  </si>
  <si>
    <t>HPLC (ml)</t>
  </si>
  <si>
    <t>DO (ml)</t>
  </si>
  <si>
    <t>Total (ml)</t>
  </si>
  <si>
    <t>ml/h</t>
  </si>
  <si>
    <t>MetOH added (ml)</t>
  </si>
  <si>
    <t>Date</t>
  </si>
  <si>
    <t>Time</t>
  </si>
  <si>
    <t>Samples</t>
  </si>
  <si>
    <t>Weight 1 (mg)</t>
  </si>
  <si>
    <t>Weight 2 (mg)</t>
  </si>
  <si>
    <t>Fed-batch time (h)</t>
  </si>
  <si>
    <t>M1</t>
  </si>
  <si>
    <t>Salts+vit added (ml)</t>
  </si>
  <si>
    <t>M3</t>
  </si>
  <si>
    <t>M2</t>
  </si>
  <si>
    <t>400-1000</t>
  </si>
  <si>
    <t>Inj.</t>
  </si>
  <si>
    <t>Injection Name</t>
  </si>
  <si>
    <t>Type</t>
  </si>
  <si>
    <t>Ret.Time</t>
  </si>
  <si>
    <t>Amount</t>
  </si>
  <si>
    <t>Area</t>
  </si>
  <si>
    <t>Height</t>
  </si>
  <si>
    <t>Width (50%)</t>
  </si>
  <si>
    <t>Asym.</t>
  </si>
  <si>
    <t>Resol.</t>
  </si>
  <si>
    <t>Plates</t>
  </si>
  <si>
    <t>No.</t>
  </si>
  <si>
    <t>Selected Peak:</t>
  </si>
  <si>
    <t>min</t>
  </si>
  <si>
    <t>g/l</t>
  </si>
  <si>
    <t>%</t>
  </si>
  <si>
    <t>mV*min</t>
  </si>
  <si>
    <t>mV</t>
  </si>
  <si>
    <t>EP</t>
  </si>
  <si>
    <t>IR_1</t>
  </si>
  <si>
    <t>3HP</t>
  </si>
  <si>
    <t>Average</t>
  </si>
  <si>
    <t>R1</t>
  </si>
  <si>
    <t>R2</t>
  </si>
  <si>
    <t>R3</t>
  </si>
  <si>
    <t>R4</t>
  </si>
  <si>
    <t>DO600 #1</t>
  </si>
  <si>
    <t>DO600 #2</t>
  </si>
  <si>
    <t>DO600 #3</t>
  </si>
  <si>
    <t>Total biomass (g)</t>
  </si>
  <si>
    <t>Total 3-HP (g)</t>
  </si>
  <si>
    <t>DCW</t>
  </si>
  <si>
    <t>Total MeOH added (g)</t>
  </si>
  <si>
    <t>µ (h-1)</t>
  </si>
  <si>
    <t>[3-HP] (g l-1)</t>
  </si>
  <si>
    <t>[Biomass] (g l-1)</t>
  </si>
  <si>
    <r>
      <t>[Biomass] (g l</t>
    </r>
    <r>
      <rPr>
        <b/>
        <sz val="8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</si>
  <si>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t>SD</t>
  </si>
  <si>
    <t>Slope</t>
  </si>
  <si>
    <t>Sampling volume (ml)</t>
  </si>
  <si>
    <t>Measured end volume (ml)</t>
  </si>
  <si>
    <t>Calculated end volume (ml)</t>
  </si>
  <si>
    <t>Starting date</t>
  </si>
  <si>
    <t>Starting date of feeding</t>
  </si>
  <si>
    <r>
      <t xml:space="preserve">Working conditions        </t>
    </r>
    <r>
      <rPr>
        <sz val="11"/>
        <color theme="1"/>
        <rFont val="Calibri"/>
        <family val="2"/>
      </rPr>
      <t>µ  0.03 h</t>
    </r>
    <r>
      <rPr>
        <vertAlign val="superscript"/>
        <sz val="11"/>
        <color theme="1"/>
        <rFont val="Calibri"/>
        <family val="2"/>
      </rPr>
      <t>-1</t>
    </r>
  </si>
  <si>
    <t>0.5 L</t>
  </si>
  <si>
    <t>Media</t>
  </si>
  <si>
    <t>C-source Batch</t>
  </si>
  <si>
    <t>C-source FB</t>
  </si>
  <si>
    <t>Ql air Batch</t>
  </si>
  <si>
    <t>[X] (g l-1)</t>
  </si>
  <si>
    <t>Average [X] (g l-1)</t>
  </si>
  <si>
    <t>Yx/s (g g-1)</t>
  </si>
  <si>
    <t>Y3HP/s (g g-1)</t>
  </si>
  <si>
    <t>Y3HP/s (Cmol Cmol-1)</t>
  </si>
  <si>
    <t>Y3HP/x (g g-1)</t>
  </si>
  <si>
    <t>ln(XV XoVo-1)</t>
  </si>
  <si>
    <t>SD [Biomass]</t>
  </si>
  <si>
    <t>MetOH flow rate (ml h-1)</t>
  </si>
  <si>
    <t>Salts+vit flow rate (ml h-1)</t>
  </si>
  <si>
    <t>Total MetOH added (g l-1)</t>
  </si>
  <si>
    <t>Estimated [biomass] (g l-1)</t>
  </si>
  <si>
    <t>Fed-batch start</t>
  </si>
  <si>
    <t>Ql air FB</t>
  </si>
  <si>
    <t>Aprox real (ml)</t>
  </si>
  <si>
    <t>% Relative error</t>
  </si>
  <si>
    <t>Measured DCW</t>
  </si>
  <si>
    <t>Final 3-HP titer (g l-1)</t>
  </si>
  <si>
    <t>Qp (g l-1 h-1)</t>
  </si>
  <si>
    <t>Yp/x (Cmol Cmol-1)</t>
  </si>
  <si>
    <t>Yp/s (Cmol C-mol-1)</t>
  </si>
  <si>
    <t>Yx/s (Cmol C-mol-1)</t>
  </si>
  <si>
    <t>mu (h-1)</t>
  </si>
  <si>
    <t>qs (Cmol S Cmol X-1 h-1)</t>
  </si>
  <si>
    <t>qp (Cmol P Cmol X-1 h-1)</t>
  </si>
  <si>
    <t>g g-1</t>
  </si>
  <si>
    <t>g l-1</t>
  </si>
  <si>
    <t>g l-1 h-1</t>
  </si>
  <si>
    <t>h-1</t>
  </si>
  <si>
    <t>mmol P g DCW-1 h-1</t>
  </si>
  <si>
    <t>Molar mass 3-HP</t>
  </si>
  <si>
    <t>g S g DCW-1 h-1</t>
  </si>
  <si>
    <t>Error reconc</t>
  </si>
  <si>
    <t>-</t>
  </si>
  <si>
    <t>R2.1</t>
  </si>
  <si>
    <t>R3.1</t>
  </si>
  <si>
    <t>R2.2</t>
  </si>
  <si>
    <t>R3.2</t>
  </si>
  <si>
    <t>R2.3</t>
  </si>
  <si>
    <t>R3.3</t>
  </si>
  <si>
    <t>R2.4</t>
  </si>
  <si>
    <t>R3.4</t>
  </si>
  <si>
    <t>R2.5</t>
  </si>
  <si>
    <t>R3.5</t>
  </si>
  <si>
    <t>R2.6</t>
  </si>
  <si>
    <t>R3.6</t>
  </si>
  <si>
    <t>R2.7</t>
  </si>
  <si>
    <t>R3.7</t>
  </si>
  <si>
    <t>R2.8</t>
  </si>
  <si>
    <t>R3.8</t>
  </si>
  <si>
    <t>PpCβ21-PEJY</t>
  </si>
  <si>
    <t>CV(%)</t>
  </si>
  <si>
    <t>CV (%)</t>
  </si>
  <si>
    <t xml:space="preserve">Type </t>
  </si>
  <si>
    <t xml:space="preserve">Rel.Area </t>
  </si>
  <si>
    <t>Metanol</t>
  </si>
  <si>
    <r>
      <t>PpC</t>
    </r>
    <r>
      <rPr>
        <b/>
        <sz val="11"/>
        <rFont val="Calibri"/>
        <family val="2"/>
      </rPr>
      <t>β21-PEJY Average and SD</t>
    </r>
  </si>
  <si>
    <t>Residual [MeOH] (g/l)</t>
  </si>
  <si>
    <t>S2</t>
  </si>
  <si>
    <t>S1</t>
  </si>
  <si>
    <t>S3</t>
  </si>
  <si>
    <t>S4</t>
  </si>
  <si>
    <t>S5</t>
  </si>
  <si>
    <t>S6</t>
  </si>
  <si>
    <t>S7</t>
  </si>
  <si>
    <t>S8</t>
  </si>
  <si>
    <t>16:56 h</t>
  </si>
  <si>
    <t>22:38 h</t>
  </si>
  <si>
    <t>200 (10+20)</t>
  </si>
  <si>
    <t>MeOH 10 g/l 231201</t>
  </si>
  <si>
    <t>Check Standard</t>
  </si>
  <si>
    <t>n.a.</t>
  </si>
  <si>
    <t>3-HP 0.1 g/l 210707</t>
  </si>
  <si>
    <t>BMB</t>
  </si>
  <si>
    <t>R2.1 A 240723</t>
  </si>
  <si>
    <t>Unknown</t>
  </si>
  <si>
    <t>BM *</t>
  </si>
  <si>
    <t>R2.1 B 240723</t>
  </si>
  <si>
    <t>R3.1 A</t>
  </si>
  <si>
    <t>R3.1 B</t>
  </si>
  <si>
    <t>R2.2 A</t>
  </si>
  <si>
    <t xml:space="preserve"> M *</t>
  </si>
  <si>
    <t>R2.2 B</t>
  </si>
  <si>
    <t>R3.2 A</t>
  </si>
  <si>
    <t>R3.2 B</t>
  </si>
  <si>
    <t>R2.3 A</t>
  </si>
  <si>
    <t>R2.3 B</t>
  </si>
  <si>
    <t>R3.3 A</t>
  </si>
  <si>
    <t>R3.3 B</t>
  </si>
  <si>
    <t>R2.4 A</t>
  </si>
  <si>
    <t>R2.4 B</t>
  </si>
  <si>
    <t>R3.4 A</t>
  </si>
  <si>
    <t>R3.4 B</t>
  </si>
  <si>
    <t>R2.5 A</t>
  </si>
  <si>
    <t>R2.5 B</t>
  </si>
  <si>
    <t>R3.5 A</t>
  </si>
  <si>
    <t>R3.5 B</t>
  </si>
  <si>
    <t>R2.6 A</t>
  </si>
  <si>
    <t>R2.6 B</t>
  </si>
  <si>
    <t>R3.6 A</t>
  </si>
  <si>
    <t>R3.6 B</t>
  </si>
  <si>
    <t>R2.7 A</t>
  </si>
  <si>
    <t>R2.7 B</t>
  </si>
  <si>
    <t>R3.7 A</t>
  </si>
  <si>
    <t>R3.7 B</t>
  </si>
  <si>
    <t>R2.8 A</t>
  </si>
  <si>
    <t>R2.8 B</t>
  </si>
  <si>
    <t>R3.8 A</t>
  </si>
  <si>
    <t>R3.8 B</t>
  </si>
  <si>
    <t>BMB*</t>
  </si>
  <si>
    <t>Maximum</t>
  </si>
  <si>
    <t>Minimum</t>
  </si>
  <si>
    <t>Standard Deviation</t>
  </si>
  <si>
    <t>Relative Standard Deviation</t>
  </si>
  <si>
    <t>Average DO</t>
  </si>
  <si>
    <t>Average DCW</t>
  </si>
  <si>
    <t>Reactor</t>
  </si>
  <si>
    <t>Total</t>
  </si>
  <si>
    <t>F</t>
  </si>
  <si>
    <t>Variable X 1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</si>
  <si>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</si>
  <si>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</si>
  <si>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</si>
  <si>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</si>
  <si>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</si>
  <si>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</si>
  <si>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</si>
  <si>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df</t>
  </si>
  <si>
    <t>SS</t>
  </si>
  <si>
    <t>MS</t>
  </si>
  <si>
    <t>Significance F</t>
  </si>
  <si>
    <t>Regression</t>
  </si>
  <si>
    <t>Residual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</si>
  <si>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</si>
  <si>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</si>
  <si>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</si>
  <si>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</si>
  <si>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</si>
  <si>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</si>
  <si>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</si>
  <si>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Intercept</t>
  </si>
  <si>
    <r>
      <t>PpC</t>
    </r>
    <r>
      <rPr>
        <b/>
        <sz val="11"/>
        <color theme="1"/>
        <rFont val="Calibri"/>
        <family val="2"/>
      </rPr>
      <t>β21-PEJY</t>
    </r>
  </si>
  <si>
    <t>Residual [MeOH] (g l-1)</t>
  </si>
  <si>
    <t>Total methanol added  (g l-1)</t>
  </si>
  <si>
    <t>qCO2 (Cmol CO2 Cmol X-1 h-1)</t>
  </si>
  <si>
    <t>YCO2/S (Cmol Cmol-1)</t>
  </si>
  <si>
    <t>mmol CO2 g DCW-1 h-1</t>
  </si>
  <si>
    <t>Molar mass CO2</t>
  </si>
  <si>
    <t>g MeOH / C-mol MetOH</t>
  </si>
  <si>
    <t>g CO2 / C-mol CO2</t>
  </si>
  <si>
    <t>g X / C-mol X</t>
  </si>
  <si>
    <t>g 3-HP / C-mol 3-HP</t>
  </si>
  <si>
    <r>
      <t>PpC</t>
    </r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Calibri"/>
        <family val="2"/>
        <scheme val="minor"/>
      </rPr>
      <t>21-P</t>
    </r>
  </si>
  <si>
    <t>t-Test: Two-Sample Assuming Equal Variances</t>
  </si>
  <si>
    <t>Mean</t>
  </si>
  <si>
    <t>Variance</t>
  </si>
  <si>
    <t>Pooled Variance</t>
  </si>
  <si>
    <t>Hypothesized Mean</t>
  </si>
  <si>
    <t>P(T&lt;=t) one-tail</t>
  </si>
  <si>
    <t>t Critical one-tail</t>
  </si>
  <si>
    <t>P(T&lt;=t) two-tail</t>
  </si>
  <si>
    <t>t Critical two-tail</t>
  </si>
  <si>
    <r>
      <t>PpC</t>
    </r>
    <r>
      <rPr>
        <b/>
        <sz val="11"/>
        <color theme="1"/>
        <rFont val="Calibri"/>
        <family val="2"/>
      </rPr>
      <t>β</t>
    </r>
    <r>
      <rPr>
        <b/>
        <sz val="11"/>
        <color theme="1"/>
        <rFont val="Calibri"/>
        <family val="2"/>
        <scheme val="minor"/>
      </rPr>
      <t>21-PEJY</t>
    </r>
  </si>
  <si>
    <t>Calculated DCW from linear regression</t>
  </si>
  <si>
    <t>PpCβ21-PEJY replicate#1</t>
  </si>
  <si>
    <t>PpCβ21-PEJY replicate#2</t>
  </si>
  <si>
    <t>R2.1 A</t>
  </si>
  <si>
    <t>R2.1 B</t>
  </si>
  <si>
    <t xml:space="preserve"> MB*</t>
  </si>
  <si>
    <r>
      <rPr>
        <b/>
        <sz val="18"/>
        <color theme="1"/>
        <rFont val="Calibri"/>
        <family val="2"/>
        <scheme val="minor"/>
      </rPr>
      <t>TABLE 1</t>
    </r>
    <r>
      <rPr>
        <sz val="18"/>
        <color theme="1"/>
        <rFont val="Calibri"/>
        <family val="2"/>
        <scheme val="minor"/>
      </rPr>
      <t>: Results from fed-batch cultivations of strains PpC</t>
    </r>
    <r>
      <rPr>
        <sz val="18"/>
        <color theme="1"/>
        <rFont val="Aptos Narrow"/>
        <family val="2"/>
      </rPr>
      <t>β</t>
    </r>
    <r>
      <rPr>
        <sz val="18"/>
        <color theme="1"/>
        <rFont val="Calibri"/>
        <family val="2"/>
      </rPr>
      <t>21-PEJ (Reactor 2, R2) and PpC</t>
    </r>
    <r>
      <rPr>
        <sz val="18"/>
        <color theme="1"/>
        <rFont val="Aptos Narrow"/>
        <family val="2"/>
      </rPr>
      <t>β</t>
    </r>
    <r>
      <rPr>
        <sz val="18"/>
        <color theme="1"/>
        <rFont val="Calibri"/>
        <family val="2"/>
      </rPr>
      <t xml:space="preserve">21-PEJY (Reactor 3, R3) </t>
    </r>
    <r>
      <rPr>
        <sz val="18"/>
        <color theme="1"/>
        <rFont val="Calibri"/>
        <family val="2"/>
        <scheme val="minor"/>
      </rPr>
      <t xml:space="preserve">at </t>
    </r>
    <r>
      <rPr>
        <sz val="18"/>
        <color theme="1"/>
        <rFont val="Aptos Narrow"/>
        <family val="2"/>
      </rPr>
      <t>µ</t>
    </r>
    <r>
      <rPr>
        <sz val="18"/>
        <color theme="1"/>
        <rFont val="Calibri"/>
        <family val="2"/>
      </rPr>
      <t>SP = 0.02 h-1</t>
    </r>
    <r>
      <rPr>
        <sz val="18"/>
        <color theme="1"/>
        <rFont val="Calibri"/>
        <family val="2"/>
        <scheme val="minor"/>
      </rPr>
      <t>.</t>
    </r>
  </si>
  <si>
    <r>
      <rPr>
        <b/>
        <sz val="18"/>
        <color theme="1"/>
        <rFont val="Calibri"/>
        <family val="2"/>
        <scheme val="minor"/>
      </rPr>
      <t>NOTE 1</t>
    </r>
    <r>
      <rPr>
        <sz val="18"/>
        <color theme="1"/>
        <rFont val="Calibri"/>
        <family val="2"/>
        <scheme val="minor"/>
      </rPr>
      <t xml:space="preserve">: 3-HP and methanol concentrations (g l-1) values for each sample were directly obtained from HPLC peak area measurement. </t>
    </r>
  </si>
  <si>
    <r>
      <rPr>
        <b/>
        <sz val="18"/>
        <color theme="1"/>
        <rFont val="Calibri"/>
        <family val="2"/>
        <scheme val="minor"/>
      </rPr>
      <t>TABLE 2</t>
    </r>
    <r>
      <rPr>
        <sz val="18"/>
        <color theme="1"/>
        <rFont val="Calibri"/>
        <family val="2"/>
        <scheme val="minor"/>
      </rPr>
      <t xml:space="preserve">: Results from two independent fed-batch cultivations of strain </t>
    </r>
    <r>
      <rPr>
        <sz val="18"/>
        <color theme="1"/>
        <rFont val="Calibri"/>
        <family val="2"/>
      </rPr>
      <t>PpC</t>
    </r>
    <r>
      <rPr>
        <sz val="18"/>
        <color theme="1"/>
        <rFont val="Aptos Narrow"/>
        <family val="2"/>
      </rPr>
      <t>β</t>
    </r>
    <r>
      <rPr>
        <sz val="18"/>
        <color theme="1"/>
        <rFont val="Calibri"/>
        <family val="2"/>
      </rPr>
      <t xml:space="preserve">21-PEJY </t>
    </r>
    <r>
      <rPr>
        <sz val="18"/>
        <color theme="1"/>
        <rFont val="Calibri"/>
        <family val="2"/>
        <scheme val="minor"/>
      </rPr>
      <t xml:space="preserve">at </t>
    </r>
    <r>
      <rPr>
        <sz val="18"/>
        <color theme="1"/>
        <rFont val="Aptos Narrow"/>
        <family val="2"/>
      </rPr>
      <t>µ</t>
    </r>
    <r>
      <rPr>
        <sz val="18"/>
        <color theme="1"/>
        <rFont val="Calibri"/>
        <family val="2"/>
      </rPr>
      <t>SP = 0.03 h-1 and pH = 5.</t>
    </r>
  </si>
  <si>
    <t>3-HP 5.0 g/l 210707</t>
  </si>
  <si>
    <t>21-P M1.1</t>
  </si>
  <si>
    <t>21-P M1.2</t>
  </si>
  <si>
    <t>21-P M1.3</t>
  </si>
  <si>
    <t>21-PEJY M1.1</t>
  </si>
  <si>
    <t>21-PEJY M1.2</t>
  </si>
  <si>
    <t>21-PEJY M1.3</t>
  </si>
  <si>
    <t>21-P M2.1</t>
  </si>
  <si>
    <t>21-P M2.2</t>
  </si>
  <si>
    <t>21-P M2.3</t>
  </si>
  <si>
    <t>21-PEJY M2.1</t>
  </si>
  <si>
    <t>21-PEJY M2.2</t>
  </si>
  <si>
    <t>21-PEJY M2.3</t>
  </si>
  <si>
    <t>21-P M3.1</t>
  </si>
  <si>
    <t>21-P M3.2</t>
  </si>
  <si>
    <t>21-P M3.3</t>
  </si>
  <si>
    <t>21-PEJY M3.1</t>
  </si>
  <si>
    <t>21-PEJY M3.2</t>
  </si>
  <si>
    <t>21-PEJY M3.3</t>
  </si>
  <si>
    <t>21-P M4.1</t>
  </si>
  <si>
    <t>21-P M4.2</t>
  </si>
  <si>
    <t>21-P M4.3</t>
  </si>
  <si>
    <t>21-PEJY M4.1</t>
  </si>
  <si>
    <t>21-PEJY M4.2</t>
  </si>
  <si>
    <t>21-PEJY M4.3</t>
  </si>
  <si>
    <t>21-P M5.1</t>
  </si>
  <si>
    <t>21-P M5.2</t>
  </si>
  <si>
    <t>21-P M5.3</t>
  </si>
  <si>
    <t>21-PEJY M5.1</t>
  </si>
  <si>
    <t>21-PEJY M5.2</t>
  </si>
  <si>
    <t>21-PEJY M5.3</t>
  </si>
  <si>
    <t>21-P M6.1</t>
  </si>
  <si>
    <t>21-P M6.2</t>
  </si>
  <si>
    <t>21-P M6.3</t>
  </si>
  <si>
    <t>21-PEJY M6.1</t>
  </si>
  <si>
    <t>21-PEJY M6.2</t>
  </si>
  <si>
    <t>21-PEJY M6.3</t>
  </si>
  <si>
    <t>21-P M7.1</t>
  </si>
  <si>
    <t>21-P M7.2</t>
  </si>
  <si>
    <t>21-P M7.3</t>
  </si>
  <si>
    <t>21-PEJY M7.1</t>
  </si>
  <si>
    <t>21-PEJY M7.2</t>
  </si>
  <si>
    <t>21-PEJY M7.3</t>
  </si>
  <si>
    <r>
      <rPr>
        <b/>
        <sz val="18"/>
        <color theme="1"/>
        <rFont val="Calibri"/>
        <family val="2"/>
        <scheme val="minor"/>
      </rPr>
      <t>TABLE 3</t>
    </r>
    <r>
      <rPr>
        <sz val="18"/>
        <color theme="1"/>
        <rFont val="Calibri"/>
        <family val="2"/>
        <scheme val="minor"/>
      </rPr>
      <t>: Results from fed-batch cultivations of strains PpCβ21-P and PpCβ21-PEJY at µSP = 0.03 h-1 and pH = 3.5.</t>
    </r>
  </si>
  <si>
    <r>
      <t>Pichia pastoris  PpC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21-PEJ and PpCβ21-PEJY</t>
    </r>
  </si>
  <si>
    <t>16:53 h</t>
  </si>
  <si>
    <t>23:57 h</t>
  </si>
  <si>
    <r>
      <t>PpC</t>
    </r>
    <r>
      <rPr>
        <sz val="11"/>
        <color theme="1"/>
        <rFont val="Aptos Narrow"/>
        <family val="2"/>
      </rPr>
      <t>β</t>
    </r>
    <r>
      <rPr>
        <sz val="11"/>
        <color theme="1"/>
        <rFont val="Calibri"/>
        <family val="2"/>
      </rPr>
      <t>21-PEJ</t>
    </r>
  </si>
  <si>
    <t>TABLE 1 (FB240707)</t>
  </si>
  <si>
    <t>TABLE 2 (FB240722)</t>
  </si>
  <si>
    <t>TABLE 3 (FB240904)</t>
  </si>
  <si>
    <t>FB240707</t>
  </si>
  <si>
    <r>
      <t xml:space="preserve">Working conditions        </t>
    </r>
    <r>
      <rPr>
        <sz val="11"/>
        <color theme="1"/>
        <rFont val="Calibri"/>
        <family val="2"/>
      </rPr>
      <t>µ  0.02 h</t>
    </r>
    <r>
      <rPr>
        <vertAlign val="superscript"/>
        <sz val="11"/>
        <color theme="1"/>
        <rFont val="Calibri"/>
        <family val="2"/>
      </rPr>
      <t>-1</t>
    </r>
  </si>
  <si>
    <t>FB240722</t>
  </si>
  <si>
    <t>R1.7</t>
  </si>
  <si>
    <r>
      <t>Pichia pastoris  PpC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21-P and PpCβ21-PEJY pH = 3.5</t>
    </r>
  </si>
  <si>
    <t>17:10 h</t>
  </si>
  <si>
    <t>23:45 h</t>
  </si>
  <si>
    <r>
      <t>PpC</t>
    </r>
    <r>
      <rPr>
        <sz val="11"/>
        <color theme="1"/>
        <rFont val="Aptos Narrow"/>
        <family val="2"/>
      </rPr>
      <t>β</t>
    </r>
    <r>
      <rPr>
        <sz val="11"/>
        <color theme="1"/>
        <rFont val="Calibri"/>
        <family val="2"/>
      </rPr>
      <t>21-P</t>
    </r>
  </si>
  <si>
    <t>PpCβ21-P</t>
  </si>
  <si>
    <t>FB240904</t>
  </si>
  <si>
    <t>Pichia pastoris PpCβ21-PEJY (duplicates) pH = 5</t>
  </si>
  <si>
    <t>R1.1</t>
  </si>
  <si>
    <t>R1.2</t>
  </si>
  <si>
    <t>R1.3</t>
  </si>
  <si>
    <t>R1.4</t>
  </si>
  <si>
    <t>R1.5</t>
  </si>
  <si>
    <t>R1.6</t>
  </si>
  <si>
    <r>
      <t>PpC</t>
    </r>
    <r>
      <rPr>
        <b/>
        <sz val="11"/>
        <rFont val="Calibri"/>
        <family val="2"/>
      </rPr>
      <t>β21-PEJ</t>
    </r>
    <r>
      <rPr>
        <b/>
        <sz val="11"/>
        <rFont val="Calibri"/>
        <family val="2"/>
        <scheme val="minor"/>
      </rPr>
      <t xml:space="preserve"> (R2)</t>
    </r>
  </si>
  <si>
    <r>
      <rPr>
        <b/>
        <sz val="11"/>
        <color theme="1"/>
        <rFont val="Calibri"/>
        <family val="2"/>
        <scheme val="minor"/>
      </rPr>
      <t>NOTE 2</t>
    </r>
    <r>
      <rPr>
        <sz val="11"/>
        <color theme="1"/>
        <rFont val="Calibri"/>
        <family val="2"/>
        <scheme val="minor"/>
      </rPr>
      <t>: Slope was obtained from preliminar fed-batch experiments with strain PpCB21-PEJ.</t>
    </r>
  </si>
  <si>
    <r>
      <t>PpC</t>
    </r>
    <r>
      <rPr>
        <b/>
        <sz val="11"/>
        <rFont val="Calibri"/>
        <family val="2"/>
      </rPr>
      <t>β21-PEJY</t>
    </r>
    <r>
      <rPr>
        <b/>
        <sz val="11"/>
        <rFont val="Calibri"/>
        <family val="2"/>
        <scheme val="minor"/>
      </rPr>
      <t xml:space="preserve"> (R3)</t>
    </r>
  </si>
  <si>
    <r>
      <t>PpC</t>
    </r>
    <r>
      <rPr>
        <b/>
        <sz val="11"/>
        <color theme="1"/>
        <rFont val="Aptos Narrow"/>
        <family val="2"/>
      </rPr>
      <t>β</t>
    </r>
    <r>
      <rPr>
        <b/>
        <sz val="8.8000000000000007"/>
        <color theme="1"/>
        <rFont val="Calibri"/>
        <family val="2"/>
      </rPr>
      <t>21-PEJ</t>
    </r>
  </si>
  <si>
    <r>
      <t>PpC</t>
    </r>
    <r>
      <rPr>
        <b/>
        <sz val="11"/>
        <color theme="1"/>
        <rFont val="Aptos Narrow"/>
        <family val="2"/>
      </rPr>
      <t>β</t>
    </r>
    <r>
      <rPr>
        <b/>
        <sz val="8.8000000000000007"/>
        <color theme="1"/>
        <rFont val="Calibri"/>
        <family val="2"/>
      </rPr>
      <t>21-PEJY</t>
    </r>
  </si>
  <si>
    <r>
      <t>PpC</t>
    </r>
    <r>
      <rPr>
        <b/>
        <sz val="11"/>
        <rFont val="Calibri"/>
        <family val="2"/>
      </rPr>
      <t>β21-P</t>
    </r>
    <r>
      <rPr>
        <b/>
        <sz val="11"/>
        <rFont val="Calibri"/>
        <family val="2"/>
        <scheme val="minor"/>
      </rPr>
      <t xml:space="preserve"> (R1)</t>
    </r>
  </si>
  <si>
    <t>21-P</t>
  </si>
  <si>
    <t>Total MeOH added (g l-1)</t>
  </si>
  <si>
    <t>Total MeOH consumed (g l-1)</t>
  </si>
  <si>
    <t>Total MeOH consumed (g)</t>
  </si>
  <si>
    <t>S1.1</t>
  </si>
  <si>
    <t>S1.2</t>
  </si>
  <si>
    <t>S1.3</t>
  </si>
  <si>
    <t>S1.4</t>
  </si>
  <si>
    <t>S1.5</t>
  </si>
  <si>
    <t>S1.6</t>
  </si>
  <si>
    <t>S1.7</t>
  </si>
  <si>
    <r>
      <rPr>
        <b/>
        <sz val="11"/>
        <color theme="1"/>
        <rFont val="Calibri"/>
        <family val="2"/>
        <scheme val="minor"/>
      </rPr>
      <t>NOTE 3</t>
    </r>
    <r>
      <rPr>
        <sz val="11"/>
        <color theme="1"/>
        <rFont val="Calibri"/>
        <family val="2"/>
        <scheme val="minor"/>
      </rPr>
      <t>: Slope was obtained from previous fed-batch experiments with strain PpCB21-P (Àvila-Cabré et al., 2023)</t>
    </r>
  </si>
  <si>
    <r>
      <t>PpC</t>
    </r>
    <r>
      <rPr>
        <b/>
        <sz val="11"/>
        <rFont val="Calibri"/>
        <family val="2"/>
      </rPr>
      <t>β21-PEJY</t>
    </r>
    <r>
      <rPr>
        <b/>
        <sz val="11"/>
        <rFont val="Calibri"/>
        <family val="2"/>
        <scheme val="minor"/>
      </rPr>
      <t xml:space="preserve"> (R2)</t>
    </r>
  </si>
  <si>
    <t>21-PEJY</t>
  </si>
  <si>
    <t>S2.1</t>
  </si>
  <si>
    <t>S2.2</t>
  </si>
  <si>
    <t>S2.3</t>
  </si>
  <si>
    <t>S2.4</t>
  </si>
  <si>
    <t>S2.5</t>
  </si>
  <si>
    <t>S2.6</t>
  </si>
  <si>
    <t>S2.7</t>
  </si>
  <si>
    <t>Yp/s (g g-1)</t>
  </si>
  <si>
    <t>Yp/x (g g-1)</t>
  </si>
  <si>
    <t>qs (g S g DCW-1 h-1)</t>
  </si>
  <si>
    <t>qp (mmol P g DCW-1 h-1)</t>
  </si>
  <si>
    <t>YCO2/S (g g-1)</t>
  </si>
  <si>
    <t>qCO2 (mmol CO2 g DCW-1 h-1)</t>
  </si>
  <si>
    <t>YCO2/s (g g-1)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</si>
</sst>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0"/>
    <numFmt numFmtId="165" formatCode="0.000"/>
    <numFmt numFmtId="166" formatCode="0.000E+00"/>
    <numFmt numFmtId="167" formatCode="0.0"/>
    <numFmt numFmtId="168" formatCode="0.00000"/>
    <numFmt numFmtId="169" formatCode="#,##0.000"/>
    <numFmt numFmtId="170" formatCode="0.0000000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vertAlign val="superscript"/>
      <sz val="11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b/>
      <vertAlign val="subscript"/>
      <sz val="10"/>
      <name val="Calibri"/>
      <family val="2"/>
    </font>
    <font>
      <sz val="10"/>
      <name val="Symbol"/>
      <family val="1"/>
      <charset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Aptos Narrow"/>
      <family val="2"/>
    </font>
    <font>
      <sz val="18"/>
      <color theme="1"/>
      <name val="Calibri"/>
      <family val="2"/>
    </font>
    <font>
      <b/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Aptos Narrow"/>
      <family val="2"/>
    </font>
    <font>
      <b/>
      <sz val="8.8000000000000007"/>
      <color theme="1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99061"/>
        <bgColor indexed="64"/>
      </patternFill>
    </fill>
    <fill>
      <patternFill patternType="solid">
        <fgColor theme="4" tint="0.39997558519241921"/>
        <bgColor rgb="FFA4C2F4"/>
      </patternFill>
    </fill>
    <fill>
      <patternFill patternType="solid">
        <fgColor rgb="FFFFC000"/>
        <bgColor rgb="FFA4C2F4"/>
      </patternFill>
    </fill>
    <fill>
      <patternFill patternType="solid">
        <fgColor rgb="FFE7E6E6"/>
        <bgColor rgb="FF000000"/>
      </patternFill>
    </fill>
    <fill>
      <patternFill patternType="solid">
        <fgColor rgb="FFCC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8EBAE2"/>
        <bgColor indexed="64"/>
      </patternFill>
    </fill>
    <fill>
      <patternFill patternType="solid">
        <fgColor theme="5" tint="0.399975585192419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362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4" borderId="11" xfId="0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0" xfId="0" applyAlignment="1">
      <alignment vertical="center"/>
    </xf>
    <xf numFmtId="14" fontId="0" fillId="0" borderId="0" xfId="0" applyNumberFormat="1"/>
    <xf numFmtId="0" fontId="0" fillId="0" borderId="14" xfId="0" applyBorder="1"/>
    <xf numFmtId="165" fontId="0" fillId="0" borderId="0" xfId="0" applyNumberFormat="1"/>
    <xf numFmtId="0" fontId="6" fillId="0" borderId="15" xfId="0" applyFont="1" applyBorder="1" applyAlignment="1">
      <alignment horizontal="center"/>
    </xf>
    <xf numFmtId="165" fontId="7" fillId="5" borderId="16" xfId="0" applyNumberFormat="1" applyFont="1" applyFill="1" applyBorder="1" applyAlignment="1">
      <alignment horizontal="right"/>
    </xf>
    <xf numFmtId="0" fontId="0" fillId="0" borderId="17" xfId="0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7" fillId="5" borderId="19" xfId="0" applyFont="1" applyFill="1" applyBorder="1" applyAlignment="1">
      <alignment horizontal="right"/>
    </xf>
    <xf numFmtId="0" fontId="7" fillId="0" borderId="20" xfId="0" applyFont="1" applyBorder="1" applyAlignment="1">
      <alignment horizontal="left"/>
    </xf>
    <xf numFmtId="165" fontId="7" fillId="6" borderId="19" xfId="0" applyNumberFormat="1" applyFont="1" applyFill="1" applyBorder="1" applyAlignment="1">
      <alignment horizontal="right"/>
    </xf>
    <xf numFmtId="165" fontId="7" fillId="0" borderId="19" xfId="0" applyNumberFormat="1" applyFont="1" applyBorder="1" applyAlignment="1">
      <alignment horizontal="right"/>
    </xf>
    <xf numFmtId="0" fontId="0" fillId="7" borderId="17" xfId="0" applyFill="1" applyBorder="1" applyAlignment="1">
      <alignment horizontal="center" vertical="center"/>
    </xf>
    <xf numFmtId="0" fontId="7" fillId="7" borderId="19" xfId="0" applyFont="1" applyFill="1" applyBorder="1" applyAlignment="1">
      <alignment horizontal="right"/>
    </xf>
    <xf numFmtId="0" fontId="7" fillId="7" borderId="20" xfId="0" applyFont="1" applyFill="1" applyBorder="1" applyAlignment="1">
      <alignment horizontal="left"/>
    </xf>
    <xf numFmtId="0" fontId="7" fillId="0" borderId="19" xfId="0" applyFont="1" applyBorder="1" applyAlignment="1">
      <alignment horizontal="right"/>
    </xf>
    <xf numFmtId="2" fontId="7" fillId="0" borderId="19" xfId="0" applyNumberFormat="1" applyFont="1" applyBorder="1" applyAlignment="1">
      <alignment horizontal="right"/>
    </xf>
    <xf numFmtId="164" fontId="7" fillId="8" borderId="19" xfId="0" applyNumberFormat="1" applyFont="1" applyFill="1" applyBorder="1"/>
    <xf numFmtId="165" fontId="7" fillId="0" borderId="19" xfId="0" applyNumberFormat="1" applyFont="1" applyBorder="1"/>
    <xf numFmtId="0" fontId="10" fillId="0" borderId="20" xfId="0" applyFont="1" applyBorder="1"/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right"/>
    </xf>
    <xf numFmtId="0" fontId="7" fillId="0" borderId="4" xfId="0" applyFont="1" applyBorder="1"/>
    <xf numFmtId="165" fontId="7" fillId="0" borderId="16" xfId="0" applyNumberFormat="1" applyFont="1" applyBorder="1" applyAlignment="1">
      <alignment horizontal="right"/>
    </xf>
    <xf numFmtId="0" fontId="7" fillId="0" borderId="23" xfId="0" applyFont="1" applyBorder="1" applyAlignment="1">
      <alignment horizontal="left"/>
    </xf>
    <xf numFmtId="166" fontId="7" fillId="0" borderId="19" xfId="0" applyNumberFormat="1" applyFont="1" applyBorder="1" applyAlignment="1">
      <alignment horizontal="right"/>
    </xf>
    <xf numFmtId="166" fontId="7" fillId="0" borderId="22" xfId="0" applyNumberFormat="1" applyFont="1" applyBorder="1" applyAlignment="1">
      <alignment horizontal="right"/>
    </xf>
    <xf numFmtId="0" fontId="7" fillId="0" borderId="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19" xfId="0" applyBorder="1"/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0" xfId="0" applyNumberFormat="1"/>
    <xf numFmtId="0" fontId="11" fillId="0" borderId="20" xfId="0" applyFont="1" applyBorder="1"/>
    <xf numFmtId="0" fontId="1" fillId="0" borderId="0" xfId="0" applyFont="1" applyAlignment="1">
      <alignment horizontal="center"/>
    </xf>
    <xf numFmtId="20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3" borderId="0" xfId="0" applyFill="1"/>
    <xf numFmtId="0" fontId="1" fillId="0" borderId="0" xfId="0" applyFont="1"/>
    <xf numFmtId="167" fontId="0" fillId="0" borderId="9" xfId="0" applyNumberFormat="1" applyBorder="1"/>
    <xf numFmtId="167" fontId="0" fillId="0" borderId="8" xfId="0" applyNumberFormat="1" applyBorder="1"/>
    <xf numFmtId="0" fontId="0" fillId="0" borderId="1" xfId="0" applyBorder="1" applyAlignment="1">
      <alignment horizontal="center"/>
    </xf>
    <xf numFmtId="2" fontId="0" fillId="0" borderId="9" xfId="0" applyNumberFormat="1" applyBorder="1"/>
    <xf numFmtId="0" fontId="12" fillId="0" borderId="0" xfId="0" applyFont="1"/>
    <xf numFmtId="0" fontId="3" fillId="0" borderId="0" xfId="0" applyFont="1"/>
    <xf numFmtId="164" fontId="12" fillId="0" borderId="0" xfId="0" applyNumberFormat="1" applyFont="1"/>
    <xf numFmtId="0" fontId="12" fillId="3" borderId="0" xfId="0" applyFont="1" applyFill="1"/>
    <xf numFmtId="167" fontId="0" fillId="0" borderId="10" xfId="0" applyNumberFormat="1" applyBorder="1"/>
    <xf numFmtId="0" fontId="0" fillId="0" borderId="1" xfId="0" applyBorder="1"/>
    <xf numFmtId="165" fontId="7" fillId="5" borderId="19" xfId="0" applyNumberFormat="1" applyFont="1" applyFill="1" applyBorder="1" applyAlignment="1">
      <alignment horizontal="right"/>
    </xf>
    <xf numFmtId="10" fontId="0" fillId="0" borderId="0" xfId="0" applyNumberFormat="1"/>
    <xf numFmtId="0" fontId="0" fillId="2" borderId="1" xfId="0" applyFill="1" applyBorder="1"/>
    <xf numFmtId="168" fontId="0" fillId="0" borderId="0" xfId="0" applyNumberFormat="1"/>
    <xf numFmtId="168" fontId="12" fillId="0" borderId="0" xfId="0" applyNumberFormat="1" applyFont="1"/>
    <xf numFmtId="169" fontId="0" fillId="0" borderId="0" xfId="0" applyNumberFormat="1"/>
    <xf numFmtId="2" fontId="0" fillId="0" borderId="10" xfId="0" applyNumberForma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2" fontId="0" fillId="0" borderId="0" xfId="0" applyNumberFormat="1"/>
    <xf numFmtId="0" fontId="0" fillId="0" borderId="7" xfId="0" applyBorder="1"/>
    <xf numFmtId="0" fontId="0" fillId="2" borderId="5" xfId="0" applyFill="1" applyBorder="1"/>
    <xf numFmtId="170" fontId="0" fillId="0" borderId="8" xfId="0" applyNumberFormat="1" applyBorder="1" applyAlignment="1">
      <alignment horizontal="center"/>
    </xf>
    <xf numFmtId="170" fontId="0" fillId="0" borderId="9" xfId="0" applyNumberFormat="1" applyBorder="1" applyAlignment="1">
      <alignment horizontal="center"/>
    </xf>
    <xf numFmtId="165" fontId="12" fillId="0" borderId="8" xfId="0" applyNumberFormat="1" applyFont="1" applyBorder="1" applyAlignment="1">
      <alignment horizontal="center"/>
    </xf>
    <xf numFmtId="165" fontId="12" fillId="0" borderId="9" xfId="0" applyNumberFormat="1" applyFont="1" applyBorder="1" applyAlignment="1">
      <alignment horizontal="center"/>
    </xf>
    <xf numFmtId="170" fontId="0" fillId="0" borderId="10" xfId="0" applyNumberFormat="1" applyBorder="1" applyAlignment="1">
      <alignment horizontal="center"/>
    </xf>
    <xf numFmtId="0" fontId="0" fillId="10" borderId="0" xfId="0" applyFill="1"/>
    <xf numFmtId="0" fontId="0" fillId="11" borderId="0" xfId="0" applyFill="1"/>
    <xf numFmtId="165" fontId="0" fillId="3" borderId="0" xfId="0" applyNumberFormat="1" applyFill="1"/>
    <xf numFmtId="20" fontId="0" fillId="0" borderId="0" xfId="0" applyNumberFormat="1" applyAlignment="1">
      <alignment horizontal="right"/>
    </xf>
    <xf numFmtId="0" fontId="0" fillId="3" borderId="1" xfId="0" applyFill="1" applyBorder="1"/>
    <xf numFmtId="0" fontId="0" fillId="13" borderId="10" xfId="0" applyFill="1" applyBorder="1"/>
    <xf numFmtId="168" fontId="0" fillId="0" borderId="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7" fontId="0" fillId="12" borderId="10" xfId="0" applyNumberFormat="1" applyFill="1" applyBorder="1" applyAlignment="1">
      <alignment horizontal="center"/>
    </xf>
    <xf numFmtId="2" fontId="0" fillId="12" borderId="8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12" borderId="8" xfId="0" applyNumberFormat="1" applyFill="1" applyBorder="1" applyAlignment="1">
      <alignment horizontal="center"/>
    </xf>
    <xf numFmtId="165" fontId="0" fillId="12" borderId="9" xfId="0" applyNumberFormat="1" applyFill="1" applyBorder="1" applyAlignment="1">
      <alignment horizontal="center"/>
    </xf>
    <xf numFmtId="2" fontId="0" fillId="3" borderId="26" xfId="0" applyNumberFormat="1" applyFill="1" applyBorder="1" applyAlignment="1">
      <alignment horizontal="center"/>
    </xf>
    <xf numFmtId="2" fontId="0" fillId="5" borderId="8" xfId="0" applyNumberFormat="1" applyFill="1" applyBorder="1" applyAlignment="1">
      <alignment horizontal="center"/>
    </xf>
    <xf numFmtId="165" fontId="0" fillId="5" borderId="8" xfId="0" applyNumberFormat="1" applyFill="1" applyBorder="1" applyAlignment="1">
      <alignment horizontal="center"/>
    </xf>
    <xf numFmtId="2" fontId="0" fillId="3" borderId="27" xfId="0" applyNumberFormat="1" applyFill="1" applyBorder="1" applyAlignment="1">
      <alignment horizontal="center"/>
    </xf>
    <xf numFmtId="165" fontId="12" fillId="0" borderId="10" xfId="0" applyNumberFormat="1" applyFont="1" applyBorder="1"/>
    <xf numFmtId="165" fontId="12" fillId="0" borderId="8" xfId="0" applyNumberFormat="1" applyFont="1" applyBorder="1"/>
    <xf numFmtId="165" fontId="12" fillId="0" borderId="9" xfId="0" applyNumberFormat="1" applyFont="1" applyBorder="1"/>
    <xf numFmtId="0" fontId="0" fillId="14" borderId="1" xfId="0" applyFill="1" applyBorder="1" applyAlignment="1">
      <alignment horizontal="center"/>
    </xf>
    <xf numFmtId="0" fontId="0" fillId="14" borderId="7" xfId="0" applyFill="1" applyBorder="1" applyAlignment="1">
      <alignment horizontal="center"/>
    </xf>
    <xf numFmtId="167" fontId="0" fillId="5" borderId="1" xfId="0" applyNumberFormat="1" applyFill="1" applyBorder="1"/>
    <xf numFmtId="0" fontId="0" fillId="2" borderId="7" xfId="0" applyFill="1" applyBorder="1" applyAlignment="1">
      <alignment horizontal="center"/>
    </xf>
    <xf numFmtId="167" fontId="0" fillId="0" borderId="8" xfId="0" applyNumberFormat="1" applyBorder="1" applyAlignment="1">
      <alignment horizontal="center"/>
    </xf>
    <xf numFmtId="167" fontId="0" fillId="0" borderId="9" xfId="0" applyNumberFormat="1" applyBorder="1" applyAlignment="1">
      <alignment horizontal="center"/>
    </xf>
    <xf numFmtId="0" fontId="19" fillId="17" borderId="1" xfId="0" applyFont="1" applyFill="1" applyBorder="1" applyAlignment="1">
      <alignment horizontal="center"/>
    </xf>
    <xf numFmtId="165" fontId="2" fillId="0" borderId="8" xfId="0" applyNumberFormat="1" applyFont="1" applyBorder="1"/>
    <xf numFmtId="165" fontId="2" fillId="0" borderId="9" xfId="0" applyNumberFormat="1" applyFont="1" applyBorder="1"/>
    <xf numFmtId="0" fontId="0" fillId="0" borderId="6" xfId="0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5" fontId="0" fillId="0" borderId="10" xfId="0" applyNumberFormat="1" applyBorder="1"/>
    <xf numFmtId="165" fontId="0" fillId="0" borderId="8" xfId="0" applyNumberFormat="1" applyBorder="1"/>
    <xf numFmtId="165" fontId="0" fillId="0" borderId="9" xfId="0" applyNumberFormat="1" applyBorder="1"/>
    <xf numFmtId="165" fontId="2" fillId="0" borderId="10" xfId="0" applyNumberFormat="1" applyFont="1" applyBorder="1"/>
    <xf numFmtId="165" fontId="2" fillId="0" borderId="2" xfId="0" applyNumberFormat="1" applyFont="1" applyBorder="1"/>
    <xf numFmtId="165" fontId="2" fillId="0" borderId="3" xfId="0" applyNumberFormat="1" applyFont="1" applyBorder="1"/>
    <xf numFmtId="165" fontId="2" fillId="0" borderId="4" xfId="0" applyNumberFormat="1" applyFont="1" applyBorder="1"/>
    <xf numFmtId="165" fontId="0" fillId="0" borderId="2" xfId="0" applyNumberFormat="1" applyBorder="1"/>
    <xf numFmtId="165" fontId="0" fillId="0" borderId="3" xfId="0" applyNumberFormat="1" applyBorder="1"/>
    <xf numFmtId="165" fontId="0" fillId="0" borderId="4" xfId="0" applyNumberFormat="1" applyBorder="1"/>
    <xf numFmtId="0" fontId="1" fillId="2" borderId="2" xfId="0" applyFont="1" applyFill="1" applyBorder="1" applyAlignment="1">
      <alignment horizontal="center"/>
    </xf>
    <xf numFmtId="0" fontId="0" fillId="0" borderId="28" xfId="0" applyBorder="1"/>
    <xf numFmtId="0" fontId="20" fillId="0" borderId="29" xfId="0" applyFont="1" applyBorder="1" applyAlignment="1">
      <alignment horizontal="centerContinuous"/>
    </xf>
    <xf numFmtId="0" fontId="20" fillId="0" borderId="29" xfId="0" applyFont="1" applyBorder="1" applyAlignment="1">
      <alignment horizontal="center"/>
    </xf>
    <xf numFmtId="165" fontId="12" fillId="0" borderId="3" xfId="0" applyNumberFormat="1" applyFont="1" applyBorder="1" applyAlignment="1">
      <alignment horizontal="center"/>
    </xf>
    <xf numFmtId="165" fontId="12" fillId="0" borderId="4" xfId="0" applyNumberFormat="1" applyFont="1" applyBorder="1" applyAlignment="1">
      <alignment horizontal="center"/>
    </xf>
    <xf numFmtId="167" fontId="0" fillId="11" borderId="8" xfId="0" applyNumberFormat="1" applyFill="1" applyBorder="1" applyAlignment="1">
      <alignment horizontal="center"/>
    </xf>
    <xf numFmtId="167" fontId="0" fillId="10" borderId="8" xfId="0" applyNumberFormat="1" applyFill="1" applyBorder="1" applyAlignment="1">
      <alignment horizontal="center"/>
    </xf>
    <xf numFmtId="167" fontId="0" fillId="10" borderId="9" xfId="0" applyNumberFormat="1" applyFill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167" fontId="0" fillId="0" borderId="4" xfId="0" applyNumberFormat="1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168" fontId="0" fillId="0" borderId="5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0" fillId="12" borderId="8" xfId="0" applyFill="1" applyBorder="1" applyAlignment="1">
      <alignment horizontal="center"/>
    </xf>
    <xf numFmtId="0" fontId="0" fillId="12" borderId="26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167" fontId="0" fillId="5" borderId="10" xfId="0" applyNumberFormat="1" applyFill="1" applyBorder="1" applyAlignment="1">
      <alignment horizontal="center"/>
    </xf>
    <xf numFmtId="2" fontId="0" fillId="5" borderId="9" xfId="0" applyNumberFormat="1" applyFill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1" fillId="18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2" fontId="0" fillId="3" borderId="0" xfId="0" applyNumberFormat="1" applyFill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16" fillId="15" borderId="0" xfId="0" applyFont="1" applyFill="1"/>
    <xf numFmtId="0" fontId="16" fillId="16" borderId="0" xfId="0" applyFont="1" applyFill="1"/>
    <xf numFmtId="0" fontId="16" fillId="16" borderId="34" xfId="0" applyFont="1" applyFill="1" applyBorder="1"/>
    <xf numFmtId="0" fontId="17" fillId="9" borderId="0" xfId="0" applyFont="1" applyFill="1"/>
    <xf numFmtId="0" fontId="17" fillId="9" borderId="34" xfId="0" applyFont="1" applyFill="1" applyBorder="1"/>
    <xf numFmtId="0" fontId="0" fillId="0" borderId="35" xfId="0" applyBorder="1"/>
    <xf numFmtId="0" fontId="0" fillId="0" borderId="36" xfId="0" applyBorder="1"/>
    <xf numFmtId="10" fontId="0" fillId="0" borderId="36" xfId="0" applyNumberFormat="1" applyBorder="1"/>
    <xf numFmtId="10" fontId="0" fillId="0" borderId="37" xfId="0" applyNumberFormat="1" applyBorder="1"/>
    <xf numFmtId="0" fontId="0" fillId="0" borderId="37" xfId="0" applyBorder="1"/>
    <xf numFmtId="0" fontId="0" fillId="0" borderId="30" xfId="0" applyBorder="1" applyAlignment="1">
      <alignment horizontal="center"/>
    </xf>
    <xf numFmtId="0" fontId="0" fillId="0" borderId="35" xfId="0" applyBorder="1" applyAlignment="1">
      <alignment horizontal="center"/>
    </xf>
    <xf numFmtId="0" fontId="23" fillId="0" borderId="0" xfId="0" applyFont="1" applyAlignment="1">
      <alignment wrapText="1"/>
    </xf>
    <xf numFmtId="0" fontId="1" fillId="2" borderId="39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 vertical="center"/>
    </xf>
    <xf numFmtId="14" fontId="0" fillId="0" borderId="34" xfId="0" applyNumberFormat="1" applyBorder="1"/>
    <xf numFmtId="0" fontId="0" fillId="21" borderId="0" xfId="0" applyFill="1"/>
    <xf numFmtId="0" fontId="0" fillId="14" borderId="0" xfId="0" applyFill="1"/>
    <xf numFmtId="0" fontId="0" fillId="0" borderId="34" xfId="0" applyBorder="1" applyAlignment="1">
      <alignment vertical="center"/>
    </xf>
    <xf numFmtId="167" fontId="0" fillId="0" borderId="0" xfId="0" applyNumberFormat="1"/>
    <xf numFmtId="165" fontId="0" fillId="0" borderId="0" xfId="0" applyNumberFormat="1" applyAlignment="1">
      <alignment horizontal="center" vertical="center"/>
    </xf>
    <xf numFmtId="0" fontId="0" fillId="18" borderId="0" xfId="0" applyFill="1"/>
    <xf numFmtId="0" fontId="0" fillId="2" borderId="3" xfId="0" applyFill="1" applyBorder="1" applyAlignment="1">
      <alignment horizontal="center"/>
    </xf>
    <xf numFmtId="0" fontId="0" fillId="21" borderId="1" xfId="0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1" fillId="21" borderId="1" xfId="0" applyFont="1" applyFill="1" applyBorder="1" applyAlignment="1">
      <alignment horizontal="center"/>
    </xf>
    <xf numFmtId="2" fontId="0" fillId="0" borderId="7" xfId="0" applyNumberFormat="1" applyBorder="1"/>
    <xf numFmtId="2" fontId="0" fillId="0" borderId="3" xfId="0" applyNumberForma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" xfId="0" applyNumberFormat="1" applyBorder="1"/>
    <xf numFmtId="0" fontId="1" fillId="22" borderId="1" xfId="0" applyFont="1" applyFill="1" applyBorder="1" applyAlignment="1">
      <alignment horizontal="center"/>
    </xf>
    <xf numFmtId="165" fontId="0" fillId="0" borderId="7" xfId="0" applyNumberFormat="1" applyBorder="1"/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12" fillId="0" borderId="0" xfId="0" applyNumberFormat="1" applyFont="1" applyAlignment="1">
      <alignment horizontal="center"/>
    </xf>
    <xf numFmtId="165" fontId="12" fillId="0" borderId="1" xfId="0" applyNumberFormat="1" applyFont="1" applyBorder="1" applyAlignment="1">
      <alignment horizontal="center"/>
    </xf>
    <xf numFmtId="165" fontId="0" fillId="0" borderId="1" xfId="0" applyNumberFormat="1" applyBorder="1"/>
    <xf numFmtId="0" fontId="0" fillId="0" borderId="40" xfId="0" applyBorder="1" applyAlignment="1">
      <alignment horizontal="center"/>
    </xf>
    <xf numFmtId="167" fontId="0" fillId="11" borderId="0" xfId="0" applyNumberFormat="1" applyFill="1" applyAlignment="1">
      <alignment horizontal="center"/>
    </xf>
    <xf numFmtId="0" fontId="0" fillId="0" borderId="42" xfId="0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0" fillId="0" borderId="33" xfId="0" applyBorder="1" applyAlignment="1">
      <alignment horizontal="center"/>
    </xf>
    <xf numFmtId="2" fontId="0" fillId="0" borderId="36" xfId="0" applyNumberFormat="1" applyBorder="1" applyAlignment="1">
      <alignment horizontal="center"/>
    </xf>
    <xf numFmtId="165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/>
    </xf>
    <xf numFmtId="165" fontId="0" fillId="0" borderId="31" xfId="0" applyNumberFormat="1" applyBorder="1" applyAlignment="1">
      <alignment horizontal="center" vertical="center"/>
    </xf>
    <xf numFmtId="0" fontId="0" fillId="0" borderId="41" xfId="0" applyBorder="1" applyAlignment="1">
      <alignment horizontal="center"/>
    </xf>
    <xf numFmtId="2" fontId="0" fillId="0" borderId="40" xfId="0" applyNumberFormat="1" applyBorder="1" applyAlignment="1">
      <alignment horizontal="center"/>
    </xf>
    <xf numFmtId="2" fontId="0" fillId="0" borderId="41" xfId="0" applyNumberFormat="1" applyBorder="1" applyAlignment="1">
      <alignment horizontal="center"/>
    </xf>
    <xf numFmtId="2" fontId="0" fillId="0" borderId="42" xfId="0" applyNumberFormat="1" applyBorder="1" applyAlignment="1">
      <alignment horizontal="center"/>
    </xf>
    <xf numFmtId="2" fontId="0" fillId="0" borderId="36" xfId="0" applyNumberFormat="1" applyBorder="1"/>
    <xf numFmtId="2" fontId="0" fillId="0" borderId="2" xfId="0" applyNumberFormat="1" applyBorder="1" applyAlignment="1">
      <alignment horizontal="center"/>
    </xf>
    <xf numFmtId="167" fontId="0" fillId="11" borderId="10" xfId="0" applyNumberFormat="1" applyFill="1" applyBorder="1"/>
    <xf numFmtId="167" fontId="0" fillId="11" borderId="8" xfId="0" applyNumberFormat="1" applyFill="1" applyBorder="1"/>
    <xf numFmtId="167" fontId="0" fillId="10" borderId="9" xfId="0" applyNumberFormat="1" applyFill="1" applyBorder="1"/>
    <xf numFmtId="168" fontId="0" fillId="0" borderId="7" xfId="0" applyNumberFormat="1" applyBorder="1"/>
    <xf numFmtId="168" fontId="0" fillId="0" borderId="10" xfId="0" applyNumberFormat="1" applyBorder="1" applyAlignment="1">
      <alignment horizontal="center"/>
    </xf>
    <xf numFmtId="168" fontId="0" fillId="0" borderId="8" xfId="0" applyNumberFormat="1" applyBorder="1" applyAlignment="1">
      <alignment horizontal="center"/>
    </xf>
    <xf numFmtId="168" fontId="0" fillId="0" borderId="9" xfId="0" applyNumberFormat="1" applyBorder="1" applyAlignment="1">
      <alignment horizontal="center"/>
    </xf>
    <xf numFmtId="167" fontId="0" fillId="0" borderId="31" xfId="0" applyNumberFormat="1" applyBorder="1"/>
    <xf numFmtId="0" fontId="13" fillId="0" borderId="0" xfId="0" applyFont="1" applyAlignment="1">
      <alignment horizontal="center"/>
    </xf>
    <xf numFmtId="2" fontId="0" fillId="8" borderId="0" xfId="0" applyNumberFormat="1" applyFill="1"/>
    <xf numFmtId="2" fontId="0" fillId="19" borderId="0" xfId="0" applyNumberFormat="1" applyFill="1"/>
    <xf numFmtId="0" fontId="0" fillId="5" borderId="9" xfId="0" applyFill="1" applyBorder="1" applyAlignment="1">
      <alignment horizontal="center"/>
    </xf>
    <xf numFmtId="2" fontId="0" fillId="5" borderId="10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165" fontId="0" fillId="5" borderId="9" xfId="0" applyNumberFormat="1" applyFill="1" applyBorder="1" applyAlignment="1">
      <alignment horizontal="center"/>
    </xf>
    <xf numFmtId="0" fontId="24" fillId="20" borderId="25" xfId="0" applyFont="1" applyFill="1" applyBorder="1" applyAlignment="1">
      <alignment horizontal="center" wrapText="1"/>
    </xf>
    <xf numFmtId="0" fontId="24" fillId="20" borderId="38" xfId="0" applyFont="1" applyFill="1" applyBorder="1" applyAlignment="1">
      <alignment horizontal="center" wrapText="1"/>
    </xf>
    <xf numFmtId="0" fontId="24" fillId="20" borderId="2" xfId="0" applyFont="1" applyFill="1" applyBorder="1" applyAlignment="1">
      <alignment horizontal="center" wrapText="1"/>
    </xf>
    <xf numFmtId="0" fontId="24" fillId="20" borderId="26" xfId="0" applyFont="1" applyFill="1" applyBorder="1" applyAlignment="1">
      <alignment horizontal="center" wrapText="1"/>
    </xf>
    <xf numFmtId="0" fontId="24" fillId="20" borderId="0" xfId="0" applyFont="1" applyFill="1" applyAlignment="1">
      <alignment horizontal="center" wrapText="1"/>
    </xf>
    <xf numFmtId="0" fontId="24" fillId="20" borderId="3" xfId="0" applyFont="1" applyFill="1" applyBorder="1" applyAlignment="1">
      <alignment horizontal="center" wrapText="1"/>
    </xf>
    <xf numFmtId="0" fontId="24" fillId="20" borderId="27" xfId="0" applyFont="1" applyFill="1" applyBorder="1" applyAlignment="1">
      <alignment horizontal="center" wrapText="1"/>
    </xf>
    <xf numFmtId="0" fontId="24" fillId="20" borderId="28" xfId="0" applyFont="1" applyFill="1" applyBorder="1" applyAlignment="1">
      <alignment horizontal="center" wrapText="1"/>
    </xf>
    <xf numFmtId="0" fontId="24" fillId="20" borderId="4" xfId="0" applyFont="1" applyFill="1" applyBorder="1" applyAlignment="1">
      <alignment horizontal="center" wrapText="1"/>
    </xf>
    <xf numFmtId="0" fontId="22" fillId="20" borderId="30" xfId="0" applyFont="1" applyFill="1" applyBorder="1" applyAlignment="1">
      <alignment horizontal="center"/>
    </xf>
    <xf numFmtId="0" fontId="22" fillId="20" borderId="31" xfId="0" applyFont="1" applyFill="1" applyBorder="1" applyAlignment="1">
      <alignment horizontal="center"/>
    </xf>
    <xf numFmtId="0" fontId="22" fillId="20" borderId="32" xfId="0" applyFont="1" applyFill="1" applyBorder="1" applyAlignment="1">
      <alignment horizontal="center"/>
    </xf>
    <xf numFmtId="0" fontId="22" fillId="20" borderId="35" xfId="0" applyFont="1" applyFill="1" applyBorder="1" applyAlignment="1">
      <alignment horizontal="center"/>
    </xf>
    <xf numFmtId="0" fontId="22" fillId="20" borderId="36" xfId="0" applyFont="1" applyFill="1" applyBorder="1" applyAlignment="1">
      <alignment horizontal="center"/>
    </xf>
    <xf numFmtId="0" fontId="22" fillId="20" borderId="37" xfId="0" applyFont="1" applyFill="1" applyBorder="1" applyAlignment="1">
      <alignment horizontal="center"/>
    </xf>
    <xf numFmtId="0" fontId="24" fillId="0" borderId="25" xfId="0" applyFont="1" applyBorder="1" applyAlignment="1">
      <alignment horizontal="center" wrapText="1"/>
    </xf>
    <xf numFmtId="0" fontId="24" fillId="0" borderId="38" xfId="0" applyFont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0" fontId="24" fillId="0" borderId="26" xfId="0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24" fillId="0" borderId="27" xfId="0" applyFont="1" applyBorder="1" applyAlignment="1">
      <alignment horizontal="center" wrapText="1"/>
    </xf>
    <xf numFmtId="0" fontId="24" fillId="0" borderId="28" xfId="0" applyFont="1" applyBorder="1" applyAlignment="1">
      <alignment horizontal="center" wrapText="1"/>
    </xf>
    <xf numFmtId="0" fontId="24" fillId="0" borderId="4" xfId="0" applyFont="1" applyBorder="1" applyAlignment="1">
      <alignment horizontal="center" wrapText="1"/>
    </xf>
    <xf numFmtId="0" fontId="0" fillId="14" borderId="6" xfId="0" applyFill="1" applyBorder="1" applyAlignment="1">
      <alignment horizontal="center"/>
    </xf>
    <xf numFmtId="0" fontId="0" fillId="14" borderId="7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14" borderId="5" xfId="0" applyFill="1" applyBorder="1" applyAlignment="1">
      <alignment horizontal="center"/>
    </xf>
    <xf numFmtId="0" fontId="0" fillId="20" borderId="5" xfId="0" applyFill="1" applyBorder="1" applyAlignment="1">
      <alignment horizontal="center"/>
    </xf>
    <xf numFmtId="0" fontId="0" fillId="20" borderId="6" xfId="0" applyFill="1" applyBorder="1" applyAlignment="1">
      <alignment horizontal="center"/>
    </xf>
    <xf numFmtId="0" fontId="0" fillId="20" borderId="7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1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1" xfId="0" applyFill="1" applyBorder="1" applyAlignment="1">
      <alignment horizontal="center"/>
    </xf>
    <xf numFmtId="0" fontId="0" fillId="4" borderId="11" xfId="0" applyFill="1" applyBorder="1" applyAlignment="1">
      <alignment horizontal="left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3" borderId="13" xfId="0" applyFill="1" applyBorder="1" applyAlignment="1">
      <alignment horizontal="left"/>
    </xf>
    <xf numFmtId="14" fontId="0" fillId="0" borderId="14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67" fontId="0" fillId="5" borderId="10" xfId="0" applyNumberFormat="1" applyFill="1" applyBorder="1" applyAlignment="1">
      <alignment horizontal="center" vertical="center"/>
    </xf>
    <xf numFmtId="167" fontId="0" fillId="5" borderId="8" xfId="0" applyNumberFormat="1" applyFill="1" applyBorder="1" applyAlignment="1">
      <alignment horizontal="center" vertical="center"/>
    </xf>
    <xf numFmtId="167" fontId="0" fillId="5" borderId="9" xfId="0" applyNumberFormat="1" applyFill="1" applyBorder="1" applyAlignment="1">
      <alignment horizontal="center" vertical="center"/>
    </xf>
    <xf numFmtId="167" fontId="0" fillId="0" borderId="40" xfId="0" applyNumberFormat="1" applyBorder="1" applyAlignment="1">
      <alignment horizontal="center" vertical="center"/>
    </xf>
    <xf numFmtId="167" fontId="0" fillId="0" borderId="41" xfId="0" applyNumberFormat="1" applyBorder="1" applyAlignment="1">
      <alignment horizontal="center" vertical="center"/>
    </xf>
    <xf numFmtId="167" fontId="0" fillId="0" borderId="42" xfId="0" applyNumberFormat="1" applyBorder="1" applyAlignment="1">
      <alignment horizontal="center" vertical="center"/>
    </xf>
    <xf numFmtId="0" fontId="0" fillId="14" borderId="10" xfId="0" applyFill="1" applyBorder="1" applyAlignment="1">
      <alignment horizontal="center" vertical="center"/>
    </xf>
    <xf numFmtId="0" fontId="0" fillId="14" borderId="8" xfId="0" applyFill="1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5" fontId="0" fillId="0" borderId="9" xfId="0" applyNumberFormat="1" applyBorder="1" applyAlignment="1">
      <alignment horizontal="center" vertical="center"/>
    </xf>
    <xf numFmtId="167" fontId="0" fillId="0" borderId="10" xfId="0" applyNumberFormat="1" applyBorder="1" applyAlignment="1">
      <alignment horizontal="center" vertical="center"/>
    </xf>
    <xf numFmtId="167" fontId="0" fillId="0" borderId="8" xfId="0" applyNumberFormat="1" applyBorder="1" applyAlignment="1">
      <alignment horizontal="center" vertical="center"/>
    </xf>
    <xf numFmtId="167" fontId="0" fillId="0" borderId="9" xfId="0" applyNumberForma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0" fillId="21" borderId="10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0" fillId="21" borderId="9" xfId="0" applyFill="1" applyBorder="1" applyAlignment="1">
      <alignment horizontal="center" vertical="center"/>
    </xf>
    <xf numFmtId="0" fontId="0" fillId="18" borderId="10" xfId="0" applyFill="1" applyBorder="1" applyAlignment="1">
      <alignment horizontal="center" vertical="center"/>
    </xf>
    <xf numFmtId="0" fontId="0" fillId="18" borderId="8" xfId="0" applyFill="1" applyBorder="1" applyAlignment="1">
      <alignment horizontal="center" vertical="center"/>
    </xf>
    <xf numFmtId="0" fontId="0" fillId="18" borderId="9" xfId="0" applyFill="1" applyBorder="1" applyAlignment="1">
      <alignment horizontal="center" vertical="center"/>
    </xf>
    <xf numFmtId="2" fontId="0" fillId="0" borderId="5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0" fillId="0" borderId="41" xfId="0" applyNumberFormat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0" fontId="0" fillId="14" borderId="3" xfId="0" applyFill="1" applyBorder="1" applyAlignment="1">
      <alignment horizontal="center" vertical="center"/>
    </xf>
    <xf numFmtId="0" fontId="0" fillId="14" borderId="4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42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21" borderId="2" xfId="0" applyFill="1" applyBorder="1" applyAlignment="1">
      <alignment horizontal="center" vertical="center"/>
    </xf>
    <xf numFmtId="0" fontId="0" fillId="21" borderId="3" xfId="0" applyFill="1" applyBorder="1" applyAlignment="1">
      <alignment horizontal="center" vertical="center"/>
    </xf>
    <xf numFmtId="0" fontId="0" fillId="21" borderId="4" xfId="0" applyFill="1" applyBorder="1" applyAlignment="1">
      <alignment horizontal="center" vertical="center"/>
    </xf>
    <xf numFmtId="0" fontId="28" fillId="20" borderId="10" xfId="0" applyFont="1" applyFill="1" applyBorder="1" applyAlignment="1">
      <alignment horizontal="center" vertical="center" wrapText="1"/>
    </xf>
    <xf numFmtId="0" fontId="28" fillId="20" borderId="8" xfId="0" applyFont="1" applyFill="1" applyBorder="1" applyAlignment="1">
      <alignment horizontal="center" vertical="center" wrapText="1"/>
    </xf>
    <xf numFmtId="0" fontId="28" fillId="20" borderId="9" xfId="0" applyFont="1" applyFill="1" applyBorder="1" applyAlignment="1">
      <alignment horizontal="center" vertical="center" wrapText="1"/>
    </xf>
    <xf numFmtId="0" fontId="0" fillId="18" borderId="2" xfId="0" applyFill="1" applyBorder="1" applyAlignment="1">
      <alignment horizontal="center" vertical="center"/>
    </xf>
    <xf numFmtId="0" fontId="0" fillId="18" borderId="3" xfId="0" applyFill="1" applyBorder="1" applyAlignment="1">
      <alignment horizontal="center" vertical="center"/>
    </xf>
    <xf numFmtId="0" fontId="0" fillId="18" borderId="4" xfId="0" applyFill="1" applyBorder="1" applyAlignment="1">
      <alignment horizontal="center" vertical="center"/>
    </xf>
    <xf numFmtId="0" fontId="3" fillId="14" borderId="5" xfId="0" applyFont="1" applyFill="1" applyBorder="1" applyAlignment="1">
      <alignment horizontal="center"/>
    </xf>
    <xf numFmtId="0" fontId="3" fillId="14" borderId="6" xfId="0" applyFont="1" applyFill="1" applyBorder="1" applyAlignment="1">
      <alignment horizontal="center"/>
    </xf>
    <xf numFmtId="0" fontId="3" fillId="14" borderId="7" xfId="0" applyFont="1" applyFill="1" applyBorder="1" applyAlignment="1">
      <alignment horizontal="center"/>
    </xf>
    <xf numFmtId="0" fontId="0" fillId="0" borderId="25" xfId="0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21" borderId="5" xfId="0" applyFont="1" applyFill="1" applyBorder="1" applyAlignment="1">
      <alignment horizontal="center"/>
    </xf>
    <xf numFmtId="0" fontId="3" fillId="21" borderId="6" xfId="0" applyFont="1" applyFill="1" applyBorder="1" applyAlignment="1">
      <alignment horizontal="center"/>
    </xf>
    <xf numFmtId="0" fontId="3" fillId="21" borderId="7" xfId="0" applyFont="1" applyFill="1" applyBorder="1" applyAlignment="1">
      <alignment horizontal="center"/>
    </xf>
    <xf numFmtId="0" fontId="28" fillId="20" borderId="25" xfId="0" applyFont="1" applyFill="1" applyBorder="1" applyAlignment="1">
      <alignment horizontal="center" vertical="center" wrapText="1"/>
    </xf>
    <xf numFmtId="0" fontId="28" fillId="20" borderId="2" xfId="0" applyFont="1" applyFill="1" applyBorder="1" applyAlignment="1">
      <alignment horizontal="center" vertical="center" wrapText="1"/>
    </xf>
    <xf numFmtId="0" fontId="28" fillId="20" borderId="26" xfId="0" applyFont="1" applyFill="1" applyBorder="1" applyAlignment="1">
      <alignment horizontal="center" vertical="center" wrapText="1"/>
    </xf>
    <xf numFmtId="0" fontId="28" fillId="20" borderId="3" xfId="0" applyFont="1" applyFill="1" applyBorder="1" applyAlignment="1">
      <alignment horizontal="center" vertical="center" wrapText="1"/>
    </xf>
    <xf numFmtId="0" fontId="28" fillId="20" borderId="27" xfId="0" applyFont="1" applyFill="1" applyBorder="1" applyAlignment="1">
      <alignment horizontal="center" vertical="center" wrapText="1"/>
    </xf>
    <xf numFmtId="0" fontId="28" fillId="20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/>
    </xf>
    <xf numFmtId="0" fontId="3" fillId="18" borderId="6" xfId="0" applyFont="1" applyFill="1" applyBorder="1" applyAlignment="1">
      <alignment horizontal="center"/>
    </xf>
    <xf numFmtId="0" fontId="3" fillId="18" borderId="7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" fillId="14" borderId="25" xfId="0" applyFont="1" applyFill="1" applyBorder="1" applyAlignment="1">
      <alignment horizontal="center"/>
    </xf>
    <xf numFmtId="0" fontId="1" fillId="14" borderId="2" xfId="0" applyFont="1" applyFill="1" applyBorder="1" applyAlignment="1">
      <alignment horizontal="center"/>
    </xf>
    <xf numFmtId="0" fontId="1" fillId="18" borderId="5" xfId="0" applyFont="1" applyFill="1" applyBorder="1" applyAlignment="1">
      <alignment horizontal="center"/>
    </xf>
    <xf numFmtId="0" fontId="1" fillId="18" borderId="7" xfId="0" applyFont="1" applyFill="1" applyBorder="1" applyAlignment="1">
      <alignment horizontal="center"/>
    </xf>
    <xf numFmtId="0" fontId="1" fillId="14" borderId="5" xfId="0" applyFont="1" applyFill="1" applyBorder="1" applyAlignment="1">
      <alignment horizontal="center"/>
    </xf>
    <xf numFmtId="0" fontId="1" fillId="14" borderId="7" xfId="0" applyFont="1" applyFill="1" applyBorder="1" applyAlignment="1">
      <alignment horizontal="center"/>
    </xf>
    <xf numFmtId="0" fontId="1" fillId="14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9061"/>
      <color rgb="FFCCCCFF"/>
      <color rgb="FF8EBAE2"/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PpC</a:t>
            </a:r>
            <a:r>
              <a:rPr lang="el-GR"/>
              <a:t>β21-</a:t>
            </a:r>
            <a:r>
              <a:rPr lang="en-US"/>
              <a:t>PEJY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'Raw DCW'!$L$40</c:f>
              <c:strCache>
                <c:ptCount val="1"/>
                <c:pt idx="0">
                  <c:v>PpCβ21-PEJY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99061"/>
              </a:solidFill>
              <a:ln w="9525">
                <a:solidFill>
                  <a:srgbClr val="F9906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9906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3.0816883577552078E-3"/>
                  <c:y val="0.28322787743130751"/>
                </c:manualLayout>
              </c:layout>
              <c:numFmt formatCode="General" sourceLinked="0"/>
              <c:spPr>
                <a:solidFill>
                  <a:srgbClr val="F9906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'Raw DCW'!$C$60:$C$76</c:f>
              <c:numCache>
                <c:formatCode>0.000</c:formatCode>
                <c:ptCount val="17"/>
                <c:pt idx="0">
                  <c:v>0.37666666666666665</c:v>
                </c:pt>
                <c:pt idx="1">
                  <c:v>0.48199999999999998</c:v>
                </c:pt>
                <c:pt idx="2">
                  <c:v>0.6333333333333333</c:v>
                </c:pt>
                <c:pt idx="3">
                  <c:v>0.68600000000000005</c:v>
                </c:pt>
                <c:pt idx="4">
                  <c:v>0.33400000000000002</c:v>
                </c:pt>
                <c:pt idx="5">
                  <c:v>0.43566666666666665</c:v>
                </c:pt>
                <c:pt idx="6">
                  <c:v>0.58799999999999997</c:v>
                </c:pt>
                <c:pt idx="7">
                  <c:v>0.63933333333333342</c:v>
                </c:pt>
                <c:pt idx="8">
                  <c:v>0.42</c:v>
                </c:pt>
                <c:pt idx="9">
                  <c:v>0.52333333333333332</c:v>
                </c:pt>
                <c:pt idx="10">
                  <c:v>0.57666666666666666</c:v>
                </c:pt>
                <c:pt idx="11">
                  <c:v>0.42599999999999999</c:v>
                </c:pt>
                <c:pt idx="12">
                  <c:v>0.58333333333333326</c:v>
                </c:pt>
                <c:pt idx="13">
                  <c:v>0.65666666666666662</c:v>
                </c:pt>
                <c:pt idx="14">
                  <c:v>0.42366666666666664</c:v>
                </c:pt>
                <c:pt idx="15">
                  <c:v>0.58366666666666667</c:v>
                </c:pt>
                <c:pt idx="16">
                  <c:v>0.64166666666666672</c:v>
                </c:pt>
              </c:numCache>
            </c:numRef>
          </c:xVal>
          <c:yVal>
            <c:numRef>
              <c:f>'Raw DCW'!$D$60:$D$76</c:f>
              <c:numCache>
                <c:formatCode>0.000</c:formatCode>
                <c:ptCount val="17"/>
                <c:pt idx="0">
                  <c:v>0.13266666666666665</c:v>
                </c:pt>
                <c:pt idx="1">
                  <c:v>0.16166666666666665</c:v>
                </c:pt>
                <c:pt idx="2">
                  <c:v>0.21233333333333332</c:v>
                </c:pt>
                <c:pt idx="3">
                  <c:v>0.23191666666666666</c:v>
                </c:pt>
                <c:pt idx="4">
                  <c:v>0.11541666666666667</c:v>
                </c:pt>
                <c:pt idx="5">
                  <c:v>0.14716666666666667</c:v>
                </c:pt>
                <c:pt idx="6">
                  <c:v>0.19683333333333333</c:v>
                </c:pt>
                <c:pt idx="7">
                  <c:v>0.21700000000000003</c:v>
                </c:pt>
                <c:pt idx="8">
                  <c:v>0.13500000000000001</c:v>
                </c:pt>
                <c:pt idx="9">
                  <c:v>0.1761666666666665</c:v>
                </c:pt>
                <c:pt idx="10">
                  <c:v>0.18891666666666651</c:v>
                </c:pt>
                <c:pt idx="11">
                  <c:v>0.13824999999999998</c:v>
                </c:pt>
                <c:pt idx="12">
                  <c:v>0.193</c:v>
                </c:pt>
                <c:pt idx="13">
                  <c:v>0.2099166666666665</c:v>
                </c:pt>
                <c:pt idx="14">
                  <c:v>0.1388333333333335</c:v>
                </c:pt>
                <c:pt idx="15">
                  <c:v>0.1940833333333335</c:v>
                </c:pt>
                <c:pt idx="16">
                  <c:v>0.21383333333333351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514-4029-A5BF-68F5AA749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38767"/>
        <c:axId val="134687327"/>
      </c:scatterChart>
      <c:valAx>
        <c:axId val="133438767"/>
        <c:scaling>
          <c:orientation val="minMax"/>
          <c:max val="0.70000000000000007"/>
          <c:min val="0.3000000000000000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DO600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687327"/>
        <c:crosses val="autoZero"/>
        <c:crossBetween val="midCat"/>
      </c:valAx>
      <c:valAx>
        <c:axId val="134687327"/>
        <c:scaling>
          <c:orientation val="minMax"/>
          <c:max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DCW</a:t>
                </a:r>
                <a:r>
                  <a:rPr lang="en-US" baseline="0"/>
                  <a:t> (g/L)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4387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761453</xdr:colOff>
      <xdr:row>58</xdr:row>
      <xdr:rowOff>57695</xdr:rowOff>
    </xdr:from>
    <xdr:to>
      <xdr:col>14</xdr:col>
      <xdr:colOff>424542</xdr:colOff>
      <xdr:row>85</xdr:row>
      <xdr:rowOff>17871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6564B8A-D160-0D43-370F-B26A1B01A9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D3418-9EFE-4114-9EF3-60D81C0384B4}">
  <dimension ref="A1:X3697"/>
  <sheetViews>
    <sheetView zoomScale="50" zoomScaleNormal="50" workbookViewId="0">
      <selection activeCell="I120" sqref="I120"/>
    </sheetView>
  </sheetViews>
  <sheetFormatPr baseColWidth="10" defaultColWidth="8.88671875" defaultRowHeight="14.4" x14ac:dyDescent="0.3"/>
  <cols>
    <col min="1" max="2" width="13.88671875" bestFit="1" customWidth="1"/>
    <col min="3" max="3" width="11.6640625" bestFit="1" customWidth="1"/>
    <col min="5" max="5" width="21" bestFit="1" customWidth="1"/>
    <col min="6" max="6" width="15.88671875" bestFit="1" customWidth="1"/>
    <col min="7" max="7" width="22.44140625" bestFit="1" customWidth="1"/>
    <col min="8" max="8" width="23.44140625" bestFit="1" customWidth="1"/>
    <col min="9" max="9" width="19.33203125" bestFit="1" customWidth="1"/>
    <col min="10" max="11" width="19.33203125" customWidth="1"/>
    <col min="12" max="12" width="29.5546875" style="55" customWidth="1"/>
    <col min="13" max="13" width="24" bestFit="1" customWidth="1"/>
    <col min="14" max="14" width="10.109375" customWidth="1"/>
    <col min="16" max="16" width="10.109375" customWidth="1"/>
    <col min="19" max="19" width="13.109375" bestFit="1" customWidth="1"/>
    <col min="20" max="20" width="11.44140625" bestFit="1" customWidth="1"/>
    <col min="22" max="22" width="12" bestFit="1" customWidth="1"/>
  </cols>
  <sheetData>
    <row r="1" spans="2:24" ht="15.6" thickBot="1" x14ac:dyDescent="0.35">
      <c r="B1" s="1" t="s">
        <v>68</v>
      </c>
      <c r="C1" s="1" t="s">
        <v>66</v>
      </c>
      <c r="D1" s="1" t="s">
        <v>67</v>
      </c>
      <c r="E1" s="1" t="s">
        <v>25</v>
      </c>
      <c r="F1" s="1" t="s">
        <v>23</v>
      </c>
      <c r="G1" s="1" t="s">
        <v>135</v>
      </c>
      <c r="H1" s="1" t="s">
        <v>136</v>
      </c>
      <c r="I1" s="1" t="s">
        <v>24</v>
      </c>
      <c r="J1" s="1" t="s">
        <v>65</v>
      </c>
      <c r="K1" s="1" t="s">
        <v>73</v>
      </c>
      <c r="L1" s="54" t="s">
        <v>137</v>
      </c>
      <c r="M1" s="1" t="s">
        <v>138</v>
      </c>
      <c r="N1" s="52"/>
      <c r="O1" s="52"/>
      <c r="P1" s="52"/>
      <c r="S1" s="16" t="s">
        <v>26</v>
      </c>
      <c r="T1" s="17">
        <v>0.03</v>
      </c>
      <c r="U1" s="36" t="s">
        <v>27</v>
      </c>
      <c r="V1" s="8"/>
      <c r="W1" s="40"/>
      <c r="X1" s="41"/>
    </row>
    <row r="2" spans="2:24" x14ac:dyDescent="0.3">
      <c r="C2" s="13">
        <v>45496</v>
      </c>
      <c r="D2" s="87">
        <v>0.93888888888888888</v>
      </c>
      <c r="E2" s="15">
        <f>E3-(5/60)</f>
        <v>29.583333333333336</v>
      </c>
      <c r="F2" s="15">
        <v>0</v>
      </c>
      <c r="G2" s="15">
        <v>1.53</v>
      </c>
      <c r="H2" s="70">
        <v>1.53</v>
      </c>
      <c r="I2" s="72">
        <v>540</v>
      </c>
      <c r="J2" s="15">
        <v>0</v>
      </c>
      <c r="K2" s="15">
        <v>0</v>
      </c>
      <c r="L2" s="86"/>
      <c r="M2" s="15">
        <v>22</v>
      </c>
      <c r="N2" s="52"/>
      <c r="O2" s="52"/>
      <c r="P2" s="52"/>
      <c r="S2" s="19"/>
      <c r="T2" s="67"/>
      <c r="U2" s="21"/>
      <c r="V2" s="8"/>
      <c r="W2" s="40"/>
      <c r="X2" s="41"/>
    </row>
    <row r="3" spans="2:24" ht="15" x14ac:dyDescent="0.35">
      <c r="B3" s="56" t="s">
        <v>72</v>
      </c>
      <c r="C3" s="13">
        <v>45496</v>
      </c>
      <c r="D3" s="53">
        <v>0.94236111111111109</v>
      </c>
      <c r="E3" s="15">
        <f>29+(40/60)</f>
        <v>29.666666666666668</v>
      </c>
      <c r="F3" s="15">
        <v>0</v>
      </c>
      <c r="G3" s="15">
        <v>0</v>
      </c>
      <c r="H3" s="70">
        <f>G3</f>
        <v>0</v>
      </c>
      <c r="I3" s="72">
        <v>540</v>
      </c>
      <c r="J3">
        <f>G3*F3</f>
        <v>0</v>
      </c>
      <c r="K3">
        <f>J3</f>
        <v>0</v>
      </c>
      <c r="L3" s="149">
        <v>0</v>
      </c>
      <c r="M3">
        <f>0.55*40</f>
        <v>22</v>
      </c>
      <c r="O3" s="52"/>
      <c r="S3" s="19" t="s">
        <v>28</v>
      </c>
      <c r="T3" s="27">
        <v>22</v>
      </c>
      <c r="U3" s="21" t="s">
        <v>29</v>
      </c>
      <c r="X3" s="41"/>
    </row>
    <row r="4" spans="2:24" x14ac:dyDescent="0.3">
      <c r="B4" t="s">
        <v>139</v>
      </c>
      <c r="C4" s="13">
        <v>45496</v>
      </c>
      <c r="D4" s="53">
        <v>0.94305555555555554</v>
      </c>
      <c r="E4" s="15">
        <f>$E$3+F4</f>
        <v>29.683333333333334</v>
      </c>
      <c r="F4" s="15">
        <f>F3+1/60</f>
        <v>1.6666666666666666E-2</v>
      </c>
      <c r="G4" s="50">
        <f>T16*EXP($T$1*F4)</f>
        <v>1.649176030254125</v>
      </c>
      <c r="H4" s="70">
        <f t="shared" ref="H4:H67" si="0">G4</f>
        <v>1.649176030254125</v>
      </c>
      <c r="I4">
        <f>I3+(G4+H4)*1/60</f>
        <v>540.0549725343418</v>
      </c>
      <c r="J4">
        <f>G4*1/60</f>
        <v>2.7486267170902082E-2</v>
      </c>
      <c r="K4">
        <f>J4</f>
        <v>2.7486267170902082E-2</v>
      </c>
      <c r="L4" s="55">
        <f>((L3*I3/1000)+(G4*$T$7/1000*1/60))/(I4/1000)</f>
        <v>4.0309088345576088E-2</v>
      </c>
      <c r="M4">
        <f>(M3*I3+G4*$T$7*$T$6*(1/60))/I4</f>
        <v>22.008764987321367</v>
      </c>
      <c r="N4" s="76"/>
      <c r="O4" s="52"/>
      <c r="P4" s="52"/>
      <c r="S4" s="19"/>
      <c r="T4" s="27"/>
      <c r="U4" s="21"/>
      <c r="X4" s="41"/>
    </row>
    <row r="5" spans="2:24" ht="15" x14ac:dyDescent="0.35">
      <c r="C5" s="13">
        <v>45496</v>
      </c>
      <c r="D5" s="53">
        <v>0.94652777777777775</v>
      </c>
      <c r="E5" s="15">
        <f>$E$3+F5</f>
        <v>29.766666666666669</v>
      </c>
      <c r="F5" s="15">
        <f>F4+5/60</f>
        <v>9.9999999999999992E-2</v>
      </c>
      <c r="G5" s="50">
        <f t="shared" ref="G5:G68" si="1">$G$4*EXP($T$1*F5)</f>
        <v>1.6541309870638849</v>
      </c>
      <c r="H5" s="70">
        <f t="shared" si="0"/>
        <v>1.6541309870638849</v>
      </c>
      <c r="I5">
        <f>I4+(G5+H5)*5/60</f>
        <v>540.33066103218573</v>
      </c>
      <c r="J5">
        <f t="shared" ref="J5:J68" si="2">J4+G5*5/60</f>
        <v>0.16533051609289248</v>
      </c>
      <c r="K5">
        <f t="shared" ref="K5:K68" si="3">J5</f>
        <v>0.16533051609289248</v>
      </c>
      <c r="L5" s="55">
        <f t="shared" ref="L5:L68" si="4">((L4*I4/1000)+(G5*$T$7/1000*5/60))/(I5/1000)</f>
        <v>0.24233636583834559</v>
      </c>
      <c r="M5">
        <f t="shared" ref="M5:M68" si="5">(M4*I4+G5*$T$7*$T$6*(5/60))/I5</f>
        <v>22.052694696438408</v>
      </c>
      <c r="N5" s="76"/>
      <c r="O5" s="52"/>
      <c r="P5" s="52"/>
      <c r="S5" s="19" t="s">
        <v>30</v>
      </c>
      <c r="T5" s="20">
        <f>(I3/1000)</f>
        <v>0.54</v>
      </c>
      <c r="U5" s="21" t="s">
        <v>31</v>
      </c>
    </row>
    <row r="6" spans="2:24" ht="15" x14ac:dyDescent="0.35">
      <c r="C6" s="13">
        <v>45496</v>
      </c>
      <c r="D6" s="53">
        <v>0.95</v>
      </c>
      <c r="E6" s="15">
        <f t="shared" ref="E6:E69" si="6">$E$3+F6</f>
        <v>29.85</v>
      </c>
      <c r="F6" s="15">
        <f t="shared" ref="F6:F69" si="7">F5+5/60</f>
        <v>0.18333333333333332</v>
      </c>
      <c r="G6" s="50">
        <f t="shared" si="1"/>
        <v>1.6582714880012057</v>
      </c>
      <c r="H6" s="70">
        <f t="shared" si="0"/>
        <v>1.6582714880012057</v>
      </c>
      <c r="I6">
        <f>I5+(G6+H6)*5/60</f>
        <v>540.60703961351931</v>
      </c>
      <c r="J6">
        <f t="shared" si="2"/>
        <v>0.30351980675965962</v>
      </c>
      <c r="K6">
        <f t="shared" si="3"/>
        <v>0.30351980675965962</v>
      </c>
      <c r="L6" s="55">
        <f t="shared" si="4"/>
        <v>0.44466251702068832</v>
      </c>
      <c r="M6">
        <f t="shared" si="5"/>
        <v>22.096689393978831</v>
      </c>
      <c r="N6" s="76"/>
      <c r="O6" s="52"/>
      <c r="P6" s="52"/>
      <c r="S6" s="19" t="s">
        <v>32</v>
      </c>
      <c r="T6" s="20">
        <v>0.27300000000000002</v>
      </c>
      <c r="U6" s="21"/>
    </row>
    <row r="7" spans="2:24" ht="15" x14ac:dyDescent="0.35">
      <c r="C7" s="13">
        <v>45496</v>
      </c>
      <c r="D7" s="53">
        <v>0.95347222222222205</v>
      </c>
      <c r="E7" s="15">
        <f t="shared" si="6"/>
        <v>29.933333333333334</v>
      </c>
      <c r="F7" s="15">
        <f t="shared" si="7"/>
        <v>0.26666666666666666</v>
      </c>
      <c r="G7" s="50">
        <f t="shared" si="1"/>
        <v>1.6624223531407243</v>
      </c>
      <c r="H7" s="70">
        <f t="shared" si="0"/>
        <v>1.6624223531407243</v>
      </c>
      <c r="I7">
        <f>I6+(G7+H7)*5/60</f>
        <v>540.88411000570943</v>
      </c>
      <c r="J7">
        <f t="shared" si="2"/>
        <v>0.44205500285471999</v>
      </c>
      <c r="K7">
        <f t="shared" si="3"/>
        <v>0.44205500285471999</v>
      </c>
      <c r="L7" s="55">
        <f t="shared" si="4"/>
        <v>0.64728757192967379</v>
      </c>
      <c r="M7">
        <f t="shared" si="5"/>
        <v>22.140749086474042</v>
      </c>
      <c r="N7" s="76"/>
      <c r="O7" s="52"/>
      <c r="P7" s="52"/>
      <c r="S7" s="19" t="s">
        <v>33</v>
      </c>
      <c r="T7" s="22">
        <v>792</v>
      </c>
      <c r="U7" s="21" t="s">
        <v>29</v>
      </c>
    </row>
    <row r="8" spans="2:24" x14ac:dyDescent="0.3">
      <c r="C8" s="13">
        <v>45496</v>
      </c>
      <c r="D8" s="53">
        <v>0.95694444444444404</v>
      </c>
      <c r="E8" s="15">
        <f t="shared" si="6"/>
        <v>30.016666666666669</v>
      </c>
      <c r="F8" s="15">
        <f t="shared" si="7"/>
        <v>0.35</v>
      </c>
      <c r="G8" s="50">
        <f t="shared" si="1"/>
        <v>1.6665836084253618</v>
      </c>
      <c r="H8" s="70">
        <f t="shared" si="0"/>
        <v>1.6665836084253618</v>
      </c>
      <c r="I8">
        <f>I7+(G8+H8)*5/60</f>
        <v>541.16187394044698</v>
      </c>
      <c r="J8">
        <f t="shared" si="2"/>
        <v>0.5809369702235001</v>
      </c>
      <c r="K8">
        <f t="shared" si="3"/>
        <v>0.5809369702235001</v>
      </c>
      <c r="L8" s="55">
        <f t="shared" si="4"/>
        <v>0.85021155882028132</v>
      </c>
      <c r="M8">
        <f t="shared" si="5"/>
        <v>22.184873780067921</v>
      </c>
      <c r="N8" s="76"/>
      <c r="O8" s="52"/>
      <c r="P8" s="52"/>
      <c r="S8" s="19" t="s">
        <v>34</v>
      </c>
      <c r="T8" s="23"/>
      <c r="U8" s="21"/>
      <c r="V8" s="42" t="s">
        <v>35</v>
      </c>
      <c r="W8" s="24">
        <v>1.0055000000000001</v>
      </c>
    </row>
    <row r="9" spans="2:24" x14ac:dyDescent="0.3">
      <c r="C9" s="13">
        <v>45496</v>
      </c>
      <c r="D9" s="53">
        <v>0.96041666666666703</v>
      </c>
      <c r="E9" s="15">
        <f t="shared" si="6"/>
        <v>30.1</v>
      </c>
      <c r="F9" s="15">
        <f t="shared" si="7"/>
        <v>0.43333333333333329</v>
      </c>
      <c r="G9" s="50">
        <f t="shared" si="1"/>
        <v>1.6707552798629768</v>
      </c>
      <c r="H9" s="70">
        <f t="shared" si="0"/>
        <v>1.6707552798629768</v>
      </c>
      <c r="I9">
        <f t="shared" ref="I9:I69" si="8">I8+(G9+H9)*5/60</f>
        <v>541.44033315375748</v>
      </c>
      <c r="J9">
        <f t="shared" si="2"/>
        <v>0.72016657687874819</v>
      </c>
      <c r="K9">
        <f t="shared" si="3"/>
        <v>0.72016657687874819</v>
      </c>
      <c r="L9" s="55">
        <f t="shared" si="4"/>
        <v>1.0534345041598425</v>
      </c>
      <c r="M9">
        <f t="shared" si="5"/>
        <v>22.229063480515649</v>
      </c>
      <c r="N9" s="76"/>
      <c r="O9" s="52"/>
      <c r="P9" s="52"/>
      <c r="S9" s="19" t="s">
        <v>36</v>
      </c>
      <c r="T9" s="25"/>
      <c r="U9" s="26"/>
      <c r="V9" s="43" t="s">
        <v>37</v>
      </c>
      <c r="W9" s="18">
        <v>0.79200000000000004</v>
      </c>
    </row>
    <row r="10" spans="2:24" x14ac:dyDescent="0.3">
      <c r="C10" s="13">
        <v>45496</v>
      </c>
      <c r="D10" s="53">
        <v>0.96388888888888902</v>
      </c>
      <c r="E10" s="15">
        <f t="shared" si="6"/>
        <v>30.183333333333334</v>
      </c>
      <c r="F10" s="15">
        <f t="shared" si="7"/>
        <v>0.51666666666666661</v>
      </c>
      <c r="G10" s="50">
        <f t="shared" si="1"/>
        <v>1.6749373935265299</v>
      </c>
      <c r="H10" s="70">
        <f t="shared" si="0"/>
        <v>1.6749373935265299</v>
      </c>
      <c r="I10">
        <f t="shared" si="8"/>
        <v>541.7194893860119</v>
      </c>
      <c r="J10">
        <f t="shared" si="2"/>
        <v>0.85974469300595902</v>
      </c>
      <c r="K10">
        <f t="shared" si="3"/>
        <v>0.85974469300595902</v>
      </c>
      <c r="L10" s="55">
        <f t="shared" si="4"/>
        <v>1.2569564326224922</v>
      </c>
      <c r="M10">
        <f t="shared" si="5"/>
        <v>22.273318193182472</v>
      </c>
      <c r="N10" s="76"/>
      <c r="O10" s="52"/>
      <c r="P10" s="52"/>
      <c r="S10" s="19" t="s">
        <v>38</v>
      </c>
      <c r="T10" s="25"/>
      <c r="U10" s="26"/>
    </row>
    <row r="11" spans="2:24" ht="15" x14ac:dyDescent="0.35">
      <c r="C11" s="13">
        <v>45496</v>
      </c>
      <c r="D11" s="53">
        <v>0.96736111111111101</v>
      </c>
      <c r="E11" s="15">
        <f t="shared" si="6"/>
        <v>30.266666666666669</v>
      </c>
      <c r="F11" s="15">
        <f t="shared" si="7"/>
        <v>0.6</v>
      </c>
      <c r="G11" s="50">
        <f t="shared" si="1"/>
        <v>1.6791299755542444</v>
      </c>
      <c r="H11" s="70">
        <f t="shared" si="0"/>
        <v>1.6791299755542444</v>
      </c>
      <c r="I11">
        <f t="shared" si="8"/>
        <v>541.99934438193759</v>
      </c>
      <c r="J11">
        <f t="shared" si="2"/>
        <v>0.99967219096881266</v>
      </c>
      <c r="K11">
        <f t="shared" si="3"/>
        <v>0.99967219096881266</v>
      </c>
      <c r="L11" s="55">
        <f t="shared" si="4"/>
        <v>1.4607773670836286</v>
      </c>
      <c r="M11">
        <f t="shared" si="5"/>
        <v>22.317637923042522</v>
      </c>
      <c r="N11" s="76"/>
      <c r="O11" s="52"/>
      <c r="P11" s="52"/>
      <c r="S11" s="19" t="s">
        <v>39</v>
      </c>
      <c r="T11" s="27"/>
      <c r="U11" s="21"/>
    </row>
    <row r="12" spans="2:24" ht="15" x14ac:dyDescent="0.35">
      <c r="C12" s="13">
        <v>45496</v>
      </c>
      <c r="D12" s="53">
        <v>0.97083333333333299</v>
      </c>
      <c r="E12" s="15">
        <f t="shared" si="6"/>
        <v>30.35</v>
      </c>
      <c r="F12" s="15">
        <f t="shared" si="7"/>
        <v>0.68333333333333335</v>
      </c>
      <c r="G12" s="50">
        <f t="shared" si="1"/>
        <v>1.6833330521497722</v>
      </c>
      <c r="H12" s="70">
        <f t="shared" si="0"/>
        <v>1.6833330521497722</v>
      </c>
      <c r="I12">
        <f t="shared" si="8"/>
        <v>542.27989989062917</v>
      </c>
      <c r="J12">
        <f t="shared" si="2"/>
        <v>1.1399499453146271</v>
      </c>
      <c r="K12">
        <f t="shared" si="3"/>
        <v>1.1399499453146271</v>
      </c>
      <c r="L12" s="55">
        <f>((L11*I11/1000)+(G12*$T$7/1000*5/60))/(I12/1000)</f>
        <v>1.6648973286143849</v>
      </c>
      <c r="M12">
        <f t="shared" si="5"/>
        <v>22.362022674677601</v>
      </c>
      <c r="N12" s="76"/>
      <c r="O12" s="52"/>
      <c r="P12" s="52"/>
      <c r="S12" s="19" t="s">
        <v>40</v>
      </c>
      <c r="T12" s="28"/>
      <c r="U12" s="21"/>
    </row>
    <row r="13" spans="2:24" ht="15" x14ac:dyDescent="0.35">
      <c r="C13" s="13">
        <v>45496</v>
      </c>
      <c r="D13" s="53">
        <v>0.97430555555555498</v>
      </c>
      <c r="E13" s="15">
        <f t="shared" si="6"/>
        <v>30.433333333333334</v>
      </c>
      <c r="F13" s="15">
        <f t="shared" si="7"/>
        <v>0.76666666666666672</v>
      </c>
      <c r="G13" s="50">
        <f t="shared" si="1"/>
        <v>1.6875466495823559</v>
      </c>
      <c r="H13" s="70">
        <f t="shared" si="0"/>
        <v>1.6875466495823559</v>
      </c>
      <c r="I13">
        <f t="shared" si="8"/>
        <v>542.56115766555956</v>
      </c>
      <c r="J13">
        <f t="shared" si="2"/>
        <v>1.2805788327798235</v>
      </c>
      <c r="K13">
        <f t="shared" si="3"/>
        <v>1.2805788327798235</v>
      </c>
      <c r="L13" s="55">
        <f t="shared" si="4"/>
        <v>1.8693163364761083</v>
      </c>
      <c r="M13">
        <f t="shared" si="5"/>
        <v>22.406472452275978</v>
      </c>
      <c r="N13" s="76"/>
      <c r="O13" s="52"/>
      <c r="P13" s="52"/>
      <c r="S13" s="19" t="s">
        <v>41</v>
      </c>
      <c r="T13" s="23"/>
      <c r="U13" s="21"/>
    </row>
    <row r="14" spans="2:24" ht="15" x14ac:dyDescent="0.35">
      <c r="C14" s="13">
        <v>45496</v>
      </c>
      <c r="D14" s="53">
        <v>0.97777777777777797</v>
      </c>
      <c r="E14" s="15">
        <f t="shared" si="6"/>
        <v>30.516666666666669</v>
      </c>
      <c r="F14" s="15">
        <f t="shared" si="7"/>
        <v>0.85000000000000009</v>
      </c>
      <c r="G14" s="50">
        <f t="shared" si="1"/>
        <v>1.6917707941869922</v>
      </c>
      <c r="H14" s="70">
        <f t="shared" si="0"/>
        <v>1.6917707941869922</v>
      </c>
      <c r="I14">
        <f t="shared" si="8"/>
        <v>542.8431194645907</v>
      </c>
      <c r="J14">
        <f t="shared" si="2"/>
        <v>1.4215597322954063</v>
      </c>
      <c r="K14">
        <f t="shared" si="3"/>
        <v>1.4215597322954063</v>
      </c>
      <c r="L14" s="55">
        <f t="shared" si="4"/>
        <v>2.0740344081148505</v>
      </c>
      <c r="M14">
        <f t="shared" si="5"/>
        <v>22.450987259631205</v>
      </c>
      <c r="N14" s="76"/>
      <c r="O14" s="52"/>
      <c r="P14" s="52"/>
      <c r="S14" s="19" t="s">
        <v>42</v>
      </c>
      <c r="T14" s="23"/>
      <c r="U14" s="21"/>
    </row>
    <row r="15" spans="2:24" x14ac:dyDescent="0.3">
      <c r="C15" s="13">
        <v>45496</v>
      </c>
      <c r="D15" s="53">
        <v>0.98124999999999996</v>
      </c>
      <c r="E15" s="15">
        <f t="shared" si="6"/>
        <v>30.6</v>
      </c>
      <c r="F15" s="15">
        <f t="shared" si="7"/>
        <v>0.93333333333333346</v>
      </c>
      <c r="G15" s="50">
        <f t="shared" si="1"/>
        <v>1.6960055123645996</v>
      </c>
      <c r="H15" s="70">
        <f t="shared" si="0"/>
        <v>1.6960055123645996</v>
      </c>
      <c r="I15">
        <f t="shared" si="8"/>
        <v>543.12578704998475</v>
      </c>
      <c r="J15">
        <f t="shared" si="2"/>
        <v>1.5628935249924563</v>
      </c>
      <c r="K15">
        <f t="shared" si="3"/>
        <v>1.5628935249924563</v>
      </c>
      <c r="L15" s="55">
        <f t="shared" si="4"/>
        <v>2.2790515591558669</v>
      </c>
      <c r="M15">
        <f t="shared" si="5"/>
        <v>22.495567100140903</v>
      </c>
      <c r="N15" s="76"/>
      <c r="O15" s="52"/>
      <c r="P15" s="52"/>
      <c r="S15" s="19" t="s">
        <v>43</v>
      </c>
      <c r="T15" s="23"/>
      <c r="U15" s="21"/>
      <c r="V15" s="44" t="s">
        <v>44</v>
      </c>
    </row>
    <row r="16" spans="2:24" x14ac:dyDescent="0.3">
      <c r="C16" s="13">
        <v>45496</v>
      </c>
      <c r="D16" s="53">
        <v>0.98472222222222205</v>
      </c>
      <c r="E16" s="15">
        <f t="shared" si="6"/>
        <v>30.683333333333334</v>
      </c>
      <c r="F16" s="15">
        <f t="shared" si="7"/>
        <v>1.0166666666666668</v>
      </c>
      <c r="G16" s="50">
        <f t="shared" si="1"/>
        <v>1.7002508305821802</v>
      </c>
      <c r="H16" s="70">
        <f t="shared" si="0"/>
        <v>1.7002508305821802</v>
      </c>
      <c r="I16">
        <f t="shared" si="8"/>
        <v>543.40916218841517</v>
      </c>
      <c r="J16">
        <f t="shared" si="2"/>
        <v>1.704581094207638</v>
      </c>
      <c r="K16">
        <f t="shared" si="3"/>
        <v>1.704581094207638</v>
      </c>
      <c r="L16" s="55">
        <f t="shared" si="4"/>
        <v>2.4843678033981265</v>
      </c>
      <c r="M16">
        <f t="shared" si="5"/>
        <v>22.540211976805576</v>
      </c>
      <c r="N16" s="76"/>
      <c r="O16" s="52"/>
      <c r="P16" s="52"/>
      <c r="S16" s="19" t="s">
        <v>45</v>
      </c>
      <c r="T16" s="29">
        <f>((T3*T5*T1)/(T7*T6))*10^3</f>
        <v>1.6483516483516483</v>
      </c>
      <c r="U16" s="51" t="s">
        <v>64</v>
      </c>
      <c r="V16" s="45">
        <f>T16/2</f>
        <v>0.82417582417582413</v>
      </c>
    </row>
    <row r="17" spans="3:22" x14ac:dyDescent="0.3">
      <c r="C17" s="13">
        <v>45496</v>
      </c>
      <c r="D17" s="53">
        <v>0.98819444444444404</v>
      </c>
      <c r="E17" s="15">
        <f t="shared" si="6"/>
        <v>30.766666666666669</v>
      </c>
      <c r="F17" s="15">
        <f t="shared" si="7"/>
        <v>1.1000000000000001</v>
      </c>
      <c r="G17" s="50">
        <f t="shared" si="1"/>
        <v>1.7045067753729866</v>
      </c>
      <c r="H17" s="70">
        <f t="shared" si="0"/>
        <v>1.7045067753729866</v>
      </c>
      <c r="I17">
        <f t="shared" si="8"/>
        <v>543.69324665097736</v>
      </c>
      <c r="J17">
        <f t="shared" si="2"/>
        <v>1.8466233254887203</v>
      </c>
      <c r="K17">
        <f t="shared" si="3"/>
        <v>1.8466233254887203</v>
      </c>
      <c r="L17" s="55">
        <f t="shared" si="4"/>
        <v>2.6899831528088325</v>
      </c>
      <c r="M17">
        <f t="shared" si="5"/>
        <v>22.584921892227435</v>
      </c>
      <c r="N17" s="76"/>
      <c r="O17" s="52"/>
      <c r="P17" s="52"/>
      <c r="S17" s="19" t="s">
        <v>46</v>
      </c>
      <c r="T17" s="30"/>
      <c r="U17" s="31"/>
    </row>
    <row r="18" spans="3:22" ht="15" thickBot="1" x14ac:dyDescent="0.35">
      <c r="C18" s="13">
        <v>45496</v>
      </c>
      <c r="D18" s="53">
        <v>0.99166666666666603</v>
      </c>
      <c r="E18" s="15">
        <f t="shared" si="6"/>
        <v>30.85</v>
      </c>
      <c r="F18" s="15">
        <f t="shared" si="7"/>
        <v>1.1833333333333333</v>
      </c>
      <c r="G18" s="50">
        <f t="shared" si="1"/>
        <v>1.7087733733366874</v>
      </c>
      <c r="H18" s="70">
        <f t="shared" si="0"/>
        <v>1.7087733733366874</v>
      </c>
      <c r="I18">
        <f t="shared" si="8"/>
        <v>543.97804221320018</v>
      </c>
      <c r="J18">
        <f t="shared" si="2"/>
        <v>1.9890211066001109</v>
      </c>
      <c r="K18">
        <f t="shared" si="3"/>
        <v>1.9890211066001109</v>
      </c>
      <c r="L18" s="55">
        <f t="shared" si="4"/>
        <v>2.8958976175179543</v>
      </c>
      <c r="M18">
        <f t="shared" si="5"/>
        <v>22.629696848609182</v>
      </c>
      <c r="N18" s="76"/>
      <c r="O18" s="52"/>
      <c r="P18" s="52"/>
      <c r="S18" s="32" t="s">
        <v>47</v>
      </c>
      <c r="T18" s="33"/>
      <c r="U18" s="34"/>
    </row>
    <row r="19" spans="3:22" ht="15" thickBot="1" x14ac:dyDescent="0.35">
      <c r="C19" s="13">
        <v>45496</v>
      </c>
      <c r="D19" s="53">
        <v>0.99513888888888902</v>
      </c>
      <c r="E19" s="15">
        <f t="shared" si="6"/>
        <v>30.933333333333334</v>
      </c>
      <c r="F19" s="15">
        <f t="shared" si="7"/>
        <v>1.2666666666666666</v>
      </c>
      <c r="G19" s="50">
        <f t="shared" si="1"/>
        <v>1.7130506511395338</v>
      </c>
      <c r="H19" s="70">
        <f t="shared" si="0"/>
        <v>1.7130506511395338</v>
      </c>
      <c r="I19">
        <f t="shared" si="8"/>
        <v>544.26355065505675</v>
      </c>
      <c r="J19">
        <f t="shared" si="2"/>
        <v>2.1317753275284055</v>
      </c>
      <c r="K19">
        <f t="shared" si="3"/>
        <v>2.1317753275284055</v>
      </c>
      <c r="L19" s="55">
        <f t="shared" si="4"/>
        <v>3.1021112058127684</v>
      </c>
      <c r="M19">
        <f t="shared" si="5"/>
        <v>22.674536847752847</v>
      </c>
      <c r="N19" s="76"/>
      <c r="O19" s="52"/>
      <c r="P19" s="52"/>
    </row>
    <row r="20" spans="3:22" ht="15" x14ac:dyDescent="0.35">
      <c r="C20" s="13">
        <v>45496</v>
      </c>
      <c r="D20" s="53">
        <v>0.99861111111111101</v>
      </c>
      <c r="E20" s="15">
        <f t="shared" si="6"/>
        <v>31.016666666666669</v>
      </c>
      <c r="F20" s="15">
        <f t="shared" si="7"/>
        <v>1.3499999999999999</v>
      </c>
      <c r="G20" s="50">
        <f t="shared" si="1"/>
        <v>1.7173386355145264</v>
      </c>
      <c r="H20" s="70">
        <f t="shared" si="0"/>
        <v>1.7173386355145264</v>
      </c>
      <c r="I20">
        <f t="shared" si="8"/>
        <v>544.54977376097588</v>
      </c>
      <c r="J20">
        <f t="shared" si="2"/>
        <v>2.2748868804879492</v>
      </c>
      <c r="K20">
        <f t="shared" si="3"/>
        <v>2.2748868804879492</v>
      </c>
      <c r="L20" s="55">
        <f t="shared" si="4"/>
        <v>3.3086239241324087</v>
      </c>
      <c r="M20">
        <f t="shared" si="5"/>
        <v>22.719441891058572</v>
      </c>
      <c r="N20" s="76"/>
      <c r="O20" s="52"/>
      <c r="P20" s="52"/>
      <c r="S20" s="16" t="s">
        <v>48</v>
      </c>
      <c r="T20" s="35"/>
      <c r="U20" s="36"/>
    </row>
    <row r="21" spans="3:22" ht="15" x14ac:dyDescent="0.35">
      <c r="C21" s="13">
        <v>45497</v>
      </c>
      <c r="D21" s="53">
        <v>1.0020833333333301</v>
      </c>
      <c r="E21" s="15">
        <f t="shared" si="6"/>
        <v>31.1</v>
      </c>
      <c r="F21" s="15">
        <f t="shared" si="7"/>
        <v>1.4333333333333331</v>
      </c>
      <c r="G21" s="50">
        <f t="shared" si="1"/>
        <v>1.7216373532615814</v>
      </c>
      <c r="H21" s="70">
        <f t="shared" si="0"/>
        <v>1.7216373532615814</v>
      </c>
      <c r="I21">
        <f t="shared" si="8"/>
        <v>544.83671331985283</v>
      </c>
      <c r="J21">
        <f t="shared" si="2"/>
        <v>2.4183566599264141</v>
      </c>
      <c r="K21">
        <f t="shared" si="3"/>
        <v>2.4183566599264141</v>
      </c>
      <c r="L21" s="55">
        <f t="shared" si="4"/>
        <v>3.5154357770624349</v>
      </c>
      <c r="M21">
        <f t="shared" si="5"/>
        <v>22.764411979523466</v>
      </c>
      <c r="N21" s="76"/>
      <c r="O21" s="52"/>
      <c r="P21" s="52"/>
      <c r="S21" s="19" t="s">
        <v>49</v>
      </c>
      <c r="T21" s="37"/>
      <c r="U21" s="21" t="s">
        <v>50</v>
      </c>
    </row>
    <row r="22" spans="3:22" ht="15" x14ac:dyDescent="0.35">
      <c r="C22" s="13">
        <v>45497</v>
      </c>
      <c r="D22" s="53">
        <v>1.00555555555556</v>
      </c>
      <c r="E22" s="15">
        <f t="shared" si="6"/>
        <v>31.183333333333334</v>
      </c>
      <c r="F22" s="15">
        <f t="shared" si="7"/>
        <v>1.5166666666666664</v>
      </c>
      <c r="G22" s="50">
        <f t="shared" si="1"/>
        <v>1.7259468312476984</v>
      </c>
      <c r="H22" s="70">
        <f t="shared" si="0"/>
        <v>1.7259468312476984</v>
      </c>
      <c r="I22">
        <f t="shared" si="8"/>
        <v>545.12437112506075</v>
      </c>
      <c r="J22">
        <f t="shared" si="2"/>
        <v>2.5621855625303889</v>
      </c>
      <c r="K22">
        <f t="shared" si="3"/>
        <v>2.5621855625303889</v>
      </c>
      <c r="L22" s="55">
        <f t="shared" si="4"/>
        <v>3.7225467673294022</v>
      </c>
      <c r="M22">
        <f t="shared" si="5"/>
        <v>22.809447113740408</v>
      </c>
      <c r="N22" s="76"/>
      <c r="O22" s="52"/>
      <c r="P22" s="52"/>
      <c r="S22" s="19" t="s">
        <v>51</v>
      </c>
      <c r="T22" s="23"/>
      <c r="U22" s="21"/>
    </row>
    <row r="23" spans="3:22" ht="15.6" thickBot="1" x14ac:dyDescent="0.4">
      <c r="C23" s="13">
        <v>45497</v>
      </c>
      <c r="D23" s="53">
        <v>1.0090277777777801</v>
      </c>
      <c r="E23" s="15">
        <f t="shared" si="6"/>
        <v>31.266666666666666</v>
      </c>
      <c r="F23" s="15">
        <f t="shared" si="7"/>
        <v>1.5999999999999996</v>
      </c>
      <c r="G23" s="50">
        <f t="shared" si="1"/>
        <v>1.7302670964071289</v>
      </c>
      <c r="H23" s="70">
        <f t="shared" si="0"/>
        <v>1.7302670964071289</v>
      </c>
      <c r="I23">
        <f t="shared" si="8"/>
        <v>545.41274897446192</v>
      </c>
      <c r="J23">
        <f t="shared" si="2"/>
        <v>2.706374487230983</v>
      </c>
      <c r="K23">
        <f t="shared" si="3"/>
        <v>2.706374487230983</v>
      </c>
      <c r="L23" s="55">
        <f t="shared" si="4"/>
        <v>3.9299568957954487</v>
      </c>
      <c r="M23">
        <f t="shared" si="5"/>
        <v>22.854547293896861</v>
      </c>
      <c r="N23" s="76"/>
      <c r="O23" s="52"/>
      <c r="P23" s="52"/>
      <c r="S23" s="32" t="s">
        <v>52</v>
      </c>
      <c r="T23" s="38"/>
      <c r="U23" s="39" t="s">
        <v>50</v>
      </c>
    </row>
    <row r="24" spans="3:22" x14ac:dyDescent="0.3">
      <c r="C24" s="13">
        <v>45497</v>
      </c>
      <c r="D24" s="53">
        <v>1.0125</v>
      </c>
      <c r="E24" s="15">
        <f t="shared" si="6"/>
        <v>31.35</v>
      </c>
      <c r="F24" s="15">
        <f t="shared" si="7"/>
        <v>1.6833333333333329</v>
      </c>
      <c r="G24" s="50">
        <f t="shared" si="1"/>
        <v>1.7345981757415445</v>
      </c>
      <c r="H24" s="70">
        <f t="shared" si="0"/>
        <v>1.7345981757415445</v>
      </c>
      <c r="I24">
        <f t="shared" si="8"/>
        <v>545.70184867041883</v>
      </c>
      <c r="J24">
        <f t="shared" si="2"/>
        <v>2.8509243352094451</v>
      </c>
      <c r="K24">
        <f t="shared" si="3"/>
        <v>2.8509243352094451</v>
      </c>
      <c r="L24" s="55">
        <f t="shared" si="4"/>
        <v>4.1376661614528958</v>
      </c>
      <c r="M24">
        <f t="shared" si="5"/>
        <v>22.899712519773708</v>
      </c>
      <c r="N24" s="76"/>
      <c r="O24" s="52"/>
      <c r="P24" s="52"/>
    </row>
    <row r="25" spans="3:22" x14ac:dyDescent="0.3">
      <c r="C25" s="13">
        <v>45497</v>
      </c>
      <c r="D25" s="53">
        <v>1.0159722222222201</v>
      </c>
      <c r="E25" s="15">
        <f t="shared" si="6"/>
        <v>31.433333333333334</v>
      </c>
      <c r="F25" s="15">
        <f t="shared" si="7"/>
        <v>1.7666666666666662</v>
      </c>
      <c r="G25" s="50">
        <f t="shared" si="1"/>
        <v>1.7389400963202053</v>
      </c>
      <c r="H25" s="70">
        <f t="shared" si="0"/>
        <v>1.7389400963202053</v>
      </c>
      <c r="I25">
        <f t="shared" si="8"/>
        <v>545.99167201980549</v>
      </c>
      <c r="J25">
        <f t="shared" si="2"/>
        <v>2.9958360099027956</v>
      </c>
      <c r="K25">
        <f t="shared" si="3"/>
        <v>2.9958360099027956</v>
      </c>
      <c r="L25" s="55">
        <f t="shared" si="4"/>
        <v>4.3456745614188534</v>
      </c>
      <c r="M25">
        <f t="shared" si="5"/>
        <v>22.944942790744086</v>
      </c>
      <c r="N25" s="76"/>
      <c r="O25" s="52"/>
      <c r="P25" s="52"/>
    </row>
    <row r="26" spans="3:22" x14ac:dyDescent="0.3">
      <c r="C26" s="13">
        <v>45497</v>
      </c>
      <c r="D26" s="53">
        <v>1.0194444444444399</v>
      </c>
      <c r="E26" s="15">
        <f t="shared" si="6"/>
        <v>31.516666666666666</v>
      </c>
      <c r="F26" s="15">
        <f t="shared" si="7"/>
        <v>1.8499999999999994</v>
      </c>
      <c r="G26" s="50">
        <f t="shared" si="1"/>
        <v>1.7432928852801282</v>
      </c>
      <c r="H26" s="70">
        <f t="shared" si="0"/>
        <v>1.7432928852801282</v>
      </c>
      <c r="I26">
        <f t="shared" si="8"/>
        <v>546.28222083401886</v>
      </c>
      <c r="J26">
        <f t="shared" si="2"/>
        <v>3.141110417009473</v>
      </c>
      <c r="K26">
        <f t="shared" si="3"/>
        <v>3.141110417009473</v>
      </c>
      <c r="L26" s="55">
        <f t="shared" si="4"/>
        <v>4.5539820909298427</v>
      </c>
      <c r="M26">
        <f t="shared" si="5"/>
        <v>22.990238105772196</v>
      </c>
      <c r="N26" s="76"/>
      <c r="O26" s="52"/>
      <c r="P26" s="52"/>
      <c r="T26" s="56"/>
      <c r="U26" s="56"/>
      <c r="V26" s="56"/>
    </row>
    <row r="27" spans="3:22" x14ac:dyDescent="0.3">
      <c r="C27" s="13">
        <v>45497</v>
      </c>
      <c r="D27" s="53">
        <v>1.02291666666667</v>
      </c>
      <c r="E27" s="15">
        <f t="shared" si="6"/>
        <v>31.6</v>
      </c>
      <c r="F27" s="15">
        <f t="shared" si="7"/>
        <v>1.9333333333333327</v>
      </c>
      <c r="G27" s="50">
        <f t="shared" si="1"/>
        <v>1.7476565698262592</v>
      </c>
      <c r="H27" s="70">
        <f t="shared" si="0"/>
        <v>1.7476565698262592</v>
      </c>
      <c r="I27">
        <f t="shared" si="8"/>
        <v>546.57349692898993</v>
      </c>
      <c r="J27">
        <f t="shared" si="2"/>
        <v>3.2867484644949947</v>
      </c>
      <c r="K27">
        <f t="shared" si="3"/>
        <v>3.2867484644949947</v>
      </c>
      <c r="L27" s="55">
        <f t="shared" si="4"/>
        <v>4.7625887433364307</v>
      </c>
      <c r="M27">
        <f t="shared" si="5"/>
        <v>23.035598463412164</v>
      </c>
      <c r="N27" s="76"/>
      <c r="O27" s="52"/>
      <c r="P27" s="52"/>
      <c r="T27" s="53"/>
      <c r="U27" s="53"/>
      <c r="V27" s="53"/>
    </row>
    <row r="28" spans="3:22" x14ac:dyDescent="0.3">
      <c r="C28" s="13">
        <v>45497</v>
      </c>
      <c r="D28" s="53">
        <v>1.0263888888888899</v>
      </c>
      <c r="E28" s="15">
        <f t="shared" si="6"/>
        <v>31.683333333333334</v>
      </c>
      <c r="F28" s="15">
        <f t="shared" si="7"/>
        <v>2.0166666666666662</v>
      </c>
      <c r="G28" s="50">
        <f t="shared" si="1"/>
        <v>1.7520311772316404</v>
      </c>
      <c r="H28" s="70">
        <f t="shared" si="0"/>
        <v>1.7520311772316404</v>
      </c>
      <c r="I28">
        <f t="shared" si="8"/>
        <v>546.86550212519523</v>
      </c>
      <c r="J28">
        <f t="shared" si="2"/>
        <v>3.4327510625976312</v>
      </c>
      <c r="K28">
        <f t="shared" si="3"/>
        <v>3.4327510625976312</v>
      </c>
      <c r="L28" s="55">
        <f t="shared" si="4"/>
        <v>4.9714945100978731</v>
      </c>
      <c r="M28">
        <f t="shared" si="5"/>
        <v>23.081023861806845</v>
      </c>
      <c r="N28" s="76"/>
      <c r="O28" s="52"/>
      <c r="P28" s="52"/>
    </row>
    <row r="29" spans="3:22" x14ac:dyDescent="0.3">
      <c r="C29" s="13">
        <v>45497</v>
      </c>
      <c r="D29" s="53">
        <v>1.02986111111111</v>
      </c>
      <c r="E29" s="15">
        <f t="shared" si="6"/>
        <v>31.766666666666666</v>
      </c>
      <c r="F29" s="15">
        <f t="shared" si="7"/>
        <v>2.0999999999999996</v>
      </c>
      <c r="G29" s="50">
        <f t="shared" si="1"/>
        <v>1.7564167348375823</v>
      </c>
      <c r="H29" s="70">
        <f t="shared" si="0"/>
        <v>1.7564167348375823</v>
      </c>
      <c r="I29">
        <f t="shared" si="8"/>
        <v>547.15823824766812</v>
      </c>
      <c r="J29">
        <f t="shared" si="2"/>
        <v>3.5791191238340962</v>
      </c>
      <c r="K29">
        <f t="shared" si="3"/>
        <v>3.5791191238340962</v>
      </c>
      <c r="L29" s="55">
        <f t="shared" si="4"/>
        <v>5.1806993807767752</v>
      </c>
      <c r="M29">
        <f t="shared" si="5"/>
        <v>23.126514298686693</v>
      </c>
      <c r="N29" s="76"/>
      <c r="O29" s="52"/>
      <c r="P29" s="52"/>
    </row>
    <row r="30" spans="3:22" x14ac:dyDescent="0.3">
      <c r="C30" s="13">
        <v>45497</v>
      </c>
      <c r="D30" s="53">
        <v>1.0333333333333301</v>
      </c>
      <c r="E30" s="15">
        <f t="shared" si="6"/>
        <v>31.85</v>
      </c>
      <c r="F30" s="15">
        <f t="shared" si="7"/>
        <v>2.1833333333333331</v>
      </c>
      <c r="G30" s="50">
        <f t="shared" si="1"/>
        <v>1.760813270053835</v>
      </c>
      <c r="H30" s="70">
        <f t="shared" si="0"/>
        <v>1.760813270053835</v>
      </c>
      <c r="I30">
        <f t="shared" si="8"/>
        <v>547.45170712601043</v>
      </c>
      <c r="J30">
        <f t="shared" si="2"/>
        <v>3.7258535630052489</v>
      </c>
      <c r="K30">
        <f t="shared" si="3"/>
        <v>3.7258535630052489</v>
      </c>
      <c r="L30" s="55">
        <f t="shared" si="4"/>
        <v>5.3902033430337566</v>
      </c>
      <c r="M30">
        <f t="shared" si="5"/>
        <v>23.172069771368569</v>
      </c>
      <c r="N30" s="76"/>
      <c r="O30" s="52"/>
      <c r="P30" s="52"/>
    </row>
    <row r="31" spans="3:22" x14ac:dyDescent="0.3">
      <c r="C31" s="13">
        <v>45497</v>
      </c>
      <c r="D31" s="53">
        <v>1.03680555555556</v>
      </c>
      <c r="E31" s="15">
        <f t="shared" si="6"/>
        <v>31.933333333333334</v>
      </c>
      <c r="F31" s="15">
        <f t="shared" si="7"/>
        <v>2.2666666666666666</v>
      </c>
      <c r="G31" s="50">
        <f t="shared" si="1"/>
        <v>1.765220810358757</v>
      </c>
      <c r="H31" s="70">
        <f t="shared" si="0"/>
        <v>1.765220810358757</v>
      </c>
      <c r="I31">
        <f t="shared" si="8"/>
        <v>547.74591059440354</v>
      </c>
      <c r="J31">
        <f t="shared" si="2"/>
        <v>3.8729552972018122</v>
      </c>
      <c r="K31">
        <f t="shared" si="3"/>
        <v>3.8729552972018122</v>
      </c>
      <c r="L31" s="55">
        <f t="shared" si="4"/>
        <v>5.6000063826221398</v>
      </c>
      <c r="M31">
        <f t="shared" si="5"/>
        <v>23.217690276754624</v>
      </c>
      <c r="N31" s="76"/>
      <c r="O31" s="52"/>
      <c r="P31" s="52"/>
    </row>
    <row r="32" spans="3:22" x14ac:dyDescent="0.3">
      <c r="C32" s="13">
        <v>45497</v>
      </c>
      <c r="D32" s="53">
        <v>1.0402777777777801</v>
      </c>
      <c r="E32" s="15">
        <f t="shared" si="6"/>
        <v>32.016666666666666</v>
      </c>
      <c r="F32" s="15">
        <f t="shared" si="7"/>
        <v>2.35</v>
      </c>
      <c r="G32" s="50">
        <f t="shared" si="1"/>
        <v>1.7696393832994899</v>
      </c>
      <c r="H32" s="70">
        <f t="shared" si="0"/>
        <v>1.7696393832994899</v>
      </c>
      <c r="I32">
        <f t="shared" si="8"/>
        <v>548.04085049162018</v>
      </c>
      <c r="J32">
        <f t="shared" si="2"/>
        <v>4.0204252458101033</v>
      </c>
      <c r="K32">
        <f t="shared" si="3"/>
        <v>4.0204252458101033</v>
      </c>
      <c r="L32" s="55">
        <f t="shared" si="4"/>
        <v>5.8101084833826446</v>
      </c>
      <c r="M32">
        <f t="shared" si="5"/>
        <v>23.263375811331098</v>
      </c>
      <c r="N32" s="76"/>
      <c r="O32" s="52"/>
      <c r="P32" s="52"/>
    </row>
    <row r="33" spans="1:16" x14ac:dyDescent="0.3">
      <c r="C33" s="13">
        <v>45497</v>
      </c>
      <c r="D33" s="53">
        <v>1.04375</v>
      </c>
      <c r="E33" s="15">
        <f t="shared" si="6"/>
        <v>32.1</v>
      </c>
      <c r="F33" s="15">
        <f t="shared" si="7"/>
        <v>2.4333333333333336</v>
      </c>
      <c r="G33" s="50">
        <f t="shared" si="1"/>
        <v>1.7740690164921291</v>
      </c>
      <c r="H33" s="70">
        <f t="shared" si="0"/>
        <v>1.7740690164921291</v>
      </c>
      <c r="I33">
        <f t="shared" si="8"/>
        <v>548.33652866103557</v>
      </c>
      <c r="J33">
        <f t="shared" si="2"/>
        <v>4.1682643305177809</v>
      </c>
      <c r="K33">
        <f t="shared" si="3"/>
        <v>4.1682643305177809</v>
      </c>
      <c r="L33" s="55">
        <f t="shared" si="4"/>
        <v>6.0205096272380958</v>
      </c>
      <c r="M33">
        <f t="shared" si="5"/>
        <v>23.309126371167221</v>
      </c>
      <c r="N33" s="76"/>
      <c r="O33" s="52"/>
      <c r="P33" s="52"/>
    </row>
    <row r="34" spans="1:16" x14ac:dyDescent="0.3">
      <c r="C34" s="13">
        <v>45497</v>
      </c>
      <c r="D34" s="53">
        <v>1.0472222222222201</v>
      </c>
      <c r="E34" s="15">
        <f t="shared" si="6"/>
        <v>32.183333333333337</v>
      </c>
      <c r="F34" s="15">
        <f t="shared" si="7"/>
        <v>2.5166666666666671</v>
      </c>
      <c r="G34" s="50">
        <f t="shared" si="1"/>
        <v>1.7785097376218963</v>
      </c>
      <c r="H34" s="70">
        <f t="shared" si="0"/>
        <v>1.7785097376218963</v>
      </c>
      <c r="I34">
        <f t="shared" si="8"/>
        <v>548.63294695063917</v>
      </c>
      <c r="J34">
        <f t="shared" si="2"/>
        <v>4.3164734753196052</v>
      </c>
      <c r="K34">
        <f t="shared" si="3"/>
        <v>4.3164734753196052</v>
      </c>
      <c r="L34" s="55">
        <f t="shared" si="4"/>
        <v>6.2312097941881452</v>
      </c>
      <c r="M34">
        <f t="shared" si="5"/>
        <v>23.354941951914029</v>
      </c>
      <c r="N34" s="76"/>
      <c r="O34" s="52"/>
      <c r="P34" s="52"/>
    </row>
    <row r="35" spans="1:16" x14ac:dyDescent="0.3">
      <c r="C35" s="13">
        <v>45497</v>
      </c>
      <c r="D35" s="53">
        <v>1.0506944444444399</v>
      </c>
      <c r="E35" s="15">
        <f t="shared" si="6"/>
        <v>32.266666666666666</v>
      </c>
      <c r="F35" s="15">
        <f t="shared" si="7"/>
        <v>2.6000000000000005</v>
      </c>
      <c r="G35" s="50">
        <f t="shared" si="1"/>
        <v>1.7829615744433129</v>
      </c>
      <c r="H35" s="70">
        <f t="shared" si="0"/>
        <v>1.7829615744433129</v>
      </c>
      <c r="I35">
        <f t="shared" si="8"/>
        <v>548.93010721304643</v>
      </c>
      <c r="J35">
        <f t="shared" si="2"/>
        <v>4.4650536065232149</v>
      </c>
      <c r="K35">
        <f t="shared" si="3"/>
        <v>4.4650536065232149</v>
      </c>
      <c r="L35" s="55">
        <f t="shared" si="4"/>
        <v>6.4422089623040053</v>
      </c>
      <c r="M35">
        <f t="shared" si="5"/>
        <v>23.400822548803223</v>
      </c>
      <c r="N35" s="76"/>
      <c r="O35" s="52"/>
      <c r="P35" s="52"/>
    </row>
    <row r="36" spans="1:16" x14ac:dyDescent="0.3">
      <c r="C36" s="13">
        <v>45497</v>
      </c>
      <c r="D36" s="53">
        <v>1.05416666666667</v>
      </c>
      <c r="E36" s="15">
        <f t="shared" si="6"/>
        <v>32.35</v>
      </c>
      <c r="F36" s="15">
        <f t="shared" si="7"/>
        <v>2.683333333333334</v>
      </c>
      <c r="G36" s="50">
        <f t="shared" si="1"/>
        <v>1.787424554780374</v>
      </c>
      <c r="H36" s="70">
        <f t="shared" si="0"/>
        <v>1.787424554780374</v>
      </c>
      <c r="I36">
        <f t="shared" si="8"/>
        <v>549.22801130550977</v>
      </c>
      <c r="J36">
        <f t="shared" si="2"/>
        <v>4.6140056527549129</v>
      </c>
      <c r="K36">
        <f t="shared" si="3"/>
        <v>4.6140056527549129</v>
      </c>
      <c r="L36" s="55">
        <f t="shared" si="4"/>
        <v>6.6535071077232057</v>
      </c>
      <c r="M36">
        <f t="shared" si="5"/>
        <v>23.446768156646044</v>
      </c>
      <c r="N36" s="76"/>
      <c r="O36" s="52"/>
      <c r="P36" s="52"/>
    </row>
    <row r="37" spans="1:16" x14ac:dyDescent="0.3">
      <c r="C37" s="13">
        <v>45497</v>
      </c>
      <c r="D37" s="53">
        <v>1.0576388888888899</v>
      </c>
      <c r="E37" s="15">
        <f t="shared" si="6"/>
        <v>32.433333333333337</v>
      </c>
      <c r="F37" s="15">
        <f t="shared" si="7"/>
        <v>2.7666666666666675</v>
      </c>
      <c r="G37" s="50">
        <f t="shared" si="1"/>
        <v>1.7918987065267209</v>
      </c>
      <c r="H37" s="70">
        <f t="shared" si="0"/>
        <v>1.7918987065267209</v>
      </c>
      <c r="I37">
        <f t="shared" si="8"/>
        <v>549.52666108993094</v>
      </c>
      <c r="J37">
        <f t="shared" si="2"/>
        <v>4.7633305449654726</v>
      </c>
      <c r="K37">
        <f t="shared" si="3"/>
        <v>4.7633305449654726</v>
      </c>
      <c r="L37" s="55">
        <f t="shared" si="4"/>
        <v>6.8651042046443473</v>
      </c>
      <c r="M37">
        <f t="shared" si="5"/>
        <v>23.492778769832118</v>
      </c>
      <c r="N37" s="76"/>
      <c r="O37" s="52"/>
      <c r="P37" s="52"/>
    </row>
    <row r="38" spans="1:16" x14ac:dyDescent="0.3">
      <c r="C38" s="13">
        <v>45497</v>
      </c>
      <c r="D38" s="53">
        <v>1.06111111111111</v>
      </c>
      <c r="E38" s="15">
        <f t="shared" si="6"/>
        <v>32.516666666666666</v>
      </c>
      <c r="F38" s="15">
        <f t="shared" si="7"/>
        <v>2.850000000000001</v>
      </c>
      <c r="G38" s="50">
        <f t="shared" si="1"/>
        <v>1.7963840576458163</v>
      </c>
      <c r="H38" s="70">
        <f t="shared" si="0"/>
        <v>1.7963840576458163</v>
      </c>
      <c r="I38">
        <f t="shared" si="8"/>
        <v>549.82605843287195</v>
      </c>
      <c r="J38">
        <f t="shared" si="2"/>
        <v>4.913029216435957</v>
      </c>
      <c r="K38">
        <f t="shared" si="3"/>
        <v>4.913029216435957</v>
      </c>
      <c r="L38" s="55">
        <f t="shared" si="4"/>
        <v>7.0770002253218838</v>
      </c>
      <c r="M38">
        <f t="shared" si="5"/>
        <v>23.538854382328331</v>
      </c>
      <c r="N38" s="76"/>
      <c r="O38" s="52"/>
      <c r="P38" s="52"/>
    </row>
    <row r="39" spans="1:16" x14ac:dyDescent="0.3">
      <c r="C39" s="13">
        <v>45497</v>
      </c>
      <c r="D39" s="53">
        <v>1.0645833333333301</v>
      </c>
      <c r="E39" s="15">
        <f t="shared" si="6"/>
        <v>32.6</v>
      </c>
      <c r="F39" s="15">
        <f t="shared" si="7"/>
        <v>2.9333333333333345</v>
      </c>
      <c r="G39" s="50">
        <f t="shared" si="1"/>
        <v>1.8008806361711198</v>
      </c>
      <c r="H39" s="70">
        <f t="shared" si="0"/>
        <v>1.8008806361711198</v>
      </c>
      <c r="I39">
        <f t="shared" si="8"/>
        <v>550.12620520556709</v>
      </c>
      <c r="J39">
        <f t="shared" si="2"/>
        <v>5.06310260278355</v>
      </c>
      <c r="K39">
        <f t="shared" si="3"/>
        <v>5.06310260278355</v>
      </c>
      <c r="L39" s="55">
        <f t="shared" si="4"/>
        <v>7.2891951400609125</v>
      </c>
      <c r="M39">
        <f t="shared" si="5"/>
        <v>23.584994987677696</v>
      </c>
      <c r="N39" s="76"/>
      <c r="O39" s="52"/>
      <c r="P39" s="52"/>
    </row>
    <row r="40" spans="1:16" x14ac:dyDescent="0.3">
      <c r="A40" s="56"/>
      <c r="B40" s="56"/>
      <c r="C40" s="13">
        <v>45497</v>
      </c>
      <c r="D40" s="53">
        <v>1.06805555555555</v>
      </c>
      <c r="E40" s="15">
        <f t="shared" si="6"/>
        <v>32.683333333333337</v>
      </c>
      <c r="F40" s="15">
        <f t="shared" si="7"/>
        <v>3.0166666666666679</v>
      </c>
      <c r="G40" s="50">
        <f t="shared" si="1"/>
        <v>1.8053884702062615</v>
      </c>
      <c r="H40" s="70">
        <f t="shared" si="0"/>
        <v>1.8053884702062615</v>
      </c>
      <c r="I40">
        <f t="shared" si="8"/>
        <v>550.4271032839348</v>
      </c>
      <c r="J40">
        <f t="shared" si="2"/>
        <v>5.2135516419674053</v>
      </c>
      <c r="K40">
        <f t="shared" si="3"/>
        <v>5.2135516419674053</v>
      </c>
      <c r="L40" s="55">
        <f t="shared" si="4"/>
        <v>7.5016889172119745</v>
      </c>
      <c r="M40">
        <f t="shared" si="5"/>
        <v>23.631200578998207</v>
      </c>
      <c r="N40" s="76"/>
      <c r="O40" s="52"/>
      <c r="P40" s="52"/>
    </row>
    <row r="41" spans="1:16" x14ac:dyDescent="0.3">
      <c r="B41" s="56"/>
      <c r="C41" s="13">
        <v>45497</v>
      </c>
      <c r="D41" s="53">
        <v>1.0715277777777801</v>
      </c>
      <c r="E41" s="15">
        <f t="shared" si="6"/>
        <v>32.766666666666666</v>
      </c>
      <c r="F41" s="15">
        <f t="shared" si="7"/>
        <v>3.1000000000000014</v>
      </c>
      <c r="G41" s="50">
        <f t="shared" si="1"/>
        <v>1.8099075879252189</v>
      </c>
      <c r="H41" s="70">
        <f t="shared" si="0"/>
        <v>1.8099075879252189</v>
      </c>
      <c r="I41">
        <f t="shared" si="8"/>
        <v>550.728754548589</v>
      </c>
      <c r="J41">
        <f t="shared" si="2"/>
        <v>5.3643772742945073</v>
      </c>
      <c r="K41">
        <f t="shared" si="3"/>
        <v>5.3643772742945073</v>
      </c>
      <c r="L41" s="55">
        <f t="shared" si="4"/>
        <v>7.7144815231658814</v>
      </c>
      <c r="M41">
        <f t="shared" si="5"/>
        <v>23.677471148981741</v>
      </c>
      <c r="N41" s="76"/>
      <c r="O41" s="52"/>
      <c r="P41" s="52"/>
    </row>
    <row r="42" spans="1:16" x14ac:dyDescent="0.3">
      <c r="C42" s="13">
        <v>45497</v>
      </c>
      <c r="D42" s="53">
        <v>1.075</v>
      </c>
      <c r="E42" s="15">
        <f t="shared" si="6"/>
        <v>32.85</v>
      </c>
      <c r="F42" s="15">
        <f t="shared" si="7"/>
        <v>3.1833333333333349</v>
      </c>
      <c r="G42" s="50">
        <f t="shared" si="1"/>
        <v>1.8144380175724928</v>
      </c>
      <c r="H42" s="70">
        <f t="shared" si="0"/>
        <v>1.8144380175724928</v>
      </c>
      <c r="I42">
        <f t="shared" si="8"/>
        <v>551.03116088485103</v>
      </c>
      <c r="J42">
        <f t="shared" si="2"/>
        <v>5.5155804424255486</v>
      </c>
      <c r="K42">
        <f t="shared" si="3"/>
        <v>5.5155804424255486</v>
      </c>
      <c r="L42" s="55">
        <f t="shared" si="4"/>
        <v>7.9275729223485492</v>
      </c>
      <c r="M42">
        <f t="shared" si="5"/>
        <v>23.723806689892907</v>
      </c>
      <c r="N42" s="76"/>
      <c r="O42" s="52"/>
      <c r="P42" s="52"/>
    </row>
    <row r="43" spans="1:16" x14ac:dyDescent="0.3">
      <c r="A43" s="56"/>
      <c r="C43" s="13">
        <v>45497</v>
      </c>
      <c r="D43" s="53">
        <v>1.0784722222222201</v>
      </c>
      <c r="E43" s="15">
        <f t="shared" si="6"/>
        <v>32.933333333333337</v>
      </c>
      <c r="F43" s="15">
        <f t="shared" si="7"/>
        <v>3.2666666666666684</v>
      </c>
      <c r="G43" s="50">
        <f t="shared" si="1"/>
        <v>1.8189797874632823</v>
      </c>
      <c r="H43" s="70">
        <f t="shared" si="0"/>
        <v>1.8189797874632823</v>
      </c>
      <c r="I43">
        <f t="shared" si="8"/>
        <v>551.33432418276163</v>
      </c>
      <c r="J43">
        <f t="shared" si="2"/>
        <v>5.6671620913808223</v>
      </c>
      <c r="K43">
        <f t="shared" si="3"/>
        <v>5.6671620913808223</v>
      </c>
      <c r="L43" s="55">
        <f t="shared" si="4"/>
        <v>8.1409630772158366</v>
      </c>
      <c r="M43">
        <f t="shared" si="5"/>
        <v>23.770207193567938</v>
      </c>
      <c r="N43" s="76"/>
      <c r="O43" s="52"/>
      <c r="P43" s="52"/>
    </row>
    <row r="44" spans="1:16" x14ac:dyDescent="0.3">
      <c r="C44" s="13">
        <v>45497</v>
      </c>
      <c r="D44" s="53">
        <v>1.0819444444444399</v>
      </c>
      <c r="E44" s="15">
        <f t="shared" si="6"/>
        <v>33.016666666666673</v>
      </c>
      <c r="F44" s="15">
        <f t="shared" si="7"/>
        <v>3.3500000000000019</v>
      </c>
      <c r="G44" s="50">
        <f t="shared" si="1"/>
        <v>1.8235329259836648</v>
      </c>
      <c r="H44" s="70">
        <f t="shared" si="0"/>
        <v>1.8235329259836648</v>
      </c>
      <c r="I44">
        <f t="shared" si="8"/>
        <v>551.63824633709226</v>
      </c>
      <c r="J44">
        <f t="shared" si="2"/>
        <v>5.8191231685461275</v>
      </c>
      <c r="K44">
        <f t="shared" si="3"/>
        <v>5.8191231685461275</v>
      </c>
      <c r="L44" s="55">
        <f t="shared" si="4"/>
        <v>8.3546519482484207</v>
      </c>
      <c r="M44">
        <f t="shared" si="5"/>
        <v>23.81667265141358</v>
      </c>
      <c r="N44" s="76"/>
      <c r="O44" s="52"/>
      <c r="P44" s="52"/>
    </row>
    <row r="45" spans="1:16" x14ac:dyDescent="0.3">
      <c r="C45" s="13">
        <v>45497</v>
      </c>
      <c r="D45" s="53">
        <v>1.08541666666667</v>
      </c>
      <c r="E45" s="15">
        <f t="shared" si="6"/>
        <v>33.1</v>
      </c>
      <c r="F45" s="15">
        <f t="shared" si="7"/>
        <v>3.4333333333333353</v>
      </c>
      <c r="G45" s="50">
        <f t="shared" si="1"/>
        <v>1.8280974615907708</v>
      </c>
      <c r="H45" s="70">
        <f t="shared" si="0"/>
        <v>1.8280974615907708</v>
      </c>
      <c r="I45">
        <f t="shared" si="8"/>
        <v>551.94292924735737</v>
      </c>
      <c r="J45">
        <f t="shared" si="2"/>
        <v>5.9714646236786919</v>
      </c>
      <c r="K45">
        <f t="shared" si="3"/>
        <v>5.9714646236786919</v>
      </c>
      <c r="L45" s="55">
        <f t="shared" si="4"/>
        <v>8.5686394939466748</v>
      </c>
      <c r="M45">
        <f t="shared" si="5"/>
        <v>23.863203054405968</v>
      </c>
      <c r="N45" s="76"/>
      <c r="O45" s="52"/>
      <c r="P45" s="52"/>
    </row>
    <row r="46" spans="1:16" x14ac:dyDescent="0.3">
      <c r="C46" s="13">
        <v>45497</v>
      </c>
      <c r="D46" s="53">
        <v>1.0888888888888899</v>
      </c>
      <c r="E46" s="15">
        <f t="shared" si="6"/>
        <v>33.183333333333337</v>
      </c>
      <c r="F46" s="15">
        <f t="shared" si="7"/>
        <v>3.5166666666666688</v>
      </c>
      <c r="G46" s="50">
        <f t="shared" si="1"/>
        <v>1.8326734228129629</v>
      </c>
      <c r="H46" s="70">
        <f t="shared" si="0"/>
        <v>1.8326734228129629</v>
      </c>
      <c r="I46">
        <f t="shared" si="8"/>
        <v>552.24837481782617</v>
      </c>
      <c r="J46">
        <f t="shared" si="2"/>
        <v>6.1241874089131052</v>
      </c>
      <c r="K46">
        <f t="shared" si="3"/>
        <v>6.1241874089131052</v>
      </c>
      <c r="L46" s="55">
        <f t="shared" si="4"/>
        <v>8.7829256708255521</v>
      </c>
      <c r="M46">
        <f t="shared" si="5"/>
        <v>23.90979839308952</v>
      </c>
      <c r="N46" s="76"/>
      <c r="O46" s="52"/>
      <c r="P46" s="52"/>
    </row>
    <row r="47" spans="1:16" x14ac:dyDescent="0.3">
      <c r="C47" s="13">
        <v>45497</v>
      </c>
      <c r="D47" s="53">
        <v>1.09236111111111</v>
      </c>
      <c r="E47" s="15">
        <f t="shared" si="6"/>
        <v>33.266666666666673</v>
      </c>
      <c r="F47" s="15">
        <f t="shared" si="7"/>
        <v>3.6000000000000023</v>
      </c>
      <c r="G47" s="50">
        <f t="shared" si="1"/>
        <v>1.8372608382500129</v>
      </c>
      <c r="H47" s="70">
        <f t="shared" si="0"/>
        <v>1.8372608382500129</v>
      </c>
      <c r="I47">
        <f t="shared" si="8"/>
        <v>552.55458495753453</v>
      </c>
      <c r="J47">
        <f t="shared" si="2"/>
        <v>6.277292478767273</v>
      </c>
      <c r="K47">
        <f t="shared" si="3"/>
        <v>6.277292478767273</v>
      </c>
      <c r="L47" s="55">
        <f t="shared" si="4"/>
        <v>8.9975104334095075</v>
      </c>
      <c r="M47">
        <f t="shared" si="5"/>
        <v>23.956458657575833</v>
      </c>
      <c r="N47" s="76"/>
      <c r="O47" s="52"/>
      <c r="P47" s="52"/>
    </row>
    <row r="48" spans="1:16" x14ac:dyDescent="0.3">
      <c r="C48" s="13">
        <v>45497</v>
      </c>
      <c r="D48" s="53">
        <v>1.0958333333333301</v>
      </c>
      <c r="E48" s="15">
        <f t="shared" si="6"/>
        <v>33.35</v>
      </c>
      <c r="F48" s="15">
        <f t="shared" si="7"/>
        <v>3.6833333333333358</v>
      </c>
      <c r="G48" s="50">
        <f t="shared" si="1"/>
        <v>1.8418597365732827</v>
      </c>
      <c r="H48" s="70">
        <f t="shared" si="0"/>
        <v>1.8418597365732827</v>
      </c>
      <c r="I48">
        <f t="shared" si="8"/>
        <v>552.86156158029678</v>
      </c>
      <c r="J48">
        <f t="shared" si="2"/>
        <v>6.43078079014838</v>
      </c>
      <c r="K48">
        <f t="shared" si="3"/>
        <v>6.43078079014838</v>
      </c>
      <c r="L48" s="55">
        <f t="shared" si="4"/>
        <v>9.2123937342274225</v>
      </c>
      <c r="M48">
        <f t="shared" si="5"/>
        <v>24.003183837542572</v>
      </c>
      <c r="N48" s="76"/>
      <c r="O48" s="52"/>
      <c r="P48" s="52"/>
    </row>
    <row r="49" spans="2:16" x14ac:dyDescent="0.3">
      <c r="C49" s="13">
        <v>45497</v>
      </c>
      <c r="D49" s="53">
        <v>1.09930555555555</v>
      </c>
      <c r="E49" s="15">
        <f t="shared" si="6"/>
        <v>33.433333333333337</v>
      </c>
      <c r="F49" s="15">
        <f t="shared" si="7"/>
        <v>3.7666666666666693</v>
      </c>
      <c r="G49" s="50">
        <f t="shared" si="1"/>
        <v>1.8464701465259017</v>
      </c>
      <c r="H49" s="70">
        <f t="shared" si="0"/>
        <v>1.8464701465259017</v>
      </c>
      <c r="I49">
        <f t="shared" si="8"/>
        <v>553.1693066047178</v>
      </c>
      <c r="J49">
        <f t="shared" si="2"/>
        <v>6.5846533023588716</v>
      </c>
      <c r="K49">
        <f t="shared" si="3"/>
        <v>6.5846533023588716</v>
      </c>
      <c r="L49" s="55">
        <f t="shared" si="4"/>
        <v>9.4275755238075334</v>
      </c>
      <c r="M49">
        <f t="shared" si="5"/>
        <v>24.049973922232379</v>
      </c>
      <c r="N49" s="76"/>
      <c r="O49" s="52"/>
      <c r="P49" s="52"/>
    </row>
    <row r="50" spans="2:16" x14ac:dyDescent="0.3">
      <c r="C50" s="13">
        <v>45497</v>
      </c>
      <c r="D50" s="53">
        <v>1.1027777777777801</v>
      </c>
      <c r="E50" s="15">
        <f t="shared" si="6"/>
        <v>33.516666666666673</v>
      </c>
      <c r="F50" s="15">
        <f t="shared" si="7"/>
        <v>3.8500000000000028</v>
      </c>
      <c r="G50" s="50">
        <f t="shared" si="1"/>
        <v>1.8510920969229474</v>
      </c>
      <c r="H50" s="70">
        <f t="shared" si="0"/>
        <v>1.8510920969229474</v>
      </c>
      <c r="I50">
        <f t="shared" si="8"/>
        <v>553.47782195420496</v>
      </c>
      <c r="J50">
        <f t="shared" si="2"/>
        <v>6.7389109771024502</v>
      </c>
      <c r="K50">
        <f t="shared" si="3"/>
        <v>6.7389109771024502</v>
      </c>
      <c r="L50" s="55">
        <f t="shared" si="4"/>
        <v>9.6430557506724135</v>
      </c>
      <c r="M50">
        <f t="shared" si="5"/>
        <v>24.096828900451772</v>
      </c>
      <c r="N50" s="76"/>
      <c r="O50" s="52"/>
      <c r="P50" s="52"/>
    </row>
    <row r="51" spans="2:16" x14ac:dyDescent="0.3">
      <c r="C51" s="13">
        <v>45497</v>
      </c>
      <c r="D51" s="53">
        <v>1.10625</v>
      </c>
      <c r="E51" s="15">
        <f t="shared" si="6"/>
        <v>33.6</v>
      </c>
      <c r="F51" s="15">
        <f t="shared" si="7"/>
        <v>3.9333333333333362</v>
      </c>
      <c r="G51" s="50">
        <f t="shared" si="1"/>
        <v>1.8557256166516243</v>
      </c>
      <c r="H51" s="70">
        <f t="shared" si="0"/>
        <v>1.8557256166516243</v>
      </c>
      <c r="I51">
        <f t="shared" si="8"/>
        <v>553.78710955698023</v>
      </c>
      <c r="J51">
        <f t="shared" si="2"/>
        <v>6.8935547784900857</v>
      </c>
      <c r="K51">
        <f t="shared" si="3"/>
        <v>6.8935547784900857</v>
      </c>
      <c r="L51" s="55">
        <f t="shared" si="4"/>
        <v>9.8588343613339138</v>
      </c>
      <c r="M51">
        <f t="shared" si="5"/>
        <v>24.143748760570052</v>
      </c>
      <c r="N51" s="76"/>
      <c r="O51" s="52"/>
      <c r="P51" s="52"/>
    </row>
    <row r="52" spans="2:16" x14ac:dyDescent="0.3">
      <c r="C52" s="13">
        <v>45497</v>
      </c>
      <c r="D52" s="53">
        <v>1.1097222222222201</v>
      </c>
      <c r="E52" s="15">
        <f t="shared" si="6"/>
        <v>33.683333333333337</v>
      </c>
      <c r="F52" s="15">
        <f t="shared" si="7"/>
        <v>4.0166666666666693</v>
      </c>
      <c r="G52" s="50">
        <f t="shared" si="1"/>
        <v>1.860370734671446</v>
      </c>
      <c r="H52" s="70">
        <f t="shared" si="0"/>
        <v>1.860370734671446</v>
      </c>
      <c r="I52">
        <f t="shared" si="8"/>
        <v>554.09717134609218</v>
      </c>
      <c r="J52">
        <f t="shared" si="2"/>
        <v>7.0485856730460394</v>
      </c>
      <c r="K52">
        <f t="shared" si="3"/>
        <v>7.0485856730460394</v>
      </c>
      <c r="L52" s="55">
        <f t="shared" si="4"/>
        <v>10.074911300288182</v>
      </c>
      <c r="M52">
        <f t="shared" si="5"/>
        <v>24.19073349051822</v>
      </c>
      <c r="N52" s="76"/>
      <c r="O52" s="52"/>
      <c r="P52" s="52"/>
    </row>
    <row r="53" spans="2:16" x14ac:dyDescent="0.3">
      <c r="C53" s="13">
        <v>45497</v>
      </c>
      <c r="D53" s="53">
        <v>1.1131944444444399</v>
      </c>
      <c r="E53" s="15">
        <f t="shared" si="6"/>
        <v>33.766666666666673</v>
      </c>
      <c r="F53" s="15">
        <f t="shared" si="7"/>
        <v>4.1000000000000023</v>
      </c>
      <c r="G53" s="50">
        <f t="shared" si="1"/>
        <v>1.8650274800144153</v>
      </c>
      <c r="H53" s="70">
        <f t="shared" si="0"/>
        <v>1.8650274800144153</v>
      </c>
      <c r="I53">
        <f t="shared" si="8"/>
        <v>554.4080092594279</v>
      </c>
      <c r="J53">
        <f t="shared" si="2"/>
        <v>7.2040046297139071</v>
      </c>
      <c r="K53">
        <f t="shared" si="3"/>
        <v>7.2040046297139071</v>
      </c>
      <c r="L53" s="55">
        <f t="shared" si="4"/>
        <v>10.291286510010655</v>
      </c>
      <c r="M53">
        <f t="shared" si="5"/>
        <v>24.237783077787874</v>
      </c>
      <c r="N53" s="76"/>
      <c r="O53" s="52"/>
      <c r="P53" s="52"/>
    </row>
    <row r="54" spans="2:16" x14ac:dyDescent="0.3">
      <c r="C54" s="13">
        <v>45497</v>
      </c>
      <c r="D54" s="53">
        <v>1.11666666666667</v>
      </c>
      <c r="E54" s="15">
        <f t="shared" si="6"/>
        <v>33.85</v>
      </c>
      <c r="F54" s="15">
        <f t="shared" si="7"/>
        <v>4.1833333333333353</v>
      </c>
      <c r="G54" s="50">
        <f t="shared" si="1"/>
        <v>1.8696958817852061</v>
      </c>
      <c r="H54" s="70">
        <f t="shared" si="0"/>
        <v>1.8696958817852061</v>
      </c>
      <c r="I54">
        <f t="shared" si="8"/>
        <v>554.71962523972547</v>
      </c>
      <c r="J54">
        <f t="shared" si="2"/>
        <v>7.3598126198626739</v>
      </c>
      <c r="K54">
        <f t="shared" si="3"/>
        <v>7.3598126198626739</v>
      </c>
      <c r="L54" s="55">
        <f t="shared" si="4"/>
        <v>10.507959930951081</v>
      </c>
      <c r="M54">
        <f t="shared" si="5"/>
        <v>24.284897509430138</v>
      </c>
      <c r="N54" s="76"/>
      <c r="O54" s="52"/>
      <c r="P54" s="52"/>
    </row>
    <row r="55" spans="2:16" x14ac:dyDescent="0.3">
      <c r="C55" s="13">
        <v>45497</v>
      </c>
      <c r="D55" s="53">
        <v>1.1201388888888899</v>
      </c>
      <c r="E55" s="15">
        <f t="shared" si="6"/>
        <v>33.933333333333337</v>
      </c>
      <c r="F55" s="15">
        <f t="shared" si="7"/>
        <v>4.2666666666666684</v>
      </c>
      <c r="G55" s="50">
        <f t="shared" si="1"/>
        <v>1.8743759691613437</v>
      </c>
      <c r="H55" s="70">
        <f t="shared" si="0"/>
        <v>1.8743759691613437</v>
      </c>
      <c r="I55">
        <f t="shared" si="8"/>
        <v>555.03202123458573</v>
      </c>
      <c r="J55">
        <f t="shared" si="2"/>
        <v>7.5160106172927854</v>
      </c>
      <c r="K55">
        <f t="shared" si="3"/>
        <v>7.5160106172927854</v>
      </c>
      <c r="L55" s="55">
        <f t="shared" si="4"/>
        <v>10.724931501528571</v>
      </c>
      <c r="M55">
        <f t="shared" si="5"/>
        <v>24.332076772054599</v>
      </c>
      <c r="N55" s="76"/>
      <c r="O55" s="52"/>
      <c r="P55" s="52"/>
    </row>
    <row r="56" spans="2:16" x14ac:dyDescent="0.3">
      <c r="B56" s="56"/>
      <c r="C56" s="13">
        <v>45497</v>
      </c>
      <c r="D56" s="53">
        <v>1.12361111111111</v>
      </c>
      <c r="E56" s="15">
        <f t="shared" si="6"/>
        <v>34.016666666666666</v>
      </c>
      <c r="F56" s="15">
        <f t="shared" si="7"/>
        <v>4.3500000000000014</v>
      </c>
      <c r="G56" s="50">
        <f t="shared" si="1"/>
        <v>1.8790677713933905</v>
      </c>
      <c r="H56" s="70">
        <f t="shared" si="0"/>
        <v>1.8790677713933905</v>
      </c>
      <c r="I56">
        <f t="shared" si="8"/>
        <v>555.3451991964846</v>
      </c>
      <c r="J56">
        <f t="shared" si="2"/>
        <v>7.6725995982422344</v>
      </c>
      <c r="K56">
        <f t="shared" si="3"/>
        <v>7.6725995982422344</v>
      </c>
      <c r="L56" s="55">
        <f t="shared" si="4"/>
        <v>10.942201158126647</v>
      </c>
      <c r="M56">
        <f t="shared" si="5"/>
        <v>24.379320851828204</v>
      </c>
      <c r="N56" s="76"/>
      <c r="O56" s="52"/>
      <c r="P56" s="52"/>
    </row>
    <row r="57" spans="2:16" x14ac:dyDescent="0.3">
      <c r="C57" s="13">
        <v>45497</v>
      </c>
      <c r="D57" s="53">
        <v>1.1270833333333301</v>
      </c>
      <c r="E57" s="15">
        <f t="shared" si="6"/>
        <v>34.1</v>
      </c>
      <c r="F57" s="15">
        <f t="shared" si="7"/>
        <v>4.4333333333333345</v>
      </c>
      <c r="G57" s="50">
        <f t="shared" si="1"/>
        <v>1.883771317805125</v>
      </c>
      <c r="H57" s="70">
        <f t="shared" si="0"/>
        <v>1.883771317805125</v>
      </c>
      <c r="I57">
        <f t="shared" si="8"/>
        <v>555.65916108278543</v>
      </c>
      <c r="J57">
        <f t="shared" si="2"/>
        <v>7.8295805413926614</v>
      </c>
      <c r="K57">
        <f t="shared" si="3"/>
        <v>7.8295805413926614</v>
      </c>
      <c r="L57" s="55">
        <f t="shared" si="4"/>
        <v>11.159768835088311</v>
      </c>
      <c r="M57">
        <f t="shared" si="5"/>
        <v>24.426629734474204</v>
      </c>
      <c r="N57" s="76"/>
      <c r="O57" s="52"/>
      <c r="P57" s="52"/>
    </row>
    <row r="58" spans="2:16" x14ac:dyDescent="0.3">
      <c r="C58" s="13">
        <v>45497</v>
      </c>
      <c r="D58" s="53">
        <v>1.13055555555555</v>
      </c>
      <c r="E58" s="15">
        <f t="shared" si="6"/>
        <v>34.183333333333337</v>
      </c>
      <c r="F58" s="15">
        <f t="shared" si="7"/>
        <v>4.5166666666666675</v>
      </c>
      <c r="G58" s="50">
        <f t="shared" si="1"/>
        <v>1.8884866377937279</v>
      </c>
      <c r="H58" s="70">
        <f t="shared" si="0"/>
        <v>1.8884866377937279</v>
      </c>
      <c r="I58">
        <f t="shared" si="8"/>
        <v>555.97390885575101</v>
      </c>
      <c r="J58">
        <f t="shared" si="2"/>
        <v>7.9869544278754718</v>
      </c>
      <c r="K58">
        <f t="shared" si="3"/>
        <v>7.9869544278754718</v>
      </c>
      <c r="L58" s="55">
        <f t="shared" si="4"/>
        <v>11.377634464711154</v>
      </c>
      <c r="M58">
        <f t="shared" si="5"/>
        <v>24.474003405271088</v>
      </c>
      <c r="N58" s="76"/>
      <c r="O58" s="52"/>
      <c r="P58" s="52"/>
    </row>
    <row r="59" spans="2:16" x14ac:dyDescent="0.3">
      <c r="C59" s="13">
        <v>45497</v>
      </c>
      <c r="D59" s="53">
        <v>1.1340277777777801</v>
      </c>
      <c r="E59" s="15">
        <f t="shared" si="6"/>
        <v>34.266666666666666</v>
      </c>
      <c r="F59" s="15">
        <f t="shared" si="7"/>
        <v>4.6000000000000005</v>
      </c>
      <c r="G59" s="50">
        <f t="shared" si="1"/>
        <v>1.8932137608299646</v>
      </c>
      <c r="H59" s="70">
        <f t="shared" si="0"/>
        <v>1.8932137608299646</v>
      </c>
      <c r="I59">
        <f t="shared" si="8"/>
        <v>556.28944448255595</v>
      </c>
      <c r="J59">
        <f t="shared" si="2"/>
        <v>8.1447222412779681</v>
      </c>
      <c r="K59">
        <f t="shared" si="3"/>
        <v>8.1447222412779681</v>
      </c>
      <c r="L59" s="55">
        <f t="shared" si="4"/>
        <v>11.59579797724245</v>
      </c>
      <c r="M59">
        <f t="shared" si="5"/>
        <v>24.521441849051509</v>
      </c>
      <c r="N59" s="76"/>
      <c r="O59" s="52"/>
      <c r="P59" s="52"/>
    </row>
    <row r="60" spans="2:16" x14ac:dyDescent="0.3">
      <c r="C60" s="13">
        <v>45497</v>
      </c>
      <c r="D60" s="53">
        <v>1.1375</v>
      </c>
      <c r="E60" s="15">
        <f t="shared" si="6"/>
        <v>34.35</v>
      </c>
      <c r="F60" s="15">
        <f t="shared" si="7"/>
        <v>4.6833333333333336</v>
      </c>
      <c r="G60" s="50">
        <f t="shared" si="1"/>
        <v>1.8979527164583694</v>
      </c>
      <c r="H60" s="70">
        <f t="shared" si="0"/>
        <v>1.8979527164583694</v>
      </c>
      <c r="I60">
        <f t="shared" si="8"/>
        <v>556.60576993529901</v>
      </c>
      <c r="J60">
        <f t="shared" si="2"/>
        <v>8.3028849676494989</v>
      </c>
      <c r="K60">
        <f t="shared" si="3"/>
        <v>8.3028849676494989</v>
      </c>
      <c r="L60" s="55">
        <f t="shared" si="4"/>
        <v>11.814259300874289</v>
      </c>
      <c r="M60">
        <f t="shared" si="5"/>
        <v>24.568945050201233</v>
      </c>
      <c r="N60" s="76"/>
      <c r="O60" s="52"/>
      <c r="P60" s="52"/>
    </row>
    <row r="61" spans="2:16" x14ac:dyDescent="0.3">
      <c r="C61" s="13">
        <v>45497</v>
      </c>
      <c r="D61" s="53">
        <v>1.1409722222222201</v>
      </c>
      <c r="E61" s="15">
        <f t="shared" si="6"/>
        <v>34.433333333333337</v>
      </c>
      <c r="F61" s="15">
        <f t="shared" si="7"/>
        <v>4.7666666666666666</v>
      </c>
      <c r="G61" s="50">
        <f t="shared" si="1"/>
        <v>1.9027035342974301</v>
      </c>
      <c r="H61" s="70">
        <f t="shared" si="0"/>
        <v>1.9027035342974301</v>
      </c>
      <c r="I61">
        <f t="shared" si="8"/>
        <v>556.92288719101521</v>
      </c>
      <c r="J61">
        <f t="shared" si="2"/>
        <v>8.4614435955076175</v>
      </c>
      <c r="K61">
        <f t="shared" si="3"/>
        <v>8.4614435955076175</v>
      </c>
      <c r="L61" s="55">
        <f t="shared" si="4"/>
        <v>12.033018361738726</v>
      </c>
      <c r="M61">
        <f t="shared" si="5"/>
        <v>24.616512992658091</v>
      </c>
      <c r="N61" s="76"/>
      <c r="O61" s="52"/>
      <c r="P61" s="52"/>
    </row>
    <row r="62" spans="2:16" x14ac:dyDescent="0.3">
      <c r="C62" s="13">
        <v>45497</v>
      </c>
      <c r="D62" s="53">
        <v>1.1444444444444399</v>
      </c>
      <c r="E62" s="15">
        <f t="shared" si="6"/>
        <v>34.516666666666666</v>
      </c>
      <c r="F62" s="15">
        <f t="shared" si="7"/>
        <v>4.8499999999999996</v>
      </c>
      <c r="G62" s="50">
        <f t="shared" si="1"/>
        <v>1.9074662440397738</v>
      </c>
      <c r="H62" s="70">
        <f t="shared" si="0"/>
        <v>1.9074662440397738</v>
      </c>
      <c r="I62">
        <f t="shared" si="8"/>
        <v>557.24079823168847</v>
      </c>
      <c r="J62">
        <f t="shared" si="2"/>
        <v>8.6203991158442648</v>
      </c>
      <c r="K62">
        <f t="shared" si="3"/>
        <v>8.6203991158442648</v>
      </c>
      <c r="L62" s="55">
        <f t="shared" si="4"/>
        <v>12.252075083902941</v>
      </c>
      <c r="M62">
        <f t="shared" si="5"/>
        <v>24.664145659910915</v>
      </c>
      <c r="N62" s="76"/>
      <c r="O62" s="52"/>
      <c r="P62" s="52"/>
    </row>
    <row r="63" spans="2:16" x14ac:dyDescent="0.3">
      <c r="C63" s="13">
        <v>45497</v>
      </c>
      <c r="D63" s="53">
        <v>1.14791666666667</v>
      </c>
      <c r="E63" s="15">
        <f t="shared" si="6"/>
        <v>34.6</v>
      </c>
      <c r="F63" s="15">
        <f t="shared" si="7"/>
        <v>4.9333333333333327</v>
      </c>
      <c r="G63" s="50">
        <f t="shared" si="1"/>
        <v>1.9122408754523519</v>
      </c>
      <c r="H63" s="70">
        <f t="shared" si="0"/>
        <v>1.9122408754523519</v>
      </c>
      <c r="I63">
        <f t="shared" si="8"/>
        <v>557.55950504426391</v>
      </c>
      <c r="J63">
        <f t="shared" si="2"/>
        <v>8.779752522131961</v>
      </c>
      <c r="K63">
        <f t="shared" si="3"/>
        <v>8.779752522131961</v>
      </c>
      <c r="L63" s="55">
        <f t="shared" si="4"/>
        <v>12.471429389364419</v>
      </c>
      <c r="M63">
        <f t="shared" si="5"/>
        <v>24.711843034998481</v>
      </c>
      <c r="N63" s="76"/>
      <c r="O63" s="52"/>
      <c r="P63" s="52"/>
    </row>
    <row r="64" spans="2:16" x14ac:dyDescent="0.3">
      <c r="C64" s="13">
        <v>45497</v>
      </c>
      <c r="D64" s="53">
        <v>1.1513888888888899</v>
      </c>
      <c r="E64" s="15">
        <f t="shared" si="6"/>
        <v>34.683333333333337</v>
      </c>
      <c r="F64" s="15">
        <f t="shared" si="7"/>
        <v>5.0166666666666657</v>
      </c>
      <c r="G64" s="50">
        <f t="shared" si="1"/>
        <v>1.9170274583766262</v>
      </c>
      <c r="H64" s="70">
        <f t="shared" si="0"/>
        <v>1.9170274583766262</v>
      </c>
      <c r="I64">
        <f t="shared" si="8"/>
        <v>557.87900962065999</v>
      </c>
      <c r="J64">
        <f t="shared" si="2"/>
        <v>8.9395048103300123</v>
      </c>
      <c r="K64">
        <f t="shared" si="3"/>
        <v>8.9395048103300123</v>
      </c>
      <c r="L64" s="55">
        <f t="shared" si="4"/>
        <v>12.69108119804616</v>
      </c>
      <c r="M64">
        <f t="shared" si="5"/>
        <v>24.759605100508498</v>
      </c>
      <c r="N64" s="76"/>
      <c r="O64" s="52"/>
      <c r="P64" s="52"/>
    </row>
    <row r="65" spans="1:16" x14ac:dyDescent="0.3">
      <c r="C65" s="13">
        <v>45497</v>
      </c>
      <c r="D65" s="53">
        <v>1.15486111111111</v>
      </c>
      <c r="E65" s="15">
        <f t="shared" si="6"/>
        <v>34.766666666666666</v>
      </c>
      <c r="F65" s="15">
        <f t="shared" si="7"/>
        <v>5.0999999999999988</v>
      </c>
      <c r="G65" s="50">
        <f t="shared" si="1"/>
        <v>1.921826022728756</v>
      </c>
      <c r="H65" s="70">
        <f t="shared" si="0"/>
        <v>1.921826022728756</v>
      </c>
      <c r="I65">
        <f t="shared" si="8"/>
        <v>558.19931395778144</v>
      </c>
      <c r="J65">
        <f t="shared" si="2"/>
        <v>9.0996569788907422</v>
      </c>
      <c r="K65">
        <f t="shared" si="3"/>
        <v>9.0996569788907422</v>
      </c>
      <c r="L65" s="55">
        <f t="shared" si="4"/>
        <v>12.911030427791877</v>
      </c>
      <c r="M65">
        <f t="shared" si="5"/>
        <v>24.807431838576541</v>
      </c>
      <c r="N65" s="76"/>
      <c r="O65" s="52"/>
      <c r="P65" s="52"/>
    </row>
    <row r="66" spans="1:16" x14ac:dyDescent="0.3">
      <c r="C66" s="13">
        <v>45497</v>
      </c>
      <c r="D66" s="53">
        <v>1.1583333333333301</v>
      </c>
      <c r="E66" s="15">
        <f t="shared" si="6"/>
        <v>34.85</v>
      </c>
      <c r="F66" s="15">
        <f t="shared" si="7"/>
        <v>5.1833333333333318</v>
      </c>
      <c r="G66" s="50">
        <f t="shared" si="1"/>
        <v>1.926636598499784</v>
      </c>
      <c r="H66" s="70">
        <f t="shared" si="0"/>
        <v>1.926636598499784</v>
      </c>
      <c r="I66">
        <f t="shared" si="8"/>
        <v>558.5204200575314</v>
      </c>
      <c r="J66">
        <f t="shared" si="2"/>
        <v>9.2602100287657247</v>
      </c>
      <c r="K66">
        <f t="shared" si="3"/>
        <v>9.2602100287657247</v>
      </c>
      <c r="L66" s="55">
        <f t="shared" si="4"/>
        <v>13.131276994361267</v>
      </c>
      <c r="M66">
        <f t="shared" si="5"/>
        <v>24.85532323088502</v>
      </c>
      <c r="N66" s="76"/>
      <c r="O66" s="52"/>
      <c r="P66" s="52"/>
    </row>
    <row r="67" spans="1:16" x14ac:dyDescent="0.3">
      <c r="C67" s="13">
        <v>45497</v>
      </c>
      <c r="D67" s="53">
        <v>1.16180555555555</v>
      </c>
      <c r="E67" s="15">
        <f t="shared" si="6"/>
        <v>34.93333333333333</v>
      </c>
      <c r="F67" s="15">
        <f t="shared" si="7"/>
        <v>5.2666666666666648</v>
      </c>
      <c r="G67" s="50">
        <f t="shared" si="1"/>
        <v>1.9314592157558239</v>
      </c>
      <c r="H67" s="70">
        <f t="shared" si="0"/>
        <v>1.9314592157558239</v>
      </c>
      <c r="I67">
        <f t="shared" si="8"/>
        <v>558.84232992682405</v>
      </c>
      <c r="J67">
        <f t="shared" si="2"/>
        <v>9.4211649634120427</v>
      </c>
      <c r="K67">
        <f t="shared" si="3"/>
        <v>9.4211649634120427</v>
      </c>
      <c r="L67" s="55">
        <f t="shared" si="4"/>
        <v>13.351820811425236</v>
      </c>
      <c r="M67">
        <f t="shared" si="5"/>
        <v>24.903279258662149</v>
      </c>
      <c r="N67" s="76"/>
      <c r="O67" s="52"/>
      <c r="P67" s="52"/>
    </row>
    <row r="68" spans="1:16" x14ac:dyDescent="0.3">
      <c r="B68" s="56"/>
      <c r="C68" s="13">
        <v>45497</v>
      </c>
      <c r="D68" s="53">
        <v>1.1652777777777801</v>
      </c>
      <c r="E68" s="15">
        <f t="shared" si="6"/>
        <v>35.016666666666666</v>
      </c>
      <c r="F68" s="15">
        <f t="shared" si="7"/>
        <v>5.3499999999999979</v>
      </c>
      <c r="G68" s="50">
        <f t="shared" si="1"/>
        <v>1.9362939046382495</v>
      </c>
      <c r="H68" s="70">
        <f t="shared" ref="H68:H131" si="9">G68</f>
        <v>1.9362939046382495</v>
      </c>
      <c r="I68">
        <f t="shared" si="8"/>
        <v>559.16504557759708</v>
      </c>
      <c r="J68">
        <f t="shared" si="2"/>
        <v>9.5825227887985633</v>
      </c>
      <c r="K68">
        <f t="shared" si="3"/>
        <v>9.5825227887985633</v>
      </c>
      <c r="L68" s="55">
        <f t="shared" si="4"/>
        <v>13.572661790561197</v>
      </c>
      <c r="M68">
        <f t="shared" si="5"/>
        <v>24.951299902680933</v>
      </c>
      <c r="N68" s="76"/>
      <c r="O68" s="52"/>
      <c r="P68" s="52"/>
    </row>
    <row r="69" spans="1:16" x14ac:dyDescent="0.3">
      <c r="C69" s="13">
        <v>45497</v>
      </c>
      <c r="D69" s="53">
        <v>1.16875</v>
      </c>
      <c r="E69" s="15">
        <f t="shared" si="6"/>
        <v>35.1</v>
      </c>
      <c r="F69" s="15">
        <f t="shared" si="7"/>
        <v>5.4333333333333309</v>
      </c>
      <c r="G69" s="50">
        <f t="shared" ref="G69:G132" si="10">$G$4*EXP($T$1*F69)</f>
        <v>1.9411406953638823</v>
      </c>
      <c r="H69" s="70">
        <f t="shared" si="9"/>
        <v>1.9411406953638823</v>
      </c>
      <c r="I69">
        <f t="shared" si="8"/>
        <v>559.48856902682439</v>
      </c>
      <c r="J69">
        <f t="shared" ref="J69:J132" si="11">J68+G69*5/60</f>
        <v>9.7442845134122198</v>
      </c>
      <c r="K69">
        <f t="shared" ref="K69:K132" si="12">J69</f>
        <v>9.7442845134122198</v>
      </c>
      <c r="L69" s="55">
        <f t="shared" ref="L69:L132" si="13">((L68*I68/1000)+(G69*$T$7/1000*5/60))/(I69/1000)</f>
        <v>13.793799841248353</v>
      </c>
      <c r="M69">
        <f t="shared" ref="M69:M132" si="14">(M68*I68+G69*$T$7*$T$6*(5/60))/I69</f>
        <v>24.999385143258131</v>
      </c>
      <c r="N69" s="76"/>
      <c r="O69" s="52"/>
      <c r="P69" s="52"/>
    </row>
    <row r="70" spans="1:16" x14ac:dyDescent="0.3">
      <c r="C70" s="13">
        <v>45497</v>
      </c>
      <c r="D70" s="53">
        <v>1.1722222222222201</v>
      </c>
      <c r="E70" s="15">
        <f t="shared" ref="E70:E133" si="15">$E$3+F70</f>
        <v>35.18333333333333</v>
      </c>
      <c r="F70" s="15">
        <f t="shared" ref="F70:F133" si="16">F69+5/60</f>
        <v>5.5166666666666639</v>
      </c>
      <c r="G70" s="50">
        <f t="shared" si="10"/>
        <v>1.9459996182251798</v>
      </c>
      <c r="H70" s="70">
        <f t="shared" si="9"/>
        <v>1.9459996182251798</v>
      </c>
      <c r="I70">
        <f t="shared" ref="I70:I133" si="17">I69+(G70+H70)*5/60</f>
        <v>559.81290229652859</v>
      </c>
      <c r="J70">
        <f t="shared" si="11"/>
        <v>9.9064511482643187</v>
      </c>
      <c r="K70">
        <f t="shared" si="12"/>
        <v>9.9064511482643187</v>
      </c>
      <c r="L70" s="55">
        <f t="shared" si="13"/>
        <v>14.01523487086302</v>
      </c>
      <c r="M70">
        <f t="shared" si="14"/>
        <v>25.04753496025323</v>
      </c>
      <c r="N70" s="76"/>
      <c r="O70" s="52"/>
      <c r="P70" s="52"/>
    </row>
    <row r="71" spans="1:16" x14ac:dyDescent="0.3">
      <c r="B71" s="56"/>
      <c r="C71" s="13">
        <v>45497</v>
      </c>
      <c r="D71" s="53">
        <v>1.1756944444444399</v>
      </c>
      <c r="E71" s="15">
        <f t="shared" si="15"/>
        <v>35.266666666666666</v>
      </c>
      <c r="F71" s="15">
        <f t="shared" si="16"/>
        <v>5.599999999999997</v>
      </c>
      <c r="G71" s="50">
        <f t="shared" si="10"/>
        <v>1.950870703590426</v>
      </c>
      <c r="H71" s="70">
        <f t="shared" si="9"/>
        <v>1.950870703590426</v>
      </c>
      <c r="I71">
        <f t="shared" si="17"/>
        <v>560.13804741379363</v>
      </c>
      <c r="J71">
        <f t="shared" si="11"/>
        <v>10.069023706896854</v>
      </c>
      <c r="K71">
        <f t="shared" si="12"/>
        <v>10.069023706896854</v>
      </c>
      <c r="L71" s="55">
        <f t="shared" si="13"/>
        <v>14.236966784673964</v>
      </c>
      <c r="M71">
        <f t="shared" si="14"/>
        <v>25.095749333067456</v>
      </c>
      <c r="N71" s="76"/>
      <c r="O71" s="52"/>
      <c r="P71" s="52"/>
    </row>
    <row r="72" spans="1:16" x14ac:dyDescent="0.3">
      <c r="C72" s="13">
        <v>45497</v>
      </c>
      <c r="D72" s="53">
        <v>1.17916666666667</v>
      </c>
      <c r="E72" s="15">
        <f t="shared" si="15"/>
        <v>35.349999999999994</v>
      </c>
      <c r="F72" s="15">
        <f t="shared" si="16"/>
        <v>5.68333333333333</v>
      </c>
      <c r="G72" s="50">
        <f t="shared" si="10"/>
        <v>1.95575398190392</v>
      </c>
      <c r="H72" s="70">
        <f t="shared" si="9"/>
        <v>1.95575398190392</v>
      </c>
      <c r="I72">
        <f t="shared" si="17"/>
        <v>560.46400641077764</v>
      </c>
      <c r="J72">
        <f t="shared" si="11"/>
        <v>10.232003205388846</v>
      </c>
      <c r="K72">
        <f t="shared" si="12"/>
        <v>10.232003205388846</v>
      </c>
      <c r="L72" s="55">
        <f t="shared" si="13"/>
        <v>14.45899548583774</v>
      </c>
      <c r="M72">
        <f t="shared" si="14"/>
        <v>25.144028240642733</v>
      </c>
      <c r="N72" s="76"/>
      <c r="O72" s="52"/>
      <c r="P72" s="52"/>
    </row>
    <row r="73" spans="1:16" x14ac:dyDescent="0.3">
      <c r="C73" s="13">
        <v>45497</v>
      </c>
      <c r="D73" s="53">
        <v>1.1826388888888899</v>
      </c>
      <c r="E73" s="15">
        <f t="shared" si="15"/>
        <v>35.43333333333333</v>
      </c>
      <c r="F73" s="15">
        <f t="shared" si="16"/>
        <v>5.7666666666666631</v>
      </c>
      <c r="G73" s="50">
        <f t="shared" si="10"/>
        <v>1.9606494836861674</v>
      </c>
      <c r="H73" s="70">
        <f t="shared" si="9"/>
        <v>1.9606494836861674</v>
      </c>
      <c r="I73">
        <f t="shared" si="17"/>
        <v>560.79078132472534</v>
      </c>
      <c r="J73">
        <f t="shared" si="11"/>
        <v>10.395390662362693</v>
      </c>
      <c r="K73">
        <f t="shared" si="12"/>
        <v>10.395390662362693</v>
      </c>
      <c r="L73" s="55">
        <f t="shared" si="13"/>
        <v>14.681320875394094</v>
      </c>
      <c r="M73">
        <f t="shared" si="14"/>
        <v>25.192371661460708</v>
      </c>
      <c r="N73" s="76"/>
      <c r="O73" s="52"/>
      <c r="P73" s="52"/>
    </row>
    <row r="74" spans="1:16" x14ac:dyDescent="0.3">
      <c r="C74" s="13">
        <v>45497</v>
      </c>
      <c r="D74" s="53">
        <v>1.18611111111111</v>
      </c>
      <c r="E74" s="15">
        <f t="shared" si="15"/>
        <v>35.516666666666666</v>
      </c>
      <c r="F74" s="15">
        <f t="shared" si="16"/>
        <v>5.8499999999999961</v>
      </c>
      <c r="G74" s="50">
        <f t="shared" si="10"/>
        <v>1.9655572395340699</v>
      </c>
      <c r="H74" s="70">
        <f t="shared" si="9"/>
        <v>1.9655572395340699</v>
      </c>
      <c r="I74">
        <f t="shared" si="17"/>
        <v>561.11837419798098</v>
      </c>
      <c r="J74">
        <f t="shared" si="11"/>
        <v>10.559187098990533</v>
      </c>
      <c r="K74">
        <f t="shared" si="12"/>
        <v>10.559187098990533</v>
      </c>
      <c r="L74" s="55">
        <f t="shared" si="13"/>
        <v>14.903942852261343</v>
      </c>
      <c r="M74">
        <f t="shared" si="14"/>
        <v>25.24077957354173</v>
      </c>
      <c r="N74" s="76"/>
      <c r="O74" s="52"/>
      <c r="P74" s="52"/>
    </row>
    <row r="75" spans="1:16" x14ac:dyDescent="0.3">
      <c r="C75" s="13">
        <v>45497</v>
      </c>
      <c r="D75" s="53">
        <v>1.1895833333333301</v>
      </c>
      <c r="E75" s="15">
        <f t="shared" si="15"/>
        <v>35.599999999999994</v>
      </c>
      <c r="F75" s="15">
        <f t="shared" si="16"/>
        <v>5.9333333333333291</v>
      </c>
      <c r="G75" s="50">
        <f t="shared" si="10"/>
        <v>1.9704772801211181</v>
      </c>
      <c r="H75" s="70">
        <f t="shared" si="9"/>
        <v>1.9704772801211181</v>
      </c>
      <c r="I75">
        <f t="shared" si="17"/>
        <v>561.44678707800119</v>
      </c>
      <c r="J75">
        <f t="shared" si="11"/>
        <v>10.723393539000625</v>
      </c>
      <c r="K75">
        <f t="shared" si="12"/>
        <v>10.723393539000625</v>
      </c>
      <c r="L75" s="55">
        <f t="shared" si="13"/>
        <v>15.126861313231784</v>
      </c>
      <c r="M75">
        <f t="shared" si="14"/>
        <v>25.289251954443856</v>
      </c>
      <c r="N75" s="76"/>
      <c r="O75" s="52"/>
      <c r="P75" s="52"/>
    </row>
    <row r="76" spans="1:16" x14ac:dyDescent="0.3">
      <c r="C76" s="13">
        <v>45497</v>
      </c>
      <c r="D76" s="53">
        <v>1.19305555555555</v>
      </c>
      <c r="E76" s="15">
        <f t="shared" si="15"/>
        <v>35.68333333333333</v>
      </c>
      <c r="F76" s="15">
        <f t="shared" si="16"/>
        <v>6.0166666666666622</v>
      </c>
      <c r="G76" s="50">
        <f t="shared" si="10"/>
        <v>1.975409636197581</v>
      </c>
      <c r="H76" s="70">
        <f t="shared" si="9"/>
        <v>1.975409636197581</v>
      </c>
      <c r="I76">
        <f t="shared" si="17"/>
        <v>561.7760220173675</v>
      </c>
      <c r="J76">
        <f t="shared" si="11"/>
        <v>10.888011008683756</v>
      </c>
      <c r="K76">
        <f t="shared" si="12"/>
        <v>10.888011008683756</v>
      </c>
      <c r="L76" s="55">
        <f t="shared" si="13"/>
        <v>15.350076152967146</v>
      </c>
      <c r="M76">
        <f t="shared" si="14"/>
        <v>25.337788781261867</v>
      </c>
      <c r="N76" s="76"/>
      <c r="O76" s="52"/>
      <c r="P76" s="52"/>
    </row>
    <row r="77" spans="1:16" x14ac:dyDescent="0.3">
      <c r="C77" s="13">
        <v>45497</v>
      </c>
      <c r="D77" s="53">
        <v>1.1965277777777801</v>
      </c>
      <c r="E77" s="15">
        <f t="shared" si="15"/>
        <v>35.766666666666666</v>
      </c>
      <c r="F77" s="15">
        <f t="shared" si="16"/>
        <v>6.0999999999999952</v>
      </c>
      <c r="G77" s="50">
        <f t="shared" si="10"/>
        <v>1.9803543385907012</v>
      </c>
      <c r="H77" s="70">
        <f t="shared" si="9"/>
        <v>1.9803543385907012</v>
      </c>
      <c r="I77">
        <f t="shared" si="17"/>
        <v>562.10608107379926</v>
      </c>
      <c r="J77">
        <f t="shared" si="11"/>
        <v>11.053040536899648</v>
      </c>
      <c r="K77">
        <f t="shared" si="12"/>
        <v>11.053040536899648</v>
      </c>
      <c r="L77" s="55">
        <f t="shared" si="13"/>
        <v>15.57358726399405</v>
      </c>
      <c r="M77">
        <f t="shared" si="14"/>
        <v>25.386390030626277</v>
      </c>
      <c r="N77" s="76"/>
      <c r="O77" s="52"/>
      <c r="P77" s="52"/>
    </row>
    <row r="78" spans="1:16" x14ac:dyDescent="0.3">
      <c r="C78" s="13">
        <v>45497</v>
      </c>
      <c r="D78" s="53">
        <v>1.2</v>
      </c>
      <c r="E78" s="15">
        <f t="shared" si="15"/>
        <v>35.849999999999994</v>
      </c>
      <c r="F78" s="15">
        <f t="shared" si="16"/>
        <v>6.1833333333333282</v>
      </c>
      <c r="G78" s="50">
        <f t="shared" si="10"/>
        <v>1.9853114182048837</v>
      </c>
      <c r="H78" s="70">
        <f t="shared" si="9"/>
        <v>1.9853114182048837</v>
      </c>
      <c r="I78">
        <f t="shared" si="17"/>
        <v>562.43696631016678</v>
      </c>
      <c r="J78">
        <f t="shared" si="11"/>
        <v>11.218483155083389</v>
      </c>
      <c r="K78">
        <f t="shared" si="12"/>
        <v>11.218483155083389</v>
      </c>
      <c r="L78" s="55">
        <f t="shared" si="13"/>
        <v>15.797394536699464</v>
      </c>
      <c r="M78">
        <f t="shared" si="14"/>
        <v>25.43505567870233</v>
      </c>
      <c r="N78" s="76"/>
      <c r="O78" s="52"/>
      <c r="P78" s="52"/>
    </row>
    <row r="79" spans="1:16" x14ac:dyDescent="0.3">
      <c r="A79" s="56"/>
      <c r="B79" s="56"/>
      <c r="C79" s="13">
        <v>45497</v>
      </c>
      <c r="D79" s="53">
        <v>1.2034722222222201</v>
      </c>
      <c r="E79" s="15">
        <f t="shared" si="15"/>
        <v>35.93333333333333</v>
      </c>
      <c r="F79" s="15">
        <f t="shared" si="16"/>
        <v>6.2666666666666613</v>
      </c>
      <c r="G79" s="50">
        <f t="shared" si="10"/>
        <v>1.9902809060218922</v>
      </c>
      <c r="H79" s="70">
        <f t="shared" si="9"/>
        <v>1.9902809060218922</v>
      </c>
      <c r="I79">
        <f t="shared" si="17"/>
        <v>562.76867979450378</v>
      </c>
      <c r="J79">
        <f t="shared" si="11"/>
        <v>11.384339897251881</v>
      </c>
      <c r="K79">
        <f t="shared" si="12"/>
        <v>11.384339897251881</v>
      </c>
      <c r="L79" s="55">
        <f t="shared" si="13"/>
        <v>16.021497859326239</v>
      </c>
      <c r="M79">
        <f t="shared" si="14"/>
        <v>25.483785701189063</v>
      </c>
      <c r="N79" s="76"/>
      <c r="O79" s="52"/>
      <c r="P79" s="52"/>
    </row>
    <row r="80" spans="1:16" x14ac:dyDescent="0.3">
      <c r="A80" s="56"/>
      <c r="C80" s="13">
        <v>45497</v>
      </c>
      <c r="D80" s="53">
        <v>1.2069444444444399</v>
      </c>
      <c r="E80" s="15">
        <f t="shared" si="15"/>
        <v>36.016666666666666</v>
      </c>
      <c r="F80" s="15">
        <f t="shared" si="16"/>
        <v>6.3499999999999943</v>
      </c>
      <c r="G80" s="50">
        <f t="shared" si="10"/>
        <v>1.9952628331010425</v>
      </c>
      <c r="H80" s="70">
        <f t="shared" si="9"/>
        <v>1.9952628331010425</v>
      </c>
      <c r="I80">
        <f t="shared" si="17"/>
        <v>563.1012236000206</v>
      </c>
      <c r="J80">
        <f t="shared" si="11"/>
        <v>11.550611800010302</v>
      </c>
      <c r="K80">
        <f t="shared" si="12"/>
        <v>11.550611800010302</v>
      </c>
      <c r="L80" s="55">
        <f t="shared" si="13"/>
        <v>16.245897117968596</v>
      </c>
      <c r="M80">
        <f t="shared" si="14"/>
        <v>25.532580073318297</v>
      </c>
      <c r="N80" s="76"/>
      <c r="O80" s="52"/>
      <c r="P80" s="52"/>
    </row>
    <row r="81" spans="1:16" x14ac:dyDescent="0.3">
      <c r="C81" s="13">
        <v>45497</v>
      </c>
      <c r="D81" s="53">
        <v>1.21041666666667</v>
      </c>
      <c r="E81" s="15">
        <f t="shared" si="15"/>
        <v>36.099999999999994</v>
      </c>
      <c r="F81" s="15">
        <f t="shared" si="16"/>
        <v>6.4333333333333274</v>
      </c>
      <c r="G81" s="50">
        <f t="shared" si="10"/>
        <v>2.0002572305793946</v>
      </c>
      <c r="H81" s="70">
        <f t="shared" si="9"/>
        <v>2.0002572305793946</v>
      </c>
      <c r="I81">
        <f t="shared" si="17"/>
        <v>563.43459980511716</v>
      </c>
      <c r="J81">
        <f t="shared" si="11"/>
        <v>11.717299902558585</v>
      </c>
      <c r="K81">
        <f t="shared" si="12"/>
        <v>11.717299902558585</v>
      </c>
      <c r="L81" s="55">
        <f t="shared" si="13"/>
        <v>16.470592196567697</v>
      </c>
      <c r="M81">
        <f t="shared" si="14"/>
        <v>25.58143876985368</v>
      </c>
      <c r="N81" s="76"/>
      <c r="O81" s="52"/>
      <c r="P81" s="52"/>
    </row>
    <row r="82" spans="1:16" x14ac:dyDescent="0.3">
      <c r="C82" s="13">
        <v>45497</v>
      </c>
      <c r="D82" s="53">
        <v>1.2138888888888899</v>
      </c>
      <c r="E82" s="15">
        <f t="shared" si="15"/>
        <v>36.18333333333333</v>
      </c>
      <c r="F82" s="15">
        <f t="shared" si="16"/>
        <v>6.5166666666666604</v>
      </c>
      <c r="G82" s="50">
        <f t="shared" si="10"/>
        <v>2.0052641296719491</v>
      </c>
      <c r="H82" s="70">
        <f t="shared" si="9"/>
        <v>2.0052641296719491</v>
      </c>
      <c r="I82">
        <f t="shared" si="17"/>
        <v>563.76881049339579</v>
      </c>
      <c r="J82">
        <f t="shared" si="11"/>
        <v>11.884405246697915</v>
      </c>
      <c r="K82">
        <f t="shared" si="12"/>
        <v>11.884405246697915</v>
      </c>
      <c r="L82" s="55">
        <f t="shared" si="13"/>
        <v>16.695582976907193</v>
      </c>
      <c r="M82">
        <f t="shared" si="14"/>
        <v>25.630361765089724</v>
      </c>
      <c r="N82" s="76"/>
      <c r="O82" s="52"/>
      <c r="P82" s="52"/>
    </row>
    <row r="83" spans="1:16" x14ac:dyDescent="0.3">
      <c r="C83" s="13">
        <v>45497</v>
      </c>
      <c r="D83" s="53">
        <v>1.21736111111111</v>
      </c>
      <c r="E83" s="15">
        <f t="shared" si="15"/>
        <v>36.266666666666659</v>
      </c>
      <c r="F83" s="15">
        <f t="shared" si="16"/>
        <v>6.5999999999999934</v>
      </c>
      <c r="G83" s="50">
        <f t="shared" si="10"/>
        <v>2.0102835616718417</v>
      </c>
      <c r="H83" s="70">
        <f t="shared" si="9"/>
        <v>2.0102835616718417</v>
      </c>
      <c r="I83">
        <f t="shared" si="17"/>
        <v>564.10385775367445</v>
      </c>
      <c r="J83">
        <f t="shared" si="11"/>
        <v>12.051928876837234</v>
      </c>
      <c r="K83">
        <f t="shared" si="12"/>
        <v>12.051928876837234</v>
      </c>
      <c r="L83" s="55">
        <f t="shared" si="13"/>
        <v>16.920869338608814</v>
      </c>
      <c r="M83">
        <f t="shared" si="14"/>
        <v>25.679349032850844</v>
      </c>
      <c r="N83" s="76"/>
      <c r="O83" s="52"/>
      <c r="P83" s="52"/>
    </row>
    <row r="84" spans="1:16" x14ac:dyDescent="0.3">
      <c r="A84" s="56"/>
      <c r="B84" s="56"/>
      <c r="C84" s="13">
        <v>45497</v>
      </c>
      <c r="D84" s="53">
        <v>1.2208333333333301</v>
      </c>
      <c r="E84" s="15">
        <f t="shared" si="15"/>
        <v>36.349999999999994</v>
      </c>
      <c r="F84" s="15">
        <f t="shared" si="16"/>
        <v>6.6833333333333265</v>
      </c>
      <c r="G84" s="50">
        <f t="shared" si="10"/>
        <v>2.0153155579505384</v>
      </c>
      <c r="H84" s="70">
        <f t="shared" si="9"/>
        <v>2.0153155579505384</v>
      </c>
      <c r="I84">
        <f t="shared" si="17"/>
        <v>564.43974367999954</v>
      </c>
      <c r="J84">
        <f t="shared" si="11"/>
        <v>12.219871839999779</v>
      </c>
      <c r="K84">
        <f t="shared" si="12"/>
        <v>12.219871839999779</v>
      </c>
      <c r="L84" s="55">
        <f t="shared" si="13"/>
        <v>17.146451159127992</v>
      </c>
      <c r="M84">
        <f t="shared" si="14"/>
        <v>25.728400546490402</v>
      </c>
      <c r="N84" s="76"/>
      <c r="O84" s="52"/>
      <c r="P84" s="52"/>
    </row>
    <row r="85" spans="1:16" x14ac:dyDescent="0.3">
      <c r="C85" s="13">
        <v>45497</v>
      </c>
      <c r="D85" s="53">
        <v>1.22430555555555</v>
      </c>
      <c r="E85" s="15">
        <f t="shared" si="15"/>
        <v>36.43333333333333</v>
      </c>
      <c r="F85" s="15">
        <f t="shared" si="16"/>
        <v>6.7666666666666595</v>
      </c>
      <c r="G85" s="50">
        <f t="shared" si="10"/>
        <v>2.0203601499580328</v>
      </c>
      <c r="H85" s="70">
        <f t="shared" si="9"/>
        <v>2.0203601499580328</v>
      </c>
      <c r="I85">
        <f t="shared" si="17"/>
        <v>564.77647037165923</v>
      </c>
      <c r="J85">
        <f t="shared" si="11"/>
        <v>12.388235185829615</v>
      </c>
      <c r="K85">
        <f t="shared" si="12"/>
        <v>12.388235185829615</v>
      </c>
      <c r="L85" s="55">
        <f t="shared" si="13"/>
        <v>17.372328313749474</v>
      </c>
      <c r="M85">
        <f t="shared" si="14"/>
        <v>25.77751627888976</v>
      </c>
      <c r="N85" s="76"/>
      <c r="O85" s="52"/>
      <c r="P85" s="52"/>
    </row>
    <row r="86" spans="1:16" x14ac:dyDescent="0.3">
      <c r="C86" s="13">
        <v>45497</v>
      </c>
      <c r="D86" s="53">
        <v>1.2277777777777801</v>
      </c>
      <c r="E86" s="15">
        <f t="shared" si="15"/>
        <v>36.516666666666659</v>
      </c>
      <c r="F86" s="15">
        <f t="shared" si="16"/>
        <v>6.8499999999999925</v>
      </c>
      <c r="G86" s="50">
        <f t="shared" si="10"/>
        <v>2.0254173692230411</v>
      </c>
      <c r="H86" s="70">
        <f t="shared" si="9"/>
        <v>2.0254173692230411</v>
      </c>
      <c r="I86">
        <f t="shared" si="17"/>
        <v>565.11403993319641</v>
      </c>
      <c r="J86">
        <f t="shared" si="11"/>
        <v>12.557019966598201</v>
      </c>
      <c r="K86">
        <f t="shared" si="12"/>
        <v>12.557019966598201</v>
      </c>
      <c r="L86" s="55">
        <f t="shared" si="13"/>
        <v>17.59850067558299</v>
      </c>
      <c r="M86">
        <f t="shared" si="14"/>
        <v>25.826696202457338</v>
      </c>
      <c r="N86" s="76"/>
      <c r="O86" s="52"/>
      <c r="P86" s="52"/>
    </row>
    <row r="87" spans="1:16" x14ac:dyDescent="0.3">
      <c r="C87" s="13">
        <v>45497</v>
      </c>
      <c r="D87" s="53">
        <v>1.23125</v>
      </c>
      <c r="E87" s="15">
        <f t="shared" si="15"/>
        <v>36.599999999999994</v>
      </c>
      <c r="F87" s="15">
        <f t="shared" si="16"/>
        <v>6.9333333333333256</v>
      </c>
      <c r="G87" s="50">
        <f t="shared" si="10"/>
        <v>2.0304872473532001</v>
      </c>
      <c r="H87" s="70">
        <f t="shared" si="9"/>
        <v>2.0304872473532001</v>
      </c>
      <c r="I87">
        <f t="shared" si="17"/>
        <v>565.45245447442198</v>
      </c>
      <c r="J87">
        <f t="shared" si="11"/>
        <v>12.726227237210967</v>
      </c>
      <c r="K87">
        <f t="shared" si="12"/>
        <v>12.726227237210967</v>
      </c>
      <c r="L87" s="55">
        <f t="shared" si="13"/>
        <v>17.824968115558914</v>
      </c>
      <c r="M87">
        <f t="shared" si="14"/>
        <v>25.875940289127655</v>
      </c>
      <c r="N87" s="76"/>
      <c r="O87" s="52"/>
      <c r="P87" s="52"/>
    </row>
    <row r="88" spans="1:16" x14ac:dyDescent="0.3">
      <c r="C88" s="13">
        <v>45497</v>
      </c>
      <c r="D88" s="53">
        <v>1.2347222222222201</v>
      </c>
      <c r="E88" s="15">
        <f t="shared" si="15"/>
        <v>36.683333333333323</v>
      </c>
      <c r="F88" s="15">
        <f t="shared" si="16"/>
        <v>7.0166666666666586</v>
      </c>
      <c r="G88" s="50">
        <f t="shared" si="10"/>
        <v>2.0355698160352649</v>
      </c>
      <c r="H88" s="70">
        <f t="shared" si="9"/>
        <v>2.0355698160352649</v>
      </c>
      <c r="I88">
        <f t="shared" si="17"/>
        <v>565.79171611042784</v>
      </c>
      <c r="J88">
        <f t="shared" si="11"/>
        <v>12.895858055213905</v>
      </c>
      <c r="K88">
        <f t="shared" si="12"/>
        <v>12.895858055213905</v>
      </c>
      <c r="L88" s="55">
        <f t="shared" si="13"/>
        <v>18.051730502423993</v>
      </c>
      <c r="M88">
        <f t="shared" si="14"/>
        <v>25.925248510360429</v>
      </c>
      <c r="N88" s="76"/>
      <c r="O88" s="52"/>
      <c r="P88" s="52"/>
    </row>
    <row r="89" spans="1:16" x14ac:dyDescent="0.3">
      <c r="C89" s="13">
        <v>45497</v>
      </c>
      <c r="D89" s="53">
        <v>1.2381944444444399</v>
      </c>
      <c r="E89" s="15">
        <f t="shared" si="15"/>
        <v>36.766666666666659</v>
      </c>
      <c r="F89" s="15">
        <f t="shared" si="16"/>
        <v>7.0999999999999917</v>
      </c>
      <c r="G89" s="50">
        <f t="shared" si="10"/>
        <v>2.0406651070353057</v>
      </c>
      <c r="H89" s="70">
        <f t="shared" si="9"/>
        <v>2.0406651070353057</v>
      </c>
      <c r="I89">
        <f t="shared" si="17"/>
        <v>566.13182696160038</v>
      </c>
      <c r="J89">
        <f t="shared" si="11"/>
        <v>13.06591348080018</v>
      </c>
      <c r="K89">
        <f t="shared" si="12"/>
        <v>13.06591348080018</v>
      </c>
      <c r="L89" s="55">
        <f t="shared" si="13"/>
        <v>18.278787702737045</v>
      </c>
      <c r="M89">
        <f t="shared" si="14"/>
        <v>25.974620837139611</v>
      </c>
      <c r="N89" s="76"/>
      <c r="O89" s="52"/>
      <c r="P89" s="52"/>
    </row>
    <row r="90" spans="1:16" x14ac:dyDescent="0.3">
      <c r="C90" s="13">
        <v>45497</v>
      </c>
      <c r="D90" s="53">
        <v>1.24166666666667</v>
      </c>
      <c r="E90" s="15">
        <f t="shared" si="15"/>
        <v>36.849999999999994</v>
      </c>
      <c r="F90" s="15">
        <f t="shared" si="16"/>
        <v>7.1833333333333247</v>
      </c>
      <c r="G90" s="50">
        <f t="shared" si="10"/>
        <v>2.0457731521989087</v>
      </c>
      <c r="H90" s="70">
        <f t="shared" si="9"/>
        <v>2.0457731521989087</v>
      </c>
      <c r="I90">
        <f t="shared" si="17"/>
        <v>566.47278915363358</v>
      </c>
      <c r="J90">
        <f t="shared" si="11"/>
        <v>13.236394576816757</v>
      </c>
      <c r="K90">
        <f t="shared" si="12"/>
        <v>13.236394576816757</v>
      </c>
      <c r="L90" s="55">
        <f t="shared" si="13"/>
        <v>18.506139580864705</v>
      </c>
      <c r="M90">
        <f t="shared" si="14"/>
        <v>26.024057239972482</v>
      </c>
      <c r="N90" s="76"/>
      <c r="O90" s="52"/>
      <c r="P90" s="52"/>
    </row>
    <row r="91" spans="1:16" x14ac:dyDescent="0.3">
      <c r="C91" s="13">
        <v>45497</v>
      </c>
      <c r="D91" s="53">
        <v>1.2451388888888899</v>
      </c>
      <c r="E91" s="15">
        <f t="shared" si="15"/>
        <v>36.933333333333323</v>
      </c>
      <c r="F91" s="15">
        <f t="shared" si="16"/>
        <v>7.2666666666666577</v>
      </c>
      <c r="G91" s="50">
        <f t="shared" si="10"/>
        <v>2.0508939834513722</v>
      </c>
      <c r="H91" s="70">
        <f t="shared" si="9"/>
        <v>2.0508939834513722</v>
      </c>
      <c r="I91">
        <f t="shared" si="17"/>
        <v>566.81460481754209</v>
      </c>
      <c r="J91">
        <f t="shared" si="11"/>
        <v>13.407302408771038</v>
      </c>
      <c r="K91">
        <f t="shared" si="12"/>
        <v>13.407302408771038</v>
      </c>
      <c r="L91" s="55">
        <f t="shared" si="13"/>
        <v>18.733785998977218</v>
      </c>
      <c r="M91">
        <f t="shared" si="14"/>
        <v>26.07355768888873</v>
      </c>
      <c r="N91" s="76"/>
      <c r="O91" s="52"/>
      <c r="P91" s="52"/>
    </row>
    <row r="92" spans="1:16" x14ac:dyDescent="0.3">
      <c r="C92" s="13">
        <v>45497</v>
      </c>
      <c r="D92" s="53">
        <v>1.24861111111111</v>
      </c>
      <c r="E92" s="15">
        <f t="shared" si="15"/>
        <v>37.016666666666659</v>
      </c>
      <c r="F92" s="15">
        <f t="shared" si="16"/>
        <v>7.3499999999999908</v>
      </c>
      <c r="G92" s="50">
        <f t="shared" si="10"/>
        <v>2.0560276327979081</v>
      </c>
      <c r="H92" s="70">
        <f t="shared" si="9"/>
        <v>2.0560276327979081</v>
      </c>
      <c r="I92">
        <f t="shared" si="17"/>
        <v>567.15727608967507</v>
      </c>
      <c r="J92">
        <f t="shared" si="11"/>
        <v>13.578638044837531</v>
      </c>
      <c r="K92">
        <f t="shared" si="12"/>
        <v>13.578638044837531</v>
      </c>
      <c r="L92" s="55">
        <f t="shared" si="13"/>
        <v>18.961726817044209</v>
      </c>
      <c r="M92">
        <f t="shared" si="14"/>
        <v>26.123122153439517</v>
      </c>
      <c r="N92" s="76"/>
      <c r="O92" s="52"/>
      <c r="P92" s="52"/>
    </row>
    <row r="93" spans="1:16" x14ac:dyDescent="0.3">
      <c r="C93" s="13">
        <v>45497</v>
      </c>
      <c r="D93" s="53">
        <v>1.2520833333333301</v>
      </c>
      <c r="E93" s="15">
        <f t="shared" si="15"/>
        <v>37.099999999999994</v>
      </c>
      <c r="F93" s="15">
        <f t="shared" si="16"/>
        <v>7.4333333333333238</v>
      </c>
      <c r="G93" s="50">
        <f t="shared" si="10"/>
        <v>2.0611741323238424</v>
      </c>
      <c r="H93" s="70">
        <f t="shared" si="9"/>
        <v>2.0611741323238424</v>
      </c>
      <c r="I93">
        <f t="shared" si="17"/>
        <v>567.50080511172905</v>
      </c>
      <c r="J93">
        <f t="shared" si="11"/>
        <v>13.750402555864518</v>
      </c>
      <c r="K93">
        <f t="shared" si="12"/>
        <v>13.750402555864518</v>
      </c>
      <c r="L93" s="55">
        <f t="shared" si="13"/>
        <v>19.189961892830507</v>
      </c>
      <c r="M93">
        <f t="shared" si="14"/>
        <v>26.172750602696606</v>
      </c>
      <c r="N93" s="76"/>
      <c r="O93" s="52"/>
      <c r="P93" s="52"/>
    </row>
    <row r="94" spans="1:16" x14ac:dyDescent="0.3">
      <c r="C94" s="13">
        <v>45497</v>
      </c>
      <c r="D94" s="53">
        <v>1.25555555555555</v>
      </c>
      <c r="E94" s="15">
        <f t="shared" si="15"/>
        <v>37.183333333333323</v>
      </c>
      <c r="F94" s="15">
        <f t="shared" si="16"/>
        <v>7.5166666666666568</v>
      </c>
      <c r="G94" s="50">
        <f t="shared" si="10"/>
        <v>2.0663335141948127</v>
      </c>
      <c r="H94" s="70">
        <f t="shared" si="9"/>
        <v>2.0663335141948127</v>
      </c>
      <c r="I94">
        <f t="shared" si="17"/>
        <v>567.84519403076149</v>
      </c>
      <c r="J94">
        <f t="shared" si="11"/>
        <v>13.922597015380752</v>
      </c>
      <c r="K94">
        <f t="shared" si="12"/>
        <v>13.922597015380752</v>
      </c>
      <c r="L94" s="55">
        <f t="shared" si="13"/>
        <v>19.41849108189199</v>
      </c>
      <c r="M94">
        <f t="shared" si="14"/>
        <v>26.222443005251417</v>
      </c>
      <c r="N94" s="76"/>
      <c r="O94" s="52"/>
      <c r="P94" s="52"/>
    </row>
    <row r="95" spans="1:16" x14ac:dyDescent="0.3">
      <c r="C95" s="13">
        <v>45497</v>
      </c>
      <c r="D95" s="53">
        <v>1.2590277777777801</v>
      </c>
      <c r="E95" s="15">
        <f t="shared" si="15"/>
        <v>37.266666666666659</v>
      </c>
      <c r="F95" s="15">
        <f t="shared" si="16"/>
        <v>7.5999999999999899</v>
      </c>
      <c r="G95" s="50">
        <f t="shared" si="10"/>
        <v>2.0715058106569733</v>
      </c>
      <c r="H95" s="70">
        <f t="shared" si="9"/>
        <v>2.0715058106569733</v>
      </c>
      <c r="I95">
        <f t="shared" si="17"/>
        <v>568.19044499920437</v>
      </c>
      <c r="J95">
        <f t="shared" si="11"/>
        <v>14.095222499602167</v>
      </c>
      <c r="K95">
        <f t="shared" si="12"/>
        <v>14.095222499602167</v>
      </c>
      <c r="L95" s="55">
        <f t="shared" si="13"/>
        <v>19.647314237571457</v>
      </c>
      <c r="M95">
        <f t="shared" si="14"/>
        <v>26.27219932921416</v>
      </c>
      <c r="N95" s="76"/>
      <c r="O95" s="52"/>
      <c r="P95" s="52"/>
    </row>
    <row r="96" spans="1:16" x14ac:dyDescent="0.3">
      <c r="C96" s="13">
        <v>45497</v>
      </c>
      <c r="D96" s="53">
        <v>1.2625</v>
      </c>
      <c r="E96" s="15">
        <f t="shared" si="15"/>
        <v>37.349999999999994</v>
      </c>
      <c r="F96" s="15">
        <f t="shared" si="16"/>
        <v>7.6833333333333229</v>
      </c>
      <c r="G96" s="50">
        <f t="shared" si="10"/>
        <v>2.0766910540371937</v>
      </c>
      <c r="H96" s="70">
        <f t="shared" si="9"/>
        <v>2.0766910540371937</v>
      </c>
      <c r="I96">
        <f t="shared" si="17"/>
        <v>568.5365601748772</v>
      </c>
      <c r="J96">
        <f t="shared" si="11"/>
        <v>14.268280087438599</v>
      </c>
      <c r="K96">
        <f t="shared" si="12"/>
        <v>14.268280087438599</v>
      </c>
      <c r="L96" s="55">
        <f t="shared" si="13"/>
        <v>19.876431210994504</v>
      </c>
      <c r="M96">
        <f t="shared" si="14"/>
        <v>26.322019542212931</v>
      </c>
      <c r="N96" s="76"/>
      <c r="O96" s="52"/>
      <c r="P96" s="52"/>
    </row>
    <row r="97" spans="1:16" x14ac:dyDescent="0.3">
      <c r="C97" s="13">
        <v>45497</v>
      </c>
      <c r="D97" s="53">
        <v>1.2659722222222201</v>
      </c>
      <c r="E97" s="15">
        <f t="shared" si="15"/>
        <v>37.433333333333323</v>
      </c>
      <c r="F97" s="15">
        <f t="shared" si="16"/>
        <v>7.7666666666666559</v>
      </c>
      <c r="G97" s="50">
        <f t="shared" si="10"/>
        <v>2.081889276743262</v>
      </c>
      <c r="H97" s="70">
        <f t="shared" si="9"/>
        <v>2.081889276743262</v>
      </c>
      <c r="I97">
        <f t="shared" si="17"/>
        <v>568.88354172100105</v>
      </c>
      <c r="J97">
        <f t="shared" si="11"/>
        <v>14.441770860500538</v>
      </c>
      <c r="K97">
        <f t="shared" si="12"/>
        <v>14.441770860500538</v>
      </c>
      <c r="L97" s="55">
        <f t="shared" si="13"/>
        <v>20.105841851065446</v>
      </c>
      <c r="M97">
        <f t="shared" si="14"/>
        <v>26.371903611392803</v>
      </c>
      <c r="N97" s="76"/>
      <c r="O97" s="52"/>
      <c r="P97" s="52"/>
    </row>
    <row r="98" spans="1:16" x14ac:dyDescent="0.3">
      <c r="C98" s="13">
        <v>45497</v>
      </c>
      <c r="D98" s="53">
        <v>1.2694444444444399</v>
      </c>
      <c r="E98" s="15">
        <f t="shared" si="15"/>
        <v>37.516666666666659</v>
      </c>
      <c r="F98" s="15">
        <f t="shared" si="16"/>
        <v>7.849999999999989</v>
      </c>
      <c r="G98" s="50">
        <f t="shared" si="10"/>
        <v>2.0871005112640866</v>
      </c>
      <c r="H98" s="70">
        <f t="shared" si="9"/>
        <v>2.0871005112640866</v>
      </c>
      <c r="I98">
        <f t="shared" si="17"/>
        <v>569.23139180621172</v>
      </c>
      <c r="J98">
        <f t="shared" si="11"/>
        <v>14.615695903105879</v>
      </c>
      <c r="K98">
        <f t="shared" si="12"/>
        <v>14.615695903105879</v>
      </c>
      <c r="L98" s="55">
        <f t="shared" si="13"/>
        <v>20.335546004463254</v>
      </c>
      <c r="M98">
        <f t="shared" si="14"/>
        <v>26.42185150341497</v>
      </c>
      <c r="N98" s="76"/>
      <c r="O98" s="52"/>
      <c r="P98" s="52"/>
    </row>
    <row r="99" spans="1:16" x14ac:dyDescent="0.3">
      <c r="C99" s="13">
        <v>45497</v>
      </c>
      <c r="D99" s="53">
        <v>1.27291666666667</v>
      </c>
      <c r="E99" s="15">
        <f t="shared" si="15"/>
        <v>37.599999999999987</v>
      </c>
      <c r="F99" s="15">
        <f t="shared" si="16"/>
        <v>7.933333333333322</v>
      </c>
      <c r="G99" s="50">
        <f t="shared" si="10"/>
        <v>2.0923247901699007</v>
      </c>
      <c r="H99" s="70">
        <f t="shared" si="9"/>
        <v>2.0923247901699007</v>
      </c>
      <c r="I99">
        <f t="shared" si="17"/>
        <v>569.5801126045734</v>
      </c>
      <c r="J99">
        <f t="shared" si="11"/>
        <v>14.790056302286704</v>
      </c>
      <c r="K99">
        <f t="shared" si="12"/>
        <v>14.790056302286704</v>
      </c>
      <c r="L99" s="55">
        <f t="shared" si="13"/>
        <v>20.565543515637529</v>
      </c>
      <c r="M99">
        <f t="shared" si="14"/>
        <v>26.471863184455867</v>
      </c>
      <c r="N99" s="76"/>
      <c r="O99" s="52"/>
      <c r="P99" s="52"/>
    </row>
    <row r="100" spans="1:16" x14ac:dyDescent="0.3">
      <c r="C100" s="13">
        <v>45497</v>
      </c>
      <c r="D100" s="53">
        <v>1.2763888888888899</v>
      </c>
      <c r="E100" s="15">
        <f t="shared" si="15"/>
        <v>37.683333333333323</v>
      </c>
      <c r="F100" s="15">
        <f t="shared" si="16"/>
        <v>8.0166666666666551</v>
      </c>
      <c r="G100" s="50">
        <f t="shared" si="10"/>
        <v>2.0975621461124647</v>
      </c>
      <c r="H100" s="70">
        <f t="shared" si="9"/>
        <v>2.0975621461124647</v>
      </c>
      <c r="I100">
        <f t="shared" si="17"/>
        <v>569.92970629559215</v>
      </c>
      <c r="J100">
        <f t="shared" si="11"/>
        <v>14.964853147796076</v>
      </c>
      <c r="K100">
        <f t="shared" si="12"/>
        <v>14.964853147796076</v>
      </c>
      <c r="L100" s="55">
        <f t="shared" si="13"/>
        <v>20.795834226804484</v>
      </c>
      <c r="M100">
        <f t="shared" si="14"/>
        <v>26.521938620206281</v>
      </c>
      <c r="N100" s="76"/>
      <c r="O100" s="52"/>
      <c r="P100" s="52"/>
    </row>
    <row r="101" spans="1:16" x14ac:dyDescent="0.3">
      <c r="C101" s="13">
        <v>45497</v>
      </c>
      <c r="D101" s="53">
        <v>1.27986111111111</v>
      </c>
      <c r="E101" s="15">
        <f t="shared" si="15"/>
        <v>37.766666666666659</v>
      </c>
      <c r="F101" s="15">
        <f t="shared" si="16"/>
        <v>8.099999999999989</v>
      </c>
      <c r="G101" s="50">
        <f t="shared" si="10"/>
        <v>2.1028126118252697</v>
      </c>
      <c r="H101" s="70">
        <f t="shared" si="9"/>
        <v>2.1028126118252697</v>
      </c>
      <c r="I101">
        <f t="shared" si="17"/>
        <v>570.28017506422975</v>
      </c>
      <c r="J101">
        <f t="shared" si="11"/>
        <v>15.140087532114848</v>
      </c>
      <c r="K101">
        <f t="shared" si="12"/>
        <v>15.140087532114848</v>
      </c>
      <c r="L101" s="55">
        <f t="shared" si="13"/>
        <v>21.026417977942945</v>
      </c>
      <c r="M101">
        <f t="shared" si="14"/>
        <v>26.572077775870497</v>
      </c>
      <c r="N101" s="76"/>
      <c r="O101" s="52"/>
      <c r="P101" s="52"/>
    </row>
    <row r="102" spans="1:16" x14ac:dyDescent="0.3">
      <c r="C102" s="13">
        <v>45497</v>
      </c>
      <c r="D102" s="53">
        <v>1.2833333333333301</v>
      </c>
      <c r="E102" s="15">
        <f t="shared" si="15"/>
        <v>37.849999999999994</v>
      </c>
      <c r="F102" s="15">
        <f t="shared" si="16"/>
        <v>8.1833333333333229</v>
      </c>
      <c r="G102" s="50">
        <f t="shared" si="10"/>
        <v>2.1080762201237433</v>
      </c>
      <c r="H102" s="70">
        <f t="shared" si="9"/>
        <v>2.1080762201237433</v>
      </c>
      <c r="I102">
        <f t="shared" si="17"/>
        <v>570.6315211009171</v>
      </c>
      <c r="J102">
        <f t="shared" si="11"/>
        <v>15.315760550458492</v>
      </c>
      <c r="K102">
        <f t="shared" si="12"/>
        <v>15.315760550458492</v>
      </c>
      <c r="L102" s="55">
        <f t="shared" si="13"/>
        <v>21.25729460679042</v>
      </c>
      <c r="M102">
        <f t="shared" si="14"/>
        <v>26.62228061616544</v>
      </c>
      <c r="N102" s="76"/>
      <c r="O102" s="52"/>
      <c r="P102" s="52"/>
    </row>
    <row r="103" spans="1:16" x14ac:dyDescent="0.3">
      <c r="A103" s="56"/>
      <c r="B103" s="56"/>
      <c r="C103" s="13">
        <v>45497</v>
      </c>
      <c r="D103" s="53">
        <v>1.28680555555555</v>
      </c>
      <c r="E103" s="15">
        <f t="shared" si="15"/>
        <v>37.933333333333323</v>
      </c>
      <c r="F103" s="15">
        <f t="shared" si="16"/>
        <v>8.2666666666666568</v>
      </c>
      <c r="G103" s="50">
        <f t="shared" si="10"/>
        <v>2.1133530039054551</v>
      </c>
      <c r="H103" s="70">
        <f t="shared" si="9"/>
        <v>2.1133530039054551</v>
      </c>
      <c r="I103">
        <f t="shared" si="17"/>
        <v>570.98374660156799</v>
      </c>
      <c r="J103">
        <f t="shared" si="11"/>
        <v>15.491873300783947</v>
      </c>
      <c r="K103">
        <f t="shared" si="12"/>
        <v>15.491873300783947</v>
      </c>
      <c r="L103" s="55">
        <f t="shared" si="13"/>
        <v>21.488463948839144</v>
      </c>
      <c r="M103">
        <f t="shared" si="14"/>
        <v>26.672547105319811</v>
      </c>
      <c r="N103" s="76"/>
      <c r="O103" s="52"/>
      <c r="P103" s="52"/>
    </row>
    <row r="104" spans="1:16" x14ac:dyDescent="0.3">
      <c r="C104" s="13">
        <v>45497</v>
      </c>
      <c r="D104" s="53">
        <v>1.2902777777777801</v>
      </c>
      <c r="E104" s="15">
        <f t="shared" si="15"/>
        <v>38.016666666666659</v>
      </c>
      <c r="F104" s="15">
        <f t="shared" si="16"/>
        <v>8.3499999999999908</v>
      </c>
      <c r="G104" s="50">
        <f t="shared" si="10"/>
        <v>2.1186429961503213</v>
      </c>
      <c r="H104" s="70">
        <f t="shared" si="9"/>
        <v>2.1186429961503213</v>
      </c>
      <c r="I104">
        <f t="shared" si="17"/>
        <v>571.33685376759308</v>
      </c>
      <c r="J104">
        <f t="shared" si="11"/>
        <v>15.668426883796474</v>
      </c>
      <c r="K104">
        <f t="shared" si="12"/>
        <v>15.668426883796474</v>
      </c>
      <c r="L104" s="55">
        <f t="shared" si="13"/>
        <v>21.719925837332173</v>
      </c>
      <c r="M104">
        <f t="shared" si="14"/>
        <v>26.722877207073243</v>
      </c>
      <c r="N104" s="76"/>
      <c r="O104" s="52"/>
      <c r="P104" s="52"/>
    </row>
    <row r="105" spans="1:16" x14ac:dyDescent="0.3">
      <c r="B105" s="56"/>
      <c r="C105" s="13">
        <v>45497</v>
      </c>
      <c r="D105" s="53">
        <v>1.29375</v>
      </c>
      <c r="E105" s="15">
        <f t="shared" si="15"/>
        <v>38.099999999999994</v>
      </c>
      <c r="F105" s="15">
        <f t="shared" si="16"/>
        <v>8.4333333333333247</v>
      </c>
      <c r="G105" s="50">
        <f t="shared" si="10"/>
        <v>2.1239462299208092</v>
      </c>
      <c r="H105" s="70">
        <f t="shared" si="9"/>
        <v>2.1239462299208092</v>
      </c>
      <c r="I105">
        <f t="shared" si="17"/>
        <v>571.69084480591323</v>
      </c>
      <c r="J105">
        <f t="shared" si="11"/>
        <v>15.845422402956542</v>
      </c>
      <c r="K105">
        <f t="shared" si="12"/>
        <v>15.845422402956542</v>
      </c>
      <c r="L105" s="55">
        <f t="shared" si="13"/>
        <v>21.95168010325952</v>
      </c>
      <c r="M105">
        <f t="shared" si="14"/>
        <v>26.773270884675441</v>
      </c>
      <c r="N105" s="76"/>
      <c r="O105" s="52"/>
      <c r="P105" s="52"/>
    </row>
    <row r="106" spans="1:16" x14ac:dyDescent="0.3">
      <c r="C106" s="13">
        <v>45497</v>
      </c>
      <c r="D106" s="53">
        <v>1.2972222222222201</v>
      </c>
      <c r="E106" s="15">
        <f t="shared" si="15"/>
        <v>38.183333333333323</v>
      </c>
      <c r="F106" s="15">
        <f t="shared" si="16"/>
        <v>8.5166666666666586</v>
      </c>
      <c r="G106" s="50">
        <f t="shared" si="10"/>
        <v>2.1292627383621485</v>
      </c>
      <c r="H106" s="70">
        <f t="shared" si="9"/>
        <v>2.1292627383621485</v>
      </c>
      <c r="I106">
        <f t="shared" si="17"/>
        <v>572.04572192897353</v>
      </c>
      <c r="J106">
        <f t="shared" si="11"/>
        <v>16.022860964486721</v>
      </c>
      <c r="K106">
        <f t="shared" si="12"/>
        <v>16.022860964486721</v>
      </c>
      <c r="L106" s="55">
        <f t="shared" si="13"/>
        <v>22.183726575354278</v>
      </c>
      <c r="M106">
        <f t="shared" si="14"/>
        <v>26.823728100885383</v>
      </c>
      <c r="N106" s="76"/>
      <c r="O106" s="52"/>
      <c r="P106" s="52"/>
    </row>
    <row r="107" spans="1:16" x14ac:dyDescent="0.3">
      <c r="C107" s="13">
        <v>45497</v>
      </c>
      <c r="D107" s="53">
        <v>1.3006944444444399</v>
      </c>
      <c r="E107" s="15">
        <f t="shared" si="15"/>
        <v>38.266666666666659</v>
      </c>
      <c r="F107" s="15">
        <f t="shared" si="16"/>
        <v>8.5999999999999925</v>
      </c>
      <c r="G107" s="50">
        <f t="shared" si="10"/>
        <v>2.1345925547025337</v>
      </c>
      <c r="H107" s="70">
        <f t="shared" si="9"/>
        <v>2.1345925547025337</v>
      </c>
      <c r="I107">
        <f t="shared" si="17"/>
        <v>572.40148735475725</v>
      </c>
      <c r="J107">
        <f t="shared" si="11"/>
        <v>16.2007436773786</v>
      </c>
      <c r="K107">
        <f t="shared" si="12"/>
        <v>16.2007436773786</v>
      </c>
      <c r="L107" s="55">
        <f t="shared" si="13"/>
        <v>22.416065080088792</v>
      </c>
      <c r="M107">
        <f t="shared" si="14"/>
        <v>26.874248817970432</v>
      </c>
      <c r="N107" s="76"/>
      <c r="O107" s="52"/>
      <c r="P107" s="52"/>
    </row>
    <row r="108" spans="1:16" x14ac:dyDescent="0.3">
      <c r="C108" s="13">
        <v>45497</v>
      </c>
      <c r="D108" s="53">
        <v>1.30416666666667</v>
      </c>
      <c r="E108" s="15">
        <f t="shared" si="15"/>
        <v>38.349999999999994</v>
      </c>
      <c r="F108" s="15">
        <f t="shared" si="16"/>
        <v>8.6833333333333265</v>
      </c>
      <c r="G108" s="50">
        <f t="shared" si="10"/>
        <v>2.1399357122533345</v>
      </c>
      <c r="H108" s="70">
        <f t="shared" si="9"/>
        <v>2.1399357122533345</v>
      </c>
      <c r="I108">
        <f t="shared" si="17"/>
        <v>572.75814330679952</v>
      </c>
      <c r="J108">
        <f t="shared" si="11"/>
        <v>16.379071653399713</v>
      </c>
      <c r="K108">
        <f t="shared" si="12"/>
        <v>16.379071653399713</v>
      </c>
      <c r="L108" s="55">
        <f t="shared" si="13"/>
        <v>22.648695441670867</v>
      </c>
      <c r="M108">
        <f t="shared" si="14"/>
        <v>26.924832997705558</v>
      </c>
      <c r="N108" s="76"/>
      <c r="O108" s="52"/>
      <c r="P108" s="52"/>
    </row>
    <row r="109" spans="1:16" x14ac:dyDescent="0.3">
      <c r="C109" s="13">
        <v>45497</v>
      </c>
      <c r="D109" s="53">
        <v>1.3076388888888899</v>
      </c>
      <c r="E109" s="15">
        <f t="shared" si="15"/>
        <v>38.43333333333333</v>
      </c>
      <c r="F109" s="15">
        <f t="shared" si="16"/>
        <v>8.7666666666666604</v>
      </c>
      <c r="G109" s="50">
        <f t="shared" si="10"/>
        <v>2.1452922444093026</v>
      </c>
      <c r="H109" s="70">
        <f t="shared" si="9"/>
        <v>2.1452922444093026</v>
      </c>
      <c r="I109">
        <f t="shared" si="17"/>
        <v>573.11569201420104</v>
      </c>
      <c r="J109">
        <f t="shared" si="11"/>
        <v>16.557846007100487</v>
      </c>
      <c r="K109">
        <f t="shared" si="12"/>
        <v>16.557846007100487</v>
      </c>
      <c r="L109" s="55">
        <f t="shared" si="13"/>
        <v>22.881617482039996</v>
      </c>
      <c r="M109">
        <f t="shared" si="14"/>
        <v>26.975480601372492</v>
      </c>
      <c r="N109" s="76"/>
      <c r="O109" s="52"/>
      <c r="P109" s="52"/>
    </row>
    <row r="110" spans="1:16" x14ac:dyDescent="0.3">
      <c r="C110" s="13">
        <v>45497</v>
      </c>
      <c r="D110" s="53">
        <v>1.31111111111111</v>
      </c>
      <c r="E110" s="15">
        <f t="shared" si="15"/>
        <v>38.516666666666666</v>
      </c>
      <c r="F110" s="15">
        <f t="shared" si="16"/>
        <v>8.8499999999999943</v>
      </c>
      <c r="G110" s="50">
        <f t="shared" si="10"/>
        <v>2.1506621846487817</v>
      </c>
      <c r="H110" s="70">
        <f t="shared" si="9"/>
        <v>2.1506621846487817</v>
      </c>
      <c r="I110">
        <f t="shared" si="17"/>
        <v>573.47413571164248</v>
      </c>
      <c r="J110">
        <f t="shared" si="11"/>
        <v>16.73706785582122</v>
      </c>
      <c r="K110">
        <f t="shared" si="12"/>
        <v>16.73706785582122</v>
      </c>
      <c r="L110" s="55">
        <f t="shared" si="13"/>
        <v>23.114831020863594</v>
      </c>
      <c r="M110">
        <f t="shared" si="14"/>
        <v>27.026191589758913</v>
      </c>
      <c r="N110" s="76"/>
      <c r="O110" s="52"/>
      <c r="P110" s="52"/>
    </row>
    <row r="111" spans="1:16" x14ac:dyDescent="0.3">
      <c r="C111" s="13">
        <v>45497</v>
      </c>
      <c r="D111" s="53">
        <v>1.3145833333333301</v>
      </c>
      <c r="E111" s="15">
        <f t="shared" si="15"/>
        <v>38.599999999999994</v>
      </c>
      <c r="F111" s="15">
        <f t="shared" si="16"/>
        <v>8.9333333333333282</v>
      </c>
      <c r="G111" s="50">
        <f t="shared" si="10"/>
        <v>2.1560455665339155</v>
      </c>
      <c r="H111" s="70">
        <f t="shared" si="9"/>
        <v>2.1560455665339155</v>
      </c>
      <c r="I111">
        <f t="shared" si="17"/>
        <v>573.8334766393981</v>
      </c>
      <c r="J111">
        <f t="shared" si="11"/>
        <v>16.916738319699046</v>
      </c>
      <c r="K111">
        <f t="shared" si="12"/>
        <v>16.916738319699046</v>
      </c>
      <c r="L111" s="55">
        <f t="shared" si="13"/>
        <v>23.348335875533287</v>
      </c>
      <c r="M111">
        <f t="shared" si="14"/>
        <v>27.076965923157644</v>
      </c>
      <c r="N111" s="76"/>
      <c r="O111" s="52"/>
      <c r="P111" s="52"/>
    </row>
    <row r="112" spans="1:16" x14ac:dyDescent="0.3">
      <c r="C112" s="13">
        <v>45497</v>
      </c>
      <c r="D112" s="53">
        <v>1.31805555555555</v>
      </c>
      <c r="E112" s="15">
        <f t="shared" si="15"/>
        <v>38.68333333333333</v>
      </c>
      <c r="F112" s="15">
        <f t="shared" si="16"/>
        <v>9.0166666666666622</v>
      </c>
      <c r="G112" s="50">
        <f t="shared" si="10"/>
        <v>2.1614424237108585</v>
      </c>
      <c r="H112" s="70">
        <f t="shared" si="9"/>
        <v>2.1614424237108585</v>
      </c>
      <c r="I112">
        <f t="shared" si="17"/>
        <v>574.19371704334992</v>
      </c>
      <c r="J112">
        <f t="shared" si="11"/>
        <v>17.09685852167495</v>
      </c>
      <c r="K112">
        <f t="shared" si="12"/>
        <v>17.09685852167495</v>
      </c>
      <c r="L112" s="55">
        <f t="shared" si="13"/>
        <v>23.582131861161212</v>
      </c>
      <c r="M112">
        <f t="shared" si="14"/>
        <v>27.127803561365852</v>
      </c>
      <c r="N112" s="76"/>
      <c r="O112" s="52"/>
      <c r="P112" s="52"/>
    </row>
    <row r="113" spans="1:16" x14ac:dyDescent="0.3">
      <c r="C113" s="13">
        <v>45497</v>
      </c>
      <c r="D113" s="53">
        <v>1.3215277777777801</v>
      </c>
      <c r="E113" s="15">
        <f t="shared" si="15"/>
        <v>38.766666666666666</v>
      </c>
      <c r="F113" s="15">
        <f t="shared" si="16"/>
        <v>9.0999999999999961</v>
      </c>
      <c r="G113" s="50">
        <f t="shared" si="10"/>
        <v>2.1668527899099859</v>
      </c>
      <c r="H113" s="70">
        <f t="shared" si="9"/>
        <v>2.1668527899099859</v>
      </c>
      <c r="I113">
        <f t="shared" si="17"/>
        <v>574.55485917500164</v>
      </c>
      <c r="J113">
        <f t="shared" si="11"/>
        <v>17.27742958750078</v>
      </c>
      <c r="K113">
        <f t="shared" si="12"/>
        <v>17.27742958750078</v>
      </c>
      <c r="L113" s="55">
        <f t="shared" si="13"/>
        <v>23.816218790576357</v>
      </c>
      <c r="M113">
        <f t="shared" si="14"/>
        <v>27.17870446368423</v>
      </c>
      <c r="N113" s="76"/>
      <c r="O113" s="52"/>
      <c r="P113" s="52"/>
    </row>
    <row r="114" spans="1:16" x14ac:dyDescent="0.3">
      <c r="C114" s="13">
        <v>45497</v>
      </c>
      <c r="D114" s="53">
        <v>1.325</v>
      </c>
      <c r="E114" s="15">
        <f t="shared" si="15"/>
        <v>38.849999999999994</v>
      </c>
      <c r="F114" s="15">
        <f t="shared" si="16"/>
        <v>9.18333333333333</v>
      </c>
      <c r="G114" s="50">
        <f t="shared" si="10"/>
        <v>2.1722766989461042</v>
      </c>
      <c r="H114" s="70">
        <f t="shared" si="9"/>
        <v>2.1722766989461042</v>
      </c>
      <c r="I114">
        <f t="shared" si="17"/>
        <v>574.91690529149264</v>
      </c>
      <c r="J114">
        <f t="shared" si="11"/>
        <v>17.458452645746288</v>
      </c>
      <c r="K114">
        <f t="shared" si="12"/>
        <v>17.458452645746288</v>
      </c>
      <c r="L114" s="55">
        <f t="shared" si="13"/>
        <v>24.050596474320923</v>
      </c>
      <c r="M114">
        <f t="shared" si="14"/>
        <v>27.229668588916244</v>
      </c>
      <c r="N114" s="76"/>
      <c r="O114" s="52"/>
      <c r="P114" s="52"/>
    </row>
    <row r="115" spans="1:16" x14ac:dyDescent="0.3">
      <c r="C115" s="13">
        <v>45497</v>
      </c>
      <c r="D115" s="53">
        <v>1.3284722222222201</v>
      </c>
      <c r="E115" s="15">
        <f t="shared" si="15"/>
        <v>38.93333333333333</v>
      </c>
      <c r="F115" s="15">
        <f t="shared" si="16"/>
        <v>9.2666666666666639</v>
      </c>
      <c r="G115" s="50">
        <f t="shared" si="10"/>
        <v>2.1777141847186616</v>
      </c>
      <c r="H115" s="70">
        <f t="shared" si="9"/>
        <v>2.1777141847186616</v>
      </c>
      <c r="I115">
        <f t="shared" si="17"/>
        <v>575.27985765561243</v>
      </c>
      <c r="J115">
        <f t="shared" si="11"/>
        <v>17.639928827806177</v>
      </c>
      <c r="K115">
        <f t="shared" si="12"/>
        <v>17.639928827806177</v>
      </c>
      <c r="L115" s="55">
        <f t="shared" si="13"/>
        <v>24.285264720646705</v>
      </c>
      <c r="M115">
        <f t="shared" si="14"/>
        <v>27.280695895367305</v>
      </c>
      <c r="N115" s="76"/>
      <c r="O115" s="52"/>
      <c r="P115" s="52"/>
    </row>
    <row r="116" spans="1:16" x14ac:dyDescent="0.3">
      <c r="C116" s="13">
        <v>45497</v>
      </c>
      <c r="D116" s="53">
        <v>1.3319444444444399</v>
      </c>
      <c r="E116" s="15">
        <f t="shared" si="15"/>
        <v>39.016666666666666</v>
      </c>
      <c r="F116" s="15">
        <f t="shared" si="16"/>
        <v>9.3499999999999979</v>
      </c>
      <c r="G116" s="50">
        <f t="shared" si="10"/>
        <v>2.183165281211962</v>
      </c>
      <c r="H116" s="70">
        <f t="shared" si="9"/>
        <v>2.183165281211962</v>
      </c>
      <c r="I116">
        <f t="shared" si="17"/>
        <v>575.6437185358144</v>
      </c>
      <c r="J116">
        <f t="shared" si="11"/>
        <v>17.821859267907172</v>
      </c>
      <c r="K116">
        <f t="shared" si="12"/>
        <v>17.821859267907172</v>
      </c>
      <c r="L116" s="55">
        <f t="shared" si="13"/>
        <v>24.520223335511503</v>
      </c>
      <c r="M116">
        <f t="shared" si="14"/>
        <v>27.331786340844019</v>
      </c>
      <c r="N116" s="76"/>
      <c r="O116" s="52"/>
      <c r="P116" s="52"/>
    </row>
    <row r="117" spans="1:16" x14ac:dyDescent="0.3">
      <c r="A117" s="56"/>
      <c r="B117" s="56"/>
      <c r="C117" s="13">
        <v>45497</v>
      </c>
      <c r="D117" s="53">
        <v>1.33541666666667</v>
      </c>
      <c r="E117" s="15">
        <f t="shared" si="15"/>
        <v>39.1</v>
      </c>
      <c r="F117" s="15">
        <f t="shared" si="16"/>
        <v>9.4333333333333318</v>
      </c>
      <c r="G117" s="50">
        <f t="shared" si="10"/>
        <v>2.188630022495377</v>
      </c>
      <c r="H117" s="70">
        <f t="shared" si="9"/>
        <v>2.188630022495377</v>
      </c>
      <c r="I117">
        <f t="shared" si="17"/>
        <v>576.00849020623025</v>
      </c>
      <c r="J117">
        <f t="shared" si="11"/>
        <v>18.004245103115121</v>
      </c>
      <c r="K117">
        <f t="shared" si="12"/>
        <v>18.004245103115121</v>
      </c>
      <c r="L117" s="55">
        <f t="shared" si="13"/>
        <v>24.755472122575586</v>
      </c>
      <c r="M117">
        <f t="shared" si="14"/>
        <v>27.382939882653403</v>
      </c>
      <c r="N117" s="76"/>
      <c r="O117" s="52"/>
      <c r="P117" s="52"/>
    </row>
    <row r="118" spans="1:16" x14ac:dyDescent="0.3">
      <c r="C118" s="13">
        <v>45497</v>
      </c>
      <c r="D118" s="53">
        <v>1.3388888888888899</v>
      </c>
      <c r="E118" s="15">
        <f t="shared" si="15"/>
        <v>39.183333333333337</v>
      </c>
      <c r="F118" s="15">
        <f t="shared" si="16"/>
        <v>9.5166666666666657</v>
      </c>
      <c r="G118" s="50">
        <f t="shared" si="10"/>
        <v>2.1941084427235573</v>
      </c>
      <c r="H118" s="70">
        <f t="shared" si="9"/>
        <v>2.1941084427235573</v>
      </c>
      <c r="I118">
        <f t="shared" si="17"/>
        <v>576.37417494668421</v>
      </c>
      <c r="J118">
        <f t="shared" si="11"/>
        <v>18.187087473342086</v>
      </c>
      <c r="K118">
        <f t="shared" si="12"/>
        <v>18.187087473342086</v>
      </c>
      <c r="L118" s="55">
        <f t="shared" si="13"/>
        <v>24.99101088319815</v>
      </c>
      <c r="M118">
        <f t="shared" si="14"/>
        <v>27.434156477602109</v>
      </c>
      <c r="N118" s="76"/>
      <c r="O118" s="52"/>
      <c r="P118" s="52"/>
    </row>
    <row r="119" spans="1:16" x14ac:dyDescent="0.3">
      <c r="C119" s="13">
        <v>45497</v>
      </c>
      <c r="D119" s="53">
        <v>1.34236111111111</v>
      </c>
      <c r="E119" s="15">
        <f t="shared" si="15"/>
        <v>39.266666666666666</v>
      </c>
      <c r="F119" s="15">
        <f t="shared" si="16"/>
        <v>9.6</v>
      </c>
      <c r="G119" s="50">
        <f t="shared" si="10"/>
        <v>2.1996005761366471</v>
      </c>
      <c r="H119" s="70">
        <f t="shared" si="9"/>
        <v>2.1996005761366471</v>
      </c>
      <c r="I119">
        <f t="shared" si="17"/>
        <v>576.74077504270701</v>
      </c>
      <c r="J119">
        <f t="shared" si="11"/>
        <v>18.370387521353472</v>
      </c>
      <c r="K119">
        <f t="shared" si="12"/>
        <v>18.370387521353472</v>
      </c>
      <c r="L119" s="55">
        <f t="shared" si="13"/>
        <v>25.226839416433833</v>
      </c>
      <c r="M119">
        <f t="shared" si="14"/>
        <v>27.48543608199569</v>
      </c>
      <c r="N119" s="76"/>
      <c r="O119" s="52"/>
      <c r="P119" s="52"/>
    </row>
    <row r="120" spans="1:16" x14ac:dyDescent="0.3">
      <c r="B120" s="56" t="s">
        <v>75</v>
      </c>
      <c r="C120" s="13">
        <v>45497</v>
      </c>
      <c r="D120" s="53">
        <v>1.3458333333333301</v>
      </c>
      <c r="E120" s="15">
        <f t="shared" si="15"/>
        <v>39.35</v>
      </c>
      <c r="F120" s="15">
        <f t="shared" si="16"/>
        <v>9.6833333333333336</v>
      </c>
      <c r="G120" s="50">
        <f t="shared" si="10"/>
        <v>2.2051064570604972</v>
      </c>
      <c r="H120" s="70">
        <f t="shared" si="9"/>
        <v>2.2051064570604972</v>
      </c>
      <c r="I120">
        <f t="shared" si="17"/>
        <v>577.10829278555047</v>
      </c>
      <c r="J120">
        <f t="shared" si="11"/>
        <v>18.554146392775181</v>
      </c>
      <c r="K120">
        <f t="shared" si="12"/>
        <v>18.554146392775181</v>
      </c>
      <c r="L120" s="55">
        <f t="shared" si="13"/>
        <v>25.462957519029228</v>
      </c>
      <c r="M120">
        <f t="shared" si="14"/>
        <v>27.536778651637821</v>
      </c>
      <c r="N120" s="76"/>
      <c r="O120" s="52"/>
      <c r="P120" s="52"/>
    </row>
    <row r="121" spans="1:16" x14ac:dyDescent="0.3">
      <c r="C121" s="13">
        <v>45497</v>
      </c>
      <c r="D121" s="53">
        <v>1.34930555555555</v>
      </c>
      <c r="E121" s="15">
        <f t="shared" si="15"/>
        <v>39.433333333333337</v>
      </c>
      <c r="F121" s="15">
        <f t="shared" si="16"/>
        <v>9.7666666666666675</v>
      </c>
      <c r="G121" s="50">
        <f t="shared" si="10"/>
        <v>2.2106261199068826</v>
      </c>
      <c r="H121" s="70">
        <f t="shared" si="9"/>
        <v>2.2106261199068826</v>
      </c>
      <c r="I121">
        <f t="shared" si="17"/>
        <v>577.47673047220167</v>
      </c>
      <c r="J121">
        <f t="shared" si="11"/>
        <v>18.738365236100755</v>
      </c>
      <c r="K121">
        <f t="shared" si="12"/>
        <v>18.738365236100755</v>
      </c>
      <c r="L121" s="55">
        <f t="shared" si="13"/>
        <v>25.699364985419454</v>
      </c>
      <c r="M121">
        <f t="shared" si="14"/>
        <v>27.588184141829561</v>
      </c>
      <c r="N121" s="76"/>
      <c r="O121" s="52"/>
      <c r="P121" s="52"/>
    </row>
    <row r="122" spans="1:16" x14ac:dyDescent="0.3">
      <c r="C122" s="13">
        <v>45497</v>
      </c>
      <c r="D122" s="53">
        <v>1.3527777777777801</v>
      </c>
      <c r="E122" s="15">
        <f t="shared" si="15"/>
        <v>39.516666666666666</v>
      </c>
      <c r="F122" s="15">
        <f t="shared" si="16"/>
        <v>9.8500000000000014</v>
      </c>
      <c r="G122" s="50">
        <f t="shared" si="10"/>
        <v>2.2161595991737131</v>
      </c>
      <c r="H122" s="70">
        <f t="shared" si="9"/>
        <v>2.2161595991737131</v>
      </c>
      <c r="I122">
        <f t="shared" si="17"/>
        <v>577.84609040539726</v>
      </c>
      <c r="J122">
        <f t="shared" si="11"/>
        <v>18.923045202698564</v>
      </c>
      <c r="K122">
        <f t="shared" si="12"/>
        <v>18.923045202698564</v>
      </c>
      <c r="L122" s="55">
        <f t="shared" si="13"/>
        <v>25.936061607724753</v>
      </c>
      <c r="M122">
        <f t="shared" si="14"/>
        <v>27.639652507368616</v>
      </c>
      <c r="N122" s="76"/>
      <c r="O122" s="52"/>
      <c r="P122" s="52"/>
    </row>
    <row r="123" spans="1:16" x14ac:dyDescent="0.3">
      <c r="C123" s="13">
        <v>45497</v>
      </c>
      <c r="D123" s="53">
        <v>1.35625</v>
      </c>
      <c r="E123" s="15">
        <f t="shared" si="15"/>
        <v>39.6</v>
      </c>
      <c r="F123" s="15">
        <f t="shared" si="16"/>
        <v>9.9333333333333353</v>
      </c>
      <c r="G123" s="50">
        <f t="shared" si="10"/>
        <v>2.2217069294452525</v>
      </c>
      <c r="H123" s="70">
        <f t="shared" si="9"/>
        <v>2.2217069294452525</v>
      </c>
      <c r="I123">
        <f t="shared" si="17"/>
        <v>578.21637489363809</v>
      </c>
      <c r="J123">
        <f t="shared" si="11"/>
        <v>19.108187446819002</v>
      </c>
      <c r="K123">
        <f t="shared" si="12"/>
        <v>19.108187446819002</v>
      </c>
      <c r="L123" s="55">
        <f t="shared" si="13"/>
        <v>26.173047175747097</v>
      </c>
      <c r="M123">
        <f t="shared" si="14"/>
        <v>27.691183702548589</v>
      </c>
      <c r="N123" s="76"/>
      <c r="O123" s="52"/>
      <c r="P123" s="52"/>
    </row>
    <row r="124" spans="1:16" x14ac:dyDescent="0.3">
      <c r="C124" s="13">
        <v>45497</v>
      </c>
      <c r="D124" s="53">
        <v>1.3597222222222201</v>
      </c>
      <c r="E124" s="15">
        <f t="shared" si="15"/>
        <v>39.683333333333337</v>
      </c>
      <c r="F124" s="15">
        <f t="shared" si="16"/>
        <v>10.016666666666669</v>
      </c>
      <c r="G124" s="50">
        <f t="shared" si="10"/>
        <v>2.2272681453923333</v>
      </c>
      <c r="H124" s="70">
        <f t="shared" si="9"/>
        <v>2.2272681453923333</v>
      </c>
      <c r="I124">
        <f t="shared" si="17"/>
        <v>578.58758625120345</v>
      </c>
      <c r="J124">
        <f t="shared" si="11"/>
        <v>19.293793125601695</v>
      </c>
      <c r="K124">
        <f t="shared" si="12"/>
        <v>19.293793125601695</v>
      </c>
      <c r="L124" s="55">
        <f t="shared" si="13"/>
        <v>26.410321476966825</v>
      </c>
      <c r="M124">
        <f t="shared" si="14"/>
        <v>27.742777681158259</v>
      </c>
      <c r="N124" s="76"/>
      <c r="O124" s="52"/>
      <c r="P124" s="52"/>
    </row>
    <row r="125" spans="1:16" x14ac:dyDescent="0.3">
      <c r="A125" s="56"/>
      <c r="C125" s="13">
        <v>45497</v>
      </c>
      <c r="D125" s="53">
        <v>1.3631944444444399</v>
      </c>
      <c r="E125" s="15">
        <f t="shared" si="15"/>
        <v>39.766666666666673</v>
      </c>
      <c r="F125" s="15">
        <f t="shared" si="16"/>
        <v>10.100000000000003</v>
      </c>
      <c r="G125" s="50">
        <f t="shared" si="10"/>
        <v>2.2328432817725727</v>
      </c>
      <c r="H125" s="70">
        <f t="shared" si="9"/>
        <v>2.2328432817725727</v>
      </c>
      <c r="I125">
        <f t="shared" si="17"/>
        <v>578.95972679816555</v>
      </c>
      <c r="J125">
        <f t="shared" si="11"/>
        <v>19.479863399082742</v>
      </c>
      <c r="K125">
        <f t="shared" si="12"/>
        <v>19.479863399082742</v>
      </c>
      <c r="L125" s="55">
        <f t="shared" si="13"/>
        <v>26.647884296539342</v>
      </c>
      <c r="M125">
        <f t="shared" si="14"/>
        <v>27.79443439648086</v>
      </c>
      <c r="N125" s="76"/>
      <c r="O125" s="52"/>
      <c r="P125" s="52"/>
    </row>
    <row r="126" spans="1:16" x14ac:dyDescent="0.3">
      <c r="C126" s="13">
        <v>45497</v>
      </c>
      <c r="D126" s="53">
        <v>1.36666666666666</v>
      </c>
      <c r="E126" s="15">
        <f t="shared" si="15"/>
        <v>39.850000000000009</v>
      </c>
      <c r="F126" s="15">
        <f t="shared" si="16"/>
        <v>10.183333333333337</v>
      </c>
      <c r="G126" s="50">
        <f t="shared" si="10"/>
        <v>2.2384323734305918</v>
      </c>
      <c r="H126" s="70">
        <f t="shared" si="9"/>
        <v>2.2384323734305918</v>
      </c>
      <c r="I126">
        <f t="shared" si="17"/>
        <v>579.33279886040395</v>
      </c>
      <c r="J126">
        <f t="shared" si="11"/>
        <v>19.66639943020196</v>
      </c>
      <c r="K126">
        <f t="shared" si="12"/>
        <v>19.66639943020196</v>
      </c>
      <c r="L126" s="55">
        <f t="shared" si="13"/>
        <v>26.885735417291819</v>
      </c>
      <c r="M126">
        <f t="shared" si="14"/>
        <v>27.846153801293376</v>
      </c>
      <c r="N126" s="76"/>
      <c r="O126" s="52"/>
      <c r="P126" s="52"/>
    </row>
    <row r="127" spans="1:16" x14ac:dyDescent="0.3">
      <c r="C127" s="13">
        <v>45497</v>
      </c>
      <c r="D127" s="53">
        <v>1.3701388888888899</v>
      </c>
      <c r="E127" s="15">
        <f t="shared" si="15"/>
        <v>39.933333333333337</v>
      </c>
      <c r="F127" s="15">
        <f t="shared" si="16"/>
        <v>10.266666666666671</v>
      </c>
      <c r="G127" s="50">
        <f t="shared" si="10"/>
        <v>2.2440354552982313</v>
      </c>
      <c r="H127" s="70">
        <f t="shared" si="9"/>
        <v>2.2440354552982313</v>
      </c>
      <c r="I127">
        <f t="shared" si="17"/>
        <v>579.70680476962036</v>
      </c>
      <c r="J127">
        <f t="shared" si="11"/>
        <v>19.853402384810146</v>
      </c>
      <c r="K127">
        <f t="shared" si="12"/>
        <v>19.853402384810146</v>
      </c>
      <c r="L127" s="55">
        <f t="shared" si="13"/>
        <v>27.123874619719931</v>
      </c>
      <c r="M127">
        <f t="shared" si="14"/>
        <v>27.897935847865799</v>
      </c>
      <c r="N127" s="76"/>
      <c r="O127" s="52"/>
      <c r="P127" s="52"/>
    </row>
    <row r="128" spans="1:16" x14ac:dyDescent="0.3">
      <c r="B128" s="56"/>
      <c r="C128" s="13">
        <v>45497</v>
      </c>
      <c r="D128" s="53">
        <v>1.37361111111111</v>
      </c>
      <c r="E128" s="15">
        <f t="shared" si="15"/>
        <v>40.016666666666673</v>
      </c>
      <c r="F128" s="15">
        <f t="shared" si="16"/>
        <v>10.350000000000005</v>
      </c>
      <c r="G128" s="50">
        <f t="shared" si="10"/>
        <v>2.2496525623947714</v>
      </c>
      <c r="H128" s="70">
        <f t="shared" si="9"/>
        <v>2.2496525623947714</v>
      </c>
      <c r="I128">
        <f t="shared" si="17"/>
        <v>580.08174686335281</v>
      </c>
      <c r="J128">
        <f t="shared" si="11"/>
        <v>20.040873431676378</v>
      </c>
      <c r="K128">
        <f t="shared" si="12"/>
        <v>20.040873431676378</v>
      </c>
      <c r="L128" s="55">
        <f t="shared" si="13"/>
        <v>27.362301681984626</v>
      </c>
      <c r="M128">
        <f t="shared" si="14"/>
        <v>27.949780487960467</v>
      </c>
      <c r="N128" s="76"/>
      <c r="O128" s="52"/>
      <c r="P128" s="52"/>
    </row>
    <row r="129" spans="1:16" x14ac:dyDescent="0.3">
      <c r="C129" s="13">
        <v>45497</v>
      </c>
      <c r="D129" s="53">
        <v>1.3770833333333301</v>
      </c>
      <c r="E129" s="15">
        <f t="shared" si="15"/>
        <v>40.100000000000009</v>
      </c>
      <c r="F129" s="15">
        <f t="shared" si="16"/>
        <v>10.433333333333339</v>
      </c>
      <c r="G129" s="50">
        <f t="shared" si="10"/>
        <v>2.2552837298271493</v>
      </c>
      <c r="H129" s="70">
        <f t="shared" si="9"/>
        <v>2.2552837298271493</v>
      </c>
      <c r="I129">
        <f t="shared" si="17"/>
        <v>580.45762748499067</v>
      </c>
      <c r="J129">
        <f t="shared" si="11"/>
        <v>20.228813742495309</v>
      </c>
      <c r="K129">
        <f t="shared" si="12"/>
        <v>20.228813742495309</v>
      </c>
      <c r="L129" s="55">
        <f t="shared" si="13"/>
        <v>27.601016379908909</v>
      </c>
      <c r="M129">
        <f t="shared" si="14"/>
        <v>28.001687672831334</v>
      </c>
      <c r="N129" s="76"/>
      <c r="O129" s="52"/>
      <c r="P129" s="52"/>
    </row>
    <row r="130" spans="1:16" x14ac:dyDescent="0.3">
      <c r="C130" s="13">
        <v>45497</v>
      </c>
      <c r="D130" s="53">
        <v>1.38055555555555</v>
      </c>
      <c r="E130" s="15">
        <f t="shared" si="15"/>
        <v>40.183333333333337</v>
      </c>
      <c r="F130" s="15">
        <f t="shared" si="16"/>
        <v>10.516666666666673</v>
      </c>
      <c r="G130" s="50">
        <f t="shared" si="10"/>
        <v>2.2609289927901806</v>
      </c>
      <c r="H130" s="70">
        <f t="shared" si="9"/>
        <v>2.2609289927901806</v>
      </c>
      <c r="I130">
        <f t="shared" si="17"/>
        <v>580.834448983789</v>
      </c>
      <c r="J130">
        <f t="shared" si="11"/>
        <v>20.417224491894491</v>
      </c>
      <c r="K130">
        <f t="shared" si="12"/>
        <v>20.417224491894491</v>
      </c>
      <c r="L130" s="55">
        <f t="shared" si="13"/>
        <v>27.840018486974692</v>
      </c>
      <c r="M130">
        <f t="shared" si="14"/>
        <v>28.053657353223304</v>
      </c>
      <c r="N130" s="76"/>
      <c r="O130" s="52"/>
      <c r="P130" s="52"/>
    </row>
    <row r="131" spans="1:16" x14ac:dyDescent="0.3">
      <c r="C131" s="13">
        <v>45497</v>
      </c>
      <c r="D131" s="53">
        <v>1.3840277777777801</v>
      </c>
      <c r="E131" s="15">
        <f t="shared" si="15"/>
        <v>40.266666666666673</v>
      </c>
      <c r="F131" s="15">
        <f t="shared" si="16"/>
        <v>10.600000000000007</v>
      </c>
      <c r="G131" s="50">
        <f t="shared" si="10"/>
        <v>2.266588386566776</v>
      </c>
      <c r="H131" s="70">
        <f t="shared" si="9"/>
        <v>2.266588386566776</v>
      </c>
      <c r="I131">
        <f t="shared" si="17"/>
        <v>581.21221371488343</v>
      </c>
      <c r="J131">
        <f t="shared" si="11"/>
        <v>20.606106857441723</v>
      </c>
      <c r="K131">
        <f t="shared" si="12"/>
        <v>20.606106857441723</v>
      </c>
      <c r="L131" s="55">
        <f t="shared" si="13"/>
        <v>28.079307774319638</v>
      </c>
      <c r="M131">
        <f t="shared" si="14"/>
        <v>28.105689479371534</v>
      </c>
      <c r="N131" s="76"/>
      <c r="O131" s="52"/>
      <c r="P131" s="52"/>
    </row>
    <row r="132" spans="1:16" x14ac:dyDescent="0.3">
      <c r="C132" s="13">
        <v>45497</v>
      </c>
      <c r="D132" s="53">
        <v>1.3875</v>
      </c>
      <c r="E132" s="15">
        <f t="shared" si="15"/>
        <v>40.350000000000009</v>
      </c>
      <c r="F132" s="15">
        <f t="shared" si="16"/>
        <v>10.683333333333341</v>
      </c>
      <c r="G132" s="50">
        <f t="shared" si="10"/>
        <v>2.2722619465281659</v>
      </c>
      <c r="H132" s="70">
        <f t="shared" ref="H132:H195" si="18">G132</f>
        <v>2.2722619465281659</v>
      </c>
      <c r="I132">
        <f t="shared" si="17"/>
        <v>581.59092403930481</v>
      </c>
      <c r="J132">
        <f t="shared" si="11"/>
        <v>20.795462019652405</v>
      </c>
      <c r="K132">
        <f t="shared" si="12"/>
        <v>20.795462019652405</v>
      </c>
      <c r="L132" s="55">
        <f t="shared" si="13"/>
        <v>28.318884010734056</v>
      </c>
      <c r="M132">
        <f t="shared" si="14"/>
        <v>28.15778400100076</v>
      </c>
      <c r="N132" s="76"/>
      <c r="O132" s="52"/>
      <c r="P132" s="52"/>
    </row>
    <row r="133" spans="1:16" x14ac:dyDescent="0.3">
      <c r="C133" s="13">
        <v>45497</v>
      </c>
      <c r="D133" s="53">
        <v>1.3909722222222201</v>
      </c>
      <c r="E133" s="15">
        <f t="shared" si="15"/>
        <v>40.433333333333344</v>
      </c>
      <c r="F133" s="15">
        <f t="shared" si="16"/>
        <v>10.766666666666675</v>
      </c>
      <c r="G133" s="50">
        <f t="shared" ref="G133:G196" si="19">$G$4*EXP($T$1*F133)</f>
        <v>2.2779497081341185</v>
      </c>
      <c r="H133" s="70">
        <f t="shared" si="18"/>
        <v>2.2779497081341185</v>
      </c>
      <c r="I133">
        <f t="shared" si="17"/>
        <v>581.97058232399388</v>
      </c>
      <c r="J133">
        <f t="shared" ref="J133:J196" si="20">J132+G133*5/60</f>
        <v>20.985291161996916</v>
      </c>
      <c r="K133">
        <f t="shared" ref="K133:K196" si="21">J133</f>
        <v>20.985291161996916</v>
      </c>
      <c r="L133" s="55">
        <f t="shared" ref="L133:L196" si="22">((L132*I132/1000)+(G133*$T$7/1000*5/60))/(I133/1000)</f>
        <v>28.558746962657825</v>
      </c>
      <c r="M133">
        <f t="shared" ref="M133:M196" si="23">(M132*I132+G133*$T$7*$T$6*(5/60))/I133</f>
        <v>28.209940867324626</v>
      </c>
      <c r="N133" s="76"/>
      <c r="O133" s="52"/>
      <c r="P133" s="52"/>
    </row>
    <row r="134" spans="1:16" x14ac:dyDescent="0.3">
      <c r="C134" s="13">
        <v>45497</v>
      </c>
      <c r="D134" s="53">
        <v>1.3944444444444399</v>
      </c>
      <c r="E134" s="15">
        <f t="shared" ref="E134:E197" si="24">$E$3+F134</f>
        <v>40.51666666666668</v>
      </c>
      <c r="F134" s="15">
        <f t="shared" ref="F134:F197" si="25">F133+5/60</f>
        <v>10.850000000000009</v>
      </c>
      <c r="G134" s="50">
        <f t="shared" si="19"/>
        <v>2.2836517069331617</v>
      </c>
      <c r="H134" s="70">
        <f t="shared" si="18"/>
        <v>2.2836517069331617</v>
      </c>
      <c r="I134">
        <f t="shared" ref="I134:I197" si="26">I133+(G134+H134)*5/60</f>
        <v>582.35119094181607</v>
      </c>
      <c r="J134">
        <f t="shared" si="20"/>
        <v>21.175595470908011</v>
      </c>
      <c r="K134">
        <f t="shared" si="21"/>
        <v>21.175595470908011</v>
      </c>
      <c r="L134" s="55">
        <f t="shared" si="22"/>
        <v>28.798896394177348</v>
      </c>
      <c r="M134">
        <f t="shared" si="23"/>
        <v>28.262160027045038</v>
      </c>
      <c r="N134" s="76"/>
      <c r="O134" s="52"/>
      <c r="P134" s="52"/>
    </row>
    <row r="135" spans="1:16" x14ac:dyDescent="0.3">
      <c r="C135" s="13">
        <v>45497</v>
      </c>
      <c r="D135" s="53">
        <v>1.39791666666666</v>
      </c>
      <c r="E135" s="15">
        <f t="shared" si="24"/>
        <v>40.600000000000009</v>
      </c>
      <c r="F135" s="15">
        <f t="shared" si="25"/>
        <v>10.933333333333342</v>
      </c>
      <c r="G135" s="50">
        <f t="shared" si="19"/>
        <v>2.2893679785628072</v>
      </c>
      <c r="H135" s="70">
        <f t="shared" si="18"/>
        <v>2.2893679785628072</v>
      </c>
      <c r="I135">
        <f t="shared" si="26"/>
        <v>582.73275227157649</v>
      </c>
      <c r="J135">
        <f t="shared" si="20"/>
        <v>21.366376135788244</v>
      </c>
      <c r="K135">
        <f t="shared" si="21"/>
        <v>21.366376135788244</v>
      </c>
      <c r="L135" s="55">
        <f t="shared" si="22"/>
        <v>29.039332067022539</v>
      </c>
      <c r="M135">
        <f t="shared" si="23"/>
        <v>28.31444142835149</v>
      </c>
      <c r="N135" s="76"/>
      <c r="O135" s="52"/>
      <c r="P135" s="52"/>
    </row>
    <row r="136" spans="1:16" x14ac:dyDescent="0.3">
      <c r="C136" s="13">
        <v>45497</v>
      </c>
      <c r="D136" s="53">
        <v>1.4013888888888899</v>
      </c>
      <c r="E136" s="15">
        <f t="shared" si="24"/>
        <v>40.683333333333344</v>
      </c>
      <c r="F136" s="15">
        <f t="shared" si="25"/>
        <v>11.016666666666676</v>
      </c>
      <c r="G136" s="50">
        <f t="shared" si="19"/>
        <v>2.2950985587497712</v>
      </c>
      <c r="H136" s="70">
        <f t="shared" si="18"/>
        <v>2.2950985587497712</v>
      </c>
      <c r="I136">
        <f t="shared" si="26"/>
        <v>583.11526869803481</v>
      </c>
      <c r="J136">
        <f t="shared" si="20"/>
        <v>21.557634349017391</v>
      </c>
      <c r="K136">
        <f t="shared" si="21"/>
        <v>21.557634349017391</v>
      </c>
      <c r="L136" s="55">
        <f t="shared" si="22"/>
        <v>29.280053740563837</v>
      </c>
      <c r="M136">
        <f t="shared" si="23"/>
        <v>28.36678501892041</v>
      </c>
      <c r="N136" s="76"/>
      <c r="O136" s="52"/>
      <c r="P136" s="52"/>
    </row>
    <row r="137" spans="1:16" x14ac:dyDescent="0.3">
      <c r="C137" s="13">
        <v>45497</v>
      </c>
      <c r="D137" s="53">
        <v>1.40486111111111</v>
      </c>
      <c r="E137" s="15">
        <f t="shared" si="24"/>
        <v>40.76666666666668</v>
      </c>
      <c r="F137" s="15">
        <f t="shared" si="25"/>
        <v>11.10000000000001</v>
      </c>
      <c r="G137" s="50">
        <f t="shared" si="19"/>
        <v>2.3008434833101985</v>
      </c>
      <c r="H137" s="70">
        <f t="shared" si="18"/>
        <v>2.3008434833101985</v>
      </c>
      <c r="I137">
        <f t="shared" si="26"/>
        <v>583.49874261191985</v>
      </c>
      <c r="J137">
        <f t="shared" si="20"/>
        <v>21.749371305959908</v>
      </c>
      <c r="K137">
        <f t="shared" si="21"/>
        <v>21.749371305959908</v>
      </c>
      <c r="L137" s="55">
        <f t="shared" si="22"/>
        <v>29.52106117180923</v>
      </c>
      <c r="M137">
        <f t="shared" si="23"/>
        <v>28.419190745914548</v>
      </c>
      <c r="N137" s="76"/>
      <c r="O137" s="52"/>
      <c r="P137" s="52"/>
    </row>
    <row r="138" spans="1:16" x14ac:dyDescent="0.3">
      <c r="C138" s="13">
        <v>45497</v>
      </c>
      <c r="D138" s="53">
        <v>1.4083333333333301</v>
      </c>
      <c r="E138" s="15">
        <f t="shared" si="24"/>
        <v>40.850000000000009</v>
      </c>
      <c r="F138" s="15">
        <f t="shared" si="25"/>
        <v>11.183333333333344</v>
      </c>
      <c r="G138" s="50">
        <f t="shared" si="19"/>
        <v>2.3066027881498856</v>
      </c>
      <c r="H138" s="70">
        <f t="shared" si="18"/>
        <v>2.3066027881498856</v>
      </c>
      <c r="I138">
        <f t="shared" si="26"/>
        <v>583.88317640994478</v>
      </c>
      <c r="J138">
        <f t="shared" si="20"/>
        <v>21.941588204972398</v>
      </c>
      <c r="K138">
        <f t="shared" si="21"/>
        <v>21.941588204972398</v>
      </c>
      <c r="L138" s="55">
        <f t="shared" si="22"/>
        <v>29.762354115401372</v>
      </c>
      <c r="M138">
        <f t="shared" si="23"/>
        <v>28.471658555982309</v>
      </c>
      <c r="N138" s="76"/>
      <c r="O138" s="52"/>
      <c r="P138" s="52"/>
    </row>
    <row r="139" spans="1:16" x14ac:dyDescent="0.3">
      <c r="B139" s="56"/>
      <c r="C139" s="13">
        <v>45497</v>
      </c>
      <c r="D139" s="53">
        <v>1.41180555555555</v>
      </c>
      <c r="E139" s="15">
        <f t="shared" si="24"/>
        <v>40.933333333333344</v>
      </c>
      <c r="F139" s="15">
        <f t="shared" si="25"/>
        <v>11.266666666666678</v>
      </c>
      <c r="G139" s="50">
        <f t="shared" si="19"/>
        <v>2.3123765092645079</v>
      </c>
      <c r="H139" s="70">
        <f t="shared" si="18"/>
        <v>2.3123765092645079</v>
      </c>
      <c r="I139">
        <f t="shared" si="26"/>
        <v>584.26857249482225</v>
      </c>
      <c r="J139">
        <f t="shared" si="20"/>
        <v>22.134286247411108</v>
      </c>
      <c r="K139">
        <f t="shared" si="21"/>
        <v>22.134286247411108</v>
      </c>
      <c r="L139" s="55">
        <f t="shared" si="22"/>
        <v>30.003932323614684</v>
      </c>
      <c r="M139">
        <f t="shared" si="23"/>
        <v>28.524188395257134</v>
      </c>
      <c r="N139" s="76"/>
      <c r="O139" s="52"/>
      <c r="P139" s="52"/>
    </row>
    <row r="140" spans="1:16" x14ac:dyDescent="0.3">
      <c r="A140" s="56"/>
      <c r="B140" s="56"/>
      <c r="C140" s="13">
        <v>45497</v>
      </c>
      <c r="D140" s="53">
        <v>1.4152777777777801</v>
      </c>
      <c r="E140" s="15">
        <f t="shared" si="24"/>
        <v>41.01666666666668</v>
      </c>
      <c r="F140" s="15">
        <f t="shared" si="25"/>
        <v>11.350000000000012</v>
      </c>
      <c r="G140" s="50">
        <f t="shared" si="19"/>
        <v>2.3181646827398397</v>
      </c>
      <c r="H140" s="70">
        <f t="shared" si="18"/>
        <v>2.3181646827398397</v>
      </c>
      <c r="I140">
        <f t="shared" si="26"/>
        <v>584.65493327527884</v>
      </c>
      <c r="J140">
        <f t="shared" si="20"/>
        <v>22.327466637639429</v>
      </c>
      <c r="K140">
        <f t="shared" si="21"/>
        <v>22.327466637639429</v>
      </c>
      <c r="L140" s="55">
        <f t="shared" si="22"/>
        <v>30.245795546352483</v>
      </c>
      <c r="M140">
        <f t="shared" si="23"/>
        <v>28.576780209356897</v>
      </c>
      <c r="N140" s="76"/>
      <c r="O140" s="52"/>
      <c r="P140" s="52"/>
    </row>
    <row r="141" spans="1:16" x14ac:dyDescent="0.3">
      <c r="C141" s="13">
        <v>45497</v>
      </c>
      <c r="D141" s="53">
        <v>1.41875</v>
      </c>
      <c r="E141" s="15">
        <f t="shared" si="24"/>
        <v>41.100000000000016</v>
      </c>
      <c r="F141" s="15">
        <f t="shared" si="25"/>
        <v>11.433333333333346</v>
      </c>
      <c r="G141" s="50">
        <f t="shared" si="19"/>
        <v>2.3239673447519849</v>
      </c>
      <c r="H141" s="70">
        <f t="shared" si="18"/>
        <v>2.3239673447519849</v>
      </c>
      <c r="I141">
        <f t="shared" si="26"/>
        <v>585.04226116607083</v>
      </c>
      <c r="J141">
        <f t="shared" si="20"/>
        <v>22.521130583035429</v>
      </c>
      <c r="K141">
        <f t="shared" si="21"/>
        <v>22.521130583035429</v>
      </c>
      <c r="L141" s="55">
        <f t="shared" si="22"/>
        <v>30.487943531144172</v>
      </c>
      <c r="M141">
        <f t="shared" si="23"/>
        <v>28.629433943383269</v>
      </c>
      <c r="N141" s="76"/>
      <c r="O141" s="52"/>
      <c r="P141" s="52"/>
    </row>
    <row r="142" spans="1:16" x14ac:dyDescent="0.3">
      <c r="C142" s="13">
        <v>45497</v>
      </c>
      <c r="D142" s="53">
        <v>1.4222222222222201</v>
      </c>
      <c r="E142" s="15">
        <f t="shared" si="24"/>
        <v>41.183333333333351</v>
      </c>
      <c r="F142" s="15">
        <f t="shared" si="25"/>
        <v>11.51666666666668</v>
      </c>
      <c r="G142" s="50">
        <f t="shared" si="19"/>
        <v>2.3297845315675998</v>
      </c>
      <c r="H142" s="70">
        <f t="shared" si="18"/>
        <v>2.3297845315675998</v>
      </c>
      <c r="I142">
        <f t="shared" si="26"/>
        <v>585.4305585879988</v>
      </c>
      <c r="J142">
        <f t="shared" si="20"/>
        <v>22.715279293999394</v>
      </c>
      <c r="K142">
        <f t="shared" si="21"/>
        <v>22.715279293999394</v>
      </c>
      <c r="L142" s="55">
        <f t="shared" si="22"/>
        <v>30.730376023142451</v>
      </c>
      <c r="M142">
        <f t="shared" si="23"/>
        <v>28.682149541921117</v>
      </c>
      <c r="N142" s="76"/>
      <c r="O142" s="52"/>
      <c r="P142" s="52"/>
    </row>
    <row r="143" spans="1:16" x14ac:dyDescent="0.3">
      <c r="C143" s="13">
        <v>45497</v>
      </c>
      <c r="D143" s="53">
        <v>1.4256944444444399</v>
      </c>
      <c r="E143" s="15">
        <f t="shared" si="24"/>
        <v>41.26666666666668</v>
      </c>
      <c r="F143" s="15">
        <f t="shared" si="25"/>
        <v>11.600000000000014</v>
      </c>
      <c r="G143" s="50">
        <f t="shared" si="19"/>
        <v>2.3356162795441215</v>
      </c>
      <c r="H143" s="70">
        <f t="shared" si="18"/>
        <v>2.3356162795441215</v>
      </c>
      <c r="I143">
        <f t="shared" si="26"/>
        <v>585.81982796792283</v>
      </c>
      <c r="J143">
        <f t="shared" si="20"/>
        <v>22.909913983961406</v>
      </c>
      <c r="K143">
        <f t="shared" si="21"/>
        <v>22.909913983961406</v>
      </c>
      <c r="L143" s="55">
        <f t="shared" si="22"/>
        <v>30.973092765120562</v>
      </c>
      <c r="M143">
        <f t="shared" si="23"/>
        <v>28.734926949037913</v>
      </c>
      <c r="N143" s="76"/>
      <c r="O143" s="52"/>
      <c r="P143" s="52"/>
    </row>
    <row r="144" spans="1:16" x14ac:dyDescent="0.3">
      <c r="C144" s="13">
        <v>45497</v>
      </c>
      <c r="D144" s="53">
        <v>1.42916666666666</v>
      </c>
      <c r="E144" s="15">
        <f t="shared" si="24"/>
        <v>41.350000000000016</v>
      </c>
      <c r="F144" s="15">
        <f t="shared" si="25"/>
        <v>11.683333333333348</v>
      </c>
      <c r="G144" s="50">
        <f t="shared" si="19"/>
        <v>2.3414626251299926</v>
      </c>
      <c r="H144" s="70">
        <f t="shared" si="18"/>
        <v>2.3414626251299926</v>
      </c>
      <c r="I144">
        <f t="shared" si="26"/>
        <v>586.21007173877786</v>
      </c>
      <c r="J144">
        <f t="shared" si="20"/>
        <v>23.105035869388907</v>
      </c>
      <c r="K144">
        <f t="shared" si="21"/>
        <v>23.105035869388907</v>
      </c>
      <c r="L144" s="55">
        <f t="shared" si="22"/>
        <v>31.216093497469554</v>
      </c>
      <c r="M144">
        <f t="shared" si="23"/>
        <v>28.787766108283133</v>
      </c>
      <c r="N144" s="76"/>
      <c r="O144" s="52"/>
      <c r="P144" s="52"/>
    </row>
    <row r="145" spans="1:16" x14ac:dyDescent="0.3">
      <c r="C145" s="13">
        <v>45497</v>
      </c>
      <c r="D145" s="53">
        <v>1.4326388888888899</v>
      </c>
      <c r="E145" s="15">
        <f t="shared" si="24"/>
        <v>41.433333333333351</v>
      </c>
      <c r="F145" s="15">
        <f t="shared" si="25"/>
        <v>11.766666666666682</v>
      </c>
      <c r="G145" s="50">
        <f t="shared" si="19"/>
        <v>2.3473236048648931</v>
      </c>
      <c r="H145" s="70">
        <f t="shared" si="18"/>
        <v>2.3473236048648931</v>
      </c>
      <c r="I145">
        <f t="shared" si="26"/>
        <v>586.60129233958867</v>
      </c>
      <c r="J145">
        <f t="shared" si="20"/>
        <v>23.300646169794316</v>
      </c>
      <c r="K145">
        <f t="shared" si="21"/>
        <v>23.300646169794316</v>
      </c>
      <c r="L145" s="55">
        <f t="shared" si="22"/>
        <v>31.459377958195592</v>
      </c>
      <c r="M145">
        <f t="shared" si="23"/>
        <v>28.840666962687678</v>
      </c>
      <c r="N145" s="76"/>
      <c r="O145" s="52"/>
      <c r="P145" s="52"/>
    </row>
    <row r="146" spans="1:16" x14ac:dyDescent="0.3">
      <c r="C146" s="13">
        <v>45497</v>
      </c>
      <c r="D146" s="53">
        <v>1.43611111111111</v>
      </c>
      <c r="E146" s="15">
        <f t="shared" si="24"/>
        <v>41.51666666666668</v>
      </c>
      <c r="F146" s="15">
        <f t="shared" si="25"/>
        <v>11.850000000000016</v>
      </c>
      <c r="G146" s="50">
        <f t="shared" si="19"/>
        <v>2.3531992553799652</v>
      </c>
      <c r="H146" s="70">
        <f t="shared" si="18"/>
        <v>2.3531992553799652</v>
      </c>
      <c r="I146">
        <f t="shared" si="26"/>
        <v>586.99349221548528</v>
      </c>
      <c r="J146">
        <f t="shared" si="20"/>
        <v>23.496746107742645</v>
      </c>
      <c r="K146">
        <f t="shared" si="21"/>
        <v>23.496746107742645</v>
      </c>
      <c r="L146" s="55">
        <f t="shared" si="22"/>
        <v>31.702945882917327</v>
      </c>
      <c r="M146">
        <f t="shared" si="23"/>
        <v>28.893629454763278</v>
      </c>
      <c r="N146" s="76"/>
      <c r="O146" s="52"/>
      <c r="P146" s="52"/>
    </row>
    <row r="147" spans="1:16" x14ac:dyDescent="0.3">
      <c r="C147" s="13">
        <v>45497</v>
      </c>
      <c r="D147" s="53">
        <v>1.4395833333333301</v>
      </c>
      <c r="E147" s="15">
        <f t="shared" si="24"/>
        <v>41.600000000000016</v>
      </c>
      <c r="F147" s="15">
        <f t="shared" si="25"/>
        <v>11.93333333333335</v>
      </c>
      <c r="G147" s="50">
        <f t="shared" si="19"/>
        <v>2.359089613398043</v>
      </c>
      <c r="H147" s="70">
        <f t="shared" si="18"/>
        <v>2.359089613398043</v>
      </c>
      <c r="I147">
        <f t="shared" si="26"/>
        <v>587.38667381771825</v>
      </c>
      <c r="J147">
        <f t="shared" si="20"/>
        <v>23.693336908859148</v>
      </c>
      <c r="K147">
        <f t="shared" si="21"/>
        <v>23.693336908859148</v>
      </c>
      <c r="L147" s="55">
        <f t="shared" si="22"/>
        <v>31.946797004863221</v>
      </c>
      <c r="M147">
        <f t="shared" si="23"/>
        <v>28.946653526501958</v>
      </c>
      <c r="N147" s="76"/>
      <c r="O147" s="52"/>
      <c r="P147" s="52"/>
    </row>
    <row r="148" spans="1:16" x14ac:dyDescent="0.3">
      <c r="C148" s="13">
        <v>45497</v>
      </c>
      <c r="D148" s="53">
        <v>1.44305555555555</v>
      </c>
      <c r="E148" s="15">
        <f t="shared" si="24"/>
        <v>41.683333333333351</v>
      </c>
      <c r="F148" s="15">
        <f t="shared" si="25"/>
        <v>12.016666666666683</v>
      </c>
      <c r="G148" s="50">
        <f t="shared" si="19"/>
        <v>2.364994715733884</v>
      </c>
      <c r="H148" s="70">
        <f t="shared" si="18"/>
        <v>2.364994715733884</v>
      </c>
      <c r="I148">
        <f t="shared" si="26"/>
        <v>587.78083960367394</v>
      </c>
      <c r="J148">
        <f t="shared" si="20"/>
        <v>23.890419801836973</v>
      </c>
      <c r="K148">
        <f t="shared" si="21"/>
        <v>23.890419801836973</v>
      </c>
      <c r="L148" s="55">
        <f t="shared" si="22"/>
        <v>32.190931054869012</v>
      </c>
      <c r="M148">
        <f t="shared" si="23"/>
        <v>28.999739119375437</v>
      </c>
      <c r="N148" s="76"/>
      <c r="O148" s="52"/>
      <c r="P148" s="52"/>
    </row>
    <row r="149" spans="1:16" x14ac:dyDescent="0.3">
      <c r="C149" s="13">
        <v>45497</v>
      </c>
      <c r="D149" s="53">
        <v>1.4465277777777801</v>
      </c>
      <c r="E149" s="15">
        <f t="shared" si="24"/>
        <v>41.766666666666687</v>
      </c>
      <c r="F149" s="15">
        <f t="shared" si="25"/>
        <v>12.100000000000017</v>
      </c>
      <c r="G149" s="50">
        <f t="shared" si="19"/>
        <v>2.3709145992943972</v>
      </c>
      <c r="H149" s="70">
        <f t="shared" si="18"/>
        <v>2.3709145992943972</v>
      </c>
      <c r="I149">
        <f t="shared" si="26"/>
        <v>588.17599203688962</v>
      </c>
      <c r="J149">
        <f t="shared" si="20"/>
        <v>24.087996018444841</v>
      </c>
      <c r="K149">
        <f t="shared" si="21"/>
        <v>24.087996018444841</v>
      </c>
      <c r="L149" s="55">
        <f t="shared" si="22"/>
        <v>32.435347761375127</v>
      </c>
      <c r="M149">
        <f t="shared" si="23"/>
        <v>29.052886174334603</v>
      </c>
      <c r="N149" s="76"/>
      <c r="O149" s="52"/>
      <c r="P149" s="52"/>
    </row>
    <row r="150" spans="1:16" x14ac:dyDescent="0.3">
      <c r="C150" s="13">
        <v>45497</v>
      </c>
      <c r="D150" s="53">
        <v>1.45</v>
      </c>
      <c r="E150" s="15">
        <f t="shared" si="24"/>
        <v>41.850000000000023</v>
      </c>
      <c r="F150" s="15">
        <f t="shared" si="25"/>
        <v>12.183333333333351</v>
      </c>
      <c r="G150" s="50">
        <f t="shared" si="19"/>
        <v>2.3768493010788738</v>
      </c>
      <c r="H150" s="70">
        <f t="shared" si="18"/>
        <v>2.3768493010788738</v>
      </c>
      <c r="I150">
        <f t="shared" si="26"/>
        <v>588.5721335870694</v>
      </c>
      <c r="J150">
        <f t="shared" si="20"/>
        <v>24.286066793534747</v>
      </c>
      <c r="K150">
        <f t="shared" si="21"/>
        <v>24.286066793534747</v>
      </c>
      <c r="L150" s="55">
        <f t="shared" si="22"/>
        <v>32.680046850424148</v>
      </c>
      <c r="M150">
        <f t="shared" si="23"/>
        <v>29.106094631808929</v>
      </c>
      <c r="N150" s="76"/>
      <c r="O150" s="52"/>
      <c r="P150" s="52"/>
    </row>
    <row r="151" spans="1:16" x14ac:dyDescent="0.3">
      <c r="C151" s="13">
        <v>45497</v>
      </c>
      <c r="D151" s="53">
        <v>1.4534722222222201</v>
      </c>
      <c r="E151" s="15">
        <f t="shared" si="24"/>
        <v>41.933333333333351</v>
      </c>
      <c r="F151" s="15">
        <f t="shared" si="25"/>
        <v>12.266666666666685</v>
      </c>
      <c r="G151" s="50">
        <f t="shared" si="19"/>
        <v>2.382798858179219</v>
      </c>
      <c r="H151" s="70">
        <f t="shared" si="18"/>
        <v>2.382798858179219</v>
      </c>
      <c r="I151">
        <f t="shared" si="26"/>
        <v>588.96926673009932</v>
      </c>
      <c r="J151">
        <f t="shared" si="20"/>
        <v>24.484633365049682</v>
      </c>
      <c r="K151">
        <f t="shared" si="21"/>
        <v>24.484633365049682</v>
      </c>
      <c r="L151" s="55">
        <f t="shared" si="22"/>
        <v>32.925028045658351</v>
      </c>
      <c r="M151">
        <f t="shared" si="23"/>
        <v>29.159364431705967</v>
      </c>
      <c r="N151" s="76"/>
      <c r="O151" s="52"/>
      <c r="P151" s="52"/>
    </row>
    <row r="152" spans="1:16" x14ac:dyDescent="0.3">
      <c r="C152" s="13">
        <v>45497</v>
      </c>
      <c r="D152" s="53">
        <v>1.4569444444444399</v>
      </c>
      <c r="E152" s="15">
        <f t="shared" si="24"/>
        <v>42.016666666666687</v>
      </c>
      <c r="F152" s="15">
        <f t="shared" si="25"/>
        <v>12.350000000000019</v>
      </c>
      <c r="G152" s="50">
        <f t="shared" si="19"/>
        <v>2.3887633077801844</v>
      </c>
      <c r="H152" s="70">
        <f t="shared" si="18"/>
        <v>2.3887633077801844</v>
      </c>
      <c r="I152">
        <f t="shared" si="26"/>
        <v>589.36739394806273</v>
      </c>
      <c r="J152">
        <f t="shared" si="20"/>
        <v>24.683696974031363</v>
      </c>
      <c r="K152">
        <f t="shared" si="21"/>
        <v>24.683696974031363</v>
      </c>
      <c r="L152" s="55">
        <f t="shared" si="22"/>
        <v>33.170291068317262</v>
      </c>
      <c r="M152">
        <f t="shared" si="23"/>
        <v>29.212695513410797</v>
      </c>
      <c r="N152" s="76"/>
      <c r="O152" s="52"/>
      <c r="P152" s="52"/>
    </row>
    <row r="153" spans="1:16" x14ac:dyDescent="0.3">
      <c r="C153" s="13">
        <v>45497</v>
      </c>
      <c r="D153" s="53">
        <v>1.46041666666666</v>
      </c>
      <c r="E153" s="15">
        <f t="shared" si="24"/>
        <v>42.100000000000023</v>
      </c>
      <c r="F153" s="15">
        <f t="shared" si="25"/>
        <v>12.433333333333353</v>
      </c>
      <c r="G153" s="50">
        <f t="shared" si="19"/>
        <v>2.3947426871595994</v>
      </c>
      <c r="H153" s="70">
        <f t="shared" si="18"/>
        <v>2.3947426871595994</v>
      </c>
      <c r="I153">
        <f t="shared" si="26"/>
        <v>589.76651772925595</v>
      </c>
      <c r="J153">
        <f t="shared" si="20"/>
        <v>24.883258864627997</v>
      </c>
      <c r="K153">
        <f t="shared" si="21"/>
        <v>24.883258864627997</v>
      </c>
      <c r="L153" s="55">
        <f t="shared" si="22"/>
        <v>33.415835637235205</v>
      </c>
      <c r="M153">
        <f t="shared" si="23"/>
        <v>29.266087815785507</v>
      </c>
      <c r="N153" s="76"/>
      <c r="O153" s="52"/>
      <c r="P153" s="52"/>
    </row>
    <row r="154" spans="1:16" x14ac:dyDescent="0.3">
      <c r="B154" s="62"/>
      <c r="C154" s="13">
        <v>45497</v>
      </c>
      <c r="D154" s="53">
        <v>1.4638888888888899</v>
      </c>
      <c r="E154" s="15">
        <f t="shared" si="24"/>
        <v>42.183333333333351</v>
      </c>
      <c r="F154" s="15">
        <f t="shared" si="25"/>
        <v>12.516666666666687</v>
      </c>
      <c r="G154" s="63">
        <f t="shared" si="19"/>
        <v>2.4007370336886047</v>
      </c>
      <c r="H154" s="71">
        <f t="shared" si="18"/>
        <v>2.4007370336886047</v>
      </c>
      <c r="I154" s="61">
        <f t="shared" si="26"/>
        <v>590.166640568204</v>
      </c>
      <c r="J154" s="61">
        <f t="shared" si="20"/>
        <v>25.083320284102047</v>
      </c>
      <c r="K154">
        <f t="shared" si="21"/>
        <v>25.083320284102047</v>
      </c>
      <c r="L154" s="64">
        <f t="shared" si="22"/>
        <v>33.661661468838929</v>
      </c>
      <c r="M154" s="61">
        <f t="shared" si="23"/>
        <v>29.319541277168678</v>
      </c>
      <c r="N154" s="76"/>
      <c r="O154" s="52"/>
      <c r="P154" s="52"/>
    </row>
    <row r="155" spans="1:16" x14ac:dyDescent="0.3">
      <c r="A155" s="56"/>
      <c r="B155" s="56"/>
      <c r="C155" s="13">
        <v>45497</v>
      </c>
      <c r="D155" s="53">
        <v>1.46736111111111</v>
      </c>
      <c r="E155" s="15">
        <f t="shared" si="24"/>
        <v>42.266666666666687</v>
      </c>
      <c r="F155" s="15">
        <f t="shared" si="25"/>
        <v>12.600000000000021</v>
      </c>
      <c r="G155" s="50">
        <f t="shared" si="19"/>
        <v>2.4067463848318851</v>
      </c>
      <c r="H155" s="70">
        <f t="shared" si="18"/>
        <v>2.4067463848318851</v>
      </c>
      <c r="I155">
        <f t="shared" si="26"/>
        <v>590.56776496567602</v>
      </c>
      <c r="J155">
        <f t="shared" si="20"/>
        <v>25.283882482838038</v>
      </c>
      <c r="K155">
        <f t="shared" si="21"/>
        <v>25.283882482838038</v>
      </c>
      <c r="L155" s="55">
        <f t="shared" si="22"/>
        <v>33.907768277145266</v>
      </c>
      <c r="M155">
        <f t="shared" si="23"/>
        <v>29.373055835374846</v>
      </c>
      <c r="N155" s="76"/>
      <c r="O155" s="52"/>
      <c r="P155" s="52"/>
    </row>
    <row r="156" spans="1:16" x14ac:dyDescent="0.3">
      <c r="C156" s="13">
        <v>45497</v>
      </c>
      <c r="D156" s="53">
        <v>1.4708333333333301</v>
      </c>
      <c r="E156" s="15">
        <f t="shared" si="24"/>
        <v>42.350000000000023</v>
      </c>
      <c r="F156" s="15">
        <f t="shared" si="25"/>
        <v>12.683333333333355</v>
      </c>
      <c r="G156" s="50">
        <f t="shared" si="19"/>
        <v>2.4127707781479053</v>
      </c>
      <c r="H156" s="70">
        <f t="shared" si="18"/>
        <v>2.4127707781479053</v>
      </c>
      <c r="I156">
        <f t="shared" si="26"/>
        <v>590.96989342870063</v>
      </c>
      <c r="J156">
        <f t="shared" si="20"/>
        <v>25.484946714350365</v>
      </c>
      <c r="K156">
        <f t="shared" si="21"/>
        <v>25.484946714350365</v>
      </c>
      <c r="L156" s="55">
        <f t="shared" si="22"/>
        <v>34.154155773758823</v>
      </c>
      <c r="M156">
        <f t="shared" si="23"/>
        <v>29.426631427694041</v>
      </c>
      <c r="N156" s="76"/>
      <c r="O156" s="52"/>
      <c r="P156" s="52"/>
    </row>
    <row r="157" spans="1:16" x14ac:dyDescent="0.3">
      <c r="C157" s="13">
        <v>45497</v>
      </c>
      <c r="D157" s="53">
        <v>1.47430555555555</v>
      </c>
      <c r="E157" s="15">
        <f t="shared" si="24"/>
        <v>42.433333333333358</v>
      </c>
      <c r="F157" s="15">
        <f t="shared" si="25"/>
        <v>12.766666666666689</v>
      </c>
      <c r="G157" s="50">
        <f t="shared" si="19"/>
        <v>2.418810251289143</v>
      </c>
      <c r="H157" s="70">
        <f t="shared" si="18"/>
        <v>2.418810251289143</v>
      </c>
      <c r="I157">
        <f t="shared" si="26"/>
        <v>591.3730284705822</v>
      </c>
      <c r="J157">
        <f t="shared" si="20"/>
        <v>25.686514235291128</v>
      </c>
      <c r="K157">
        <f t="shared" si="21"/>
        <v>25.686514235291128</v>
      </c>
      <c r="L157" s="55">
        <f t="shared" si="22"/>
        <v>34.40082366786968</v>
      </c>
      <c r="M157">
        <f t="shared" si="23"/>
        <v>29.480267990891257</v>
      </c>
      <c r="N157" s="76"/>
      <c r="O157" s="52"/>
      <c r="P157" s="52"/>
    </row>
    <row r="158" spans="1:16" x14ac:dyDescent="0.3">
      <c r="C158" s="13">
        <v>45497</v>
      </c>
      <c r="D158" s="53">
        <v>1.4777777777777801</v>
      </c>
      <c r="E158" s="15">
        <f t="shared" si="24"/>
        <v>42.516666666666694</v>
      </c>
      <c r="F158" s="15">
        <f t="shared" si="25"/>
        <v>12.850000000000023</v>
      </c>
      <c r="G158" s="50">
        <f t="shared" si="19"/>
        <v>2.4248648420023251</v>
      </c>
      <c r="H158" s="70">
        <f t="shared" si="18"/>
        <v>2.4248648420023251</v>
      </c>
      <c r="I158">
        <f t="shared" si="26"/>
        <v>591.77717261091595</v>
      </c>
      <c r="J158">
        <f t="shared" si="20"/>
        <v>25.888586305457988</v>
      </c>
      <c r="K158">
        <f t="shared" si="21"/>
        <v>25.888586305457988</v>
      </c>
      <c r="L158" s="55">
        <f t="shared" si="22"/>
        <v>34.647771666251174</v>
      </c>
      <c r="M158">
        <f t="shared" si="23"/>
        <v>29.533965461205991</v>
      </c>
      <c r="N158" s="76"/>
      <c r="O158" s="52"/>
      <c r="P158" s="52"/>
    </row>
    <row r="159" spans="1:16" x14ac:dyDescent="0.3">
      <c r="C159" s="13">
        <v>45497</v>
      </c>
      <c r="D159" s="53">
        <v>1.48125</v>
      </c>
      <c r="E159" s="15">
        <f t="shared" si="24"/>
        <v>42.600000000000023</v>
      </c>
      <c r="F159" s="15">
        <f t="shared" si="25"/>
        <v>12.933333333333357</v>
      </c>
      <c r="G159" s="50">
        <f t="shared" si="19"/>
        <v>2.4309345881286633</v>
      </c>
      <c r="H159" s="70">
        <f t="shared" si="18"/>
        <v>2.4309345881286633</v>
      </c>
      <c r="I159">
        <f t="shared" si="26"/>
        <v>592.18232837560402</v>
      </c>
      <c r="J159">
        <f t="shared" si="20"/>
        <v>26.091164187802043</v>
      </c>
      <c r="K159">
        <f t="shared" si="21"/>
        <v>26.091164187802043</v>
      </c>
      <c r="L159" s="55">
        <f t="shared" si="22"/>
        <v>34.894999473257691</v>
      </c>
      <c r="M159">
        <f t="shared" si="23"/>
        <v>29.587723774351744</v>
      </c>
      <c r="N159" s="76"/>
      <c r="O159" s="52"/>
      <c r="P159" s="52"/>
    </row>
    <row r="160" spans="1:16" x14ac:dyDescent="0.3">
      <c r="C160" s="13">
        <v>45497</v>
      </c>
      <c r="D160" s="53">
        <v>1.4847222222222201</v>
      </c>
      <c r="E160" s="15">
        <f t="shared" si="24"/>
        <v>42.683333333333358</v>
      </c>
      <c r="F160" s="15">
        <f t="shared" si="25"/>
        <v>13.016666666666691</v>
      </c>
      <c r="G160" s="50">
        <f t="shared" si="19"/>
        <v>2.43701952760409</v>
      </c>
      <c r="H160" s="70">
        <f t="shared" si="18"/>
        <v>2.43701952760409</v>
      </c>
      <c r="I160">
        <f t="shared" si="26"/>
        <v>592.58849829687131</v>
      </c>
      <c r="J160">
        <f t="shared" si="20"/>
        <v>26.294249148435718</v>
      </c>
      <c r="K160">
        <f t="shared" si="21"/>
        <v>26.294249148435718</v>
      </c>
      <c r="L160" s="55">
        <f t="shared" si="22"/>
        <v>35.142506790822459</v>
      </c>
      <c r="M160">
        <f t="shared" si="23"/>
        <v>29.641542865515554</v>
      </c>
      <c r="N160" s="76"/>
      <c r="O160" s="52"/>
      <c r="P160" s="52"/>
    </row>
    <row r="161" spans="1:16" x14ac:dyDescent="0.3">
      <c r="C161" s="13">
        <v>45497</v>
      </c>
      <c r="D161" s="53">
        <v>1.4881944444444399</v>
      </c>
      <c r="E161" s="15">
        <f t="shared" si="24"/>
        <v>42.766666666666694</v>
      </c>
      <c r="F161" s="15">
        <f t="shared" si="25"/>
        <v>13.100000000000025</v>
      </c>
      <c r="G161" s="50">
        <f t="shared" si="19"/>
        <v>2.4431196984594976</v>
      </c>
      <c r="H161" s="70">
        <f t="shared" si="18"/>
        <v>2.4431196984594976</v>
      </c>
      <c r="I161">
        <f t="shared" si="26"/>
        <v>592.99568491328125</v>
      </c>
      <c r="J161">
        <f t="shared" si="20"/>
        <v>26.497842456640676</v>
      </c>
      <c r="K161">
        <f t="shared" si="21"/>
        <v>26.497842456640676</v>
      </c>
      <c r="L161" s="55">
        <f t="shared" si="22"/>
        <v>35.390293318455448</v>
      </c>
      <c r="M161">
        <f t="shared" si="23"/>
        <v>29.695422669357527</v>
      </c>
      <c r="N161" s="76"/>
      <c r="O161" s="52"/>
      <c r="P161" s="52"/>
    </row>
    <row r="162" spans="1:16" x14ac:dyDescent="0.3">
      <c r="C162" s="13">
        <v>45497</v>
      </c>
      <c r="D162" s="53">
        <v>1.49166666666666</v>
      </c>
      <c r="E162" s="15">
        <f t="shared" si="24"/>
        <v>42.850000000000023</v>
      </c>
      <c r="F162" s="15">
        <f t="shared" si="25"/>
        <v>13.183333333333358</v>
      </c>
      <c r="G162" s="50">
        <f t="shared" si="19"/>
        <v>2.4492351388209737</v>
      </c>
      <c r="H162" s="70">
        <f t="shared" si="18"/>
        <v>2.4492351388209737</v>
      </c>
      <c r="I162">
        <f t="shared" si="26"/>
        <v>593.40389076975146</v>
      </c>
      <c r="J162">
        <f t="shared" si="20"/>
        <v>26.701945384875756</v>
      </c>
      <c r="K162">
        <f t="shared" si="21"/>
        <v>26.701945384875756</v>
      </c>
      <c r="L162" s="55">
        <f t="shared" si="22"/>
        <v>35.63835875324127</v>
      </c>
      <c r="M162">
        <f t="shared" si="23"/>
        <v>29.749363120010397</v>
      </c>
      <c r="N162" s="76"/>
      <c r="O162" s="52"/>
      <c r="P162" s="52"/>
    </row>
    <row r="163" spans="1:16" x14ac:dyDescent="0.3">
      <c r="C163" s="13">
        <v>45497</v>
      </c>
      <c r="D163" s="53">
        <v>1.4951388888888899</v>
      </c>
      <c r="E163" s="15">
        <f t="shared" si="24"/>
        <v>42.933333333333358</v>
      </c>
      <c r="F163" s="15">
        <f t="shared" si="25"/>
        <v>13.266666666666692</v>
      </c>
      <c r="G163" s="50">
        <f t="shared" si="19"/>
        <v>2.4553658869100397</v>
      </c>
      <c r="H163" s="70">
        <f t="shared" si="18"/>
        <v>2.4553658869100397</v>
      </c>
      <c r="I163">
        <f t="shared" si="26"/>
        <v>593.81311841756974</v>
      </c>
      <c r="J163">
        <f t="shared" si="20"/>
        <v>26.906559208784927</v>
      </c>
      <c r="K163">
        <f t="shared" si="21"/>
        <v>26.906559208784927</v>
      </c>
      <c r="L163" s="55">
        <f t="shared" si="22"/>
        <v>35.886702789837081</v>
      </c>
      <c r="M163">
        <f t="shared" si="23"/>
        <v>29.803364151079069</v>
      </c>
      <c r="N163" s="76"/>
      <c r="O163" s="52"/>
      <c r="P163" s="52"/>
    </row>
    <row r="164" spans="1:16" x14ac:dyDescent="0.3">
      <c r="C164" s="13">
        <v>45497</v>
      </c>
      <c r="D164" s="53">
        <v>1.49861111111111</v>
      </c>
      <c r="E164" s="15">
        <f t="shared" si="24"/>
        <v>43.016666666666694</v>
      </c>
      <c r="F164" s="15">
        <f t="shared" si="25"/>
        <v>13.350000000000026</v>
      </c>
      <c r="G164" s="50">
        <f t="shared" si="19"/>
        <v>2.4615119810438917</v>
      </c>
      <c r="H164" s="70">
        <f t="shared" si="18"/>
        <v>2.4615119810438917</v>
      </c>
      <c r="I164">
        <f t="shared" si="26"/>
        <v>594.2233704144104</v>
      </c>
      <c r="J164">
        <f t="shared" si="20"/>
        <v>27.111685207205252</v>
      </c>
      <c r="K164">
        <f t="shared" si="21"/>
        <v>27.111685207205252</v>
      </c>
      <c r="L164" s="55">
        <f t="shared" si="22"/>
        <v>36.135325120470604</v>
      </c>
      <c r="M164">
        <f t="shared" si="23"/>
        <v>29.857425695640156</v>
      </c>
      <c r="N164" s="76"/>
      <c r="O164" s="52"/>
      <c r="P164" s="52"/>
    </row>
    <row r="165" spans="1:16" x14ac:dyDescent="0.3">
      <c r="C165" s="13">
        <v>45497</v>
      </c>
      <c r="D165" s="53">
        <v>1.5020833333333301</v>
      </c>
      <c r="E165" s="15">
        <f t="shared" si="24"/>
        <v>43.10000000000003</v>
      </c>
      <c r="F165" s="15">
        <f t="shared" si="25"/>
        <v>13.43333333333336</v>
      </c>
      <c r="G165" s="50">
        <f t="shared" si="19"/>
        <v>2.467673459635638</v>
      </c>
      <c r="H165" s="70">
        <f t="shared" si="18"/>
        <v>2.467673459635638</v>
      </c>
      <c r="I165">
        <f t="shared" si="26"/>
        <v>594.63464932434965</v>
      </c>
      <c r="J165">
        <f t="shared" si="20"/>
        <v>27.317324662174887</v>
      </c>
      <c r="K165">
        <f t="shared" si="21"/>
        <v>27.317324662174887</v>
      </c>
      <c r="L165" s="55">
        <f t="shared" si="22"/>
        <v>36.384225434938109</v>
      </c>
      <c r="M165">
        <f t="shared" si="23"/>
        <v>29.91154768624159</v>
      </c>
      <c r="N165" s="76"/>
      <c r="O165" s="52"/>
      <c r="P165" s="52"/>
    </row>
    <row r="166" spans="1:16" x14ac:dyDescent="0.3">
      <c r="C166" s="13">
        <v>45497</v>
      </c>
      <c r="D166" s="53">
        <v>1.50555555555555</v>
      </c>
      <c r="E166" s="15">
        <f t="shared" si="24"/>
        <v>43.183333333333366</v>
      </c>
      <c r="F166" s="15">
        <f t="shared" si="25"/>
        <v>13.516666666666694</v>
      </c>
      <c r="G166" s="50">
        <f t="shared" si="19"/>
        <v>2.4738503611945402</v>
      </c>
      <c r="H166" s="70">
        <f t="shared" si="18"/>
        <v>2.4738503611945402</v>
      </c>
      <c r="I166">
        <f t="shared" si="26"/>
        <v>595.04695771788204</v>
      </c>
      <c r="J166">
        <f t="shared" si="20"/>
        <v>27.523478858941097</v>
      </c>
      <c r="K166">
        <f t="shared" si="21"/>
        <v>27.523478858941097</v>
      </c>
      <c r="L166" s="55">
        <f t="shared" si="22"/>
        <v>36.633403420602455</v>
      </c>
      <c r="M166">
        <f t="shared" si="23"/>
        <v>29.965730054902156</v>
      </c>
      <c r="N166" s="76"/>
      <c r="O166" s="52"/>
      <c r="P166" s="52"/>
    </row>
    <row r="167" spans="1:16" x14ac:dyDescent="0.3">
      <c r="C167" s="13">
        <v>45497</v>
      </c>
      <c r="D167" s="53">
        <v>1.5090277777777801</v>
      </c>
      <c r="E167" s="15">
        <f t="shared" si="24"/>
        <v>43.266666666666694</v>
      </c>
      <c r="F167" s="15">
        <f t="shared" si="25"/>
        <v>13.600000000000028</v>
      </c>
      <c r="G167" s="50">
        <f t="shared" si="19"/>
        <v>2.4800427243262524</v>
      </c>
      <c r="H167" s="70">
        <f t="shared" si="18"/>
        <v>2.4800427243262524</v>
      </c>
      <c r="I167">
        <f t="shared" si="26"/>
        <v>595.46029817193642</v>
      </c>
      <c r="J167">
        <f t="shared" si="20"/>
        <v>27.730149085968286</v>
      </c>
      <c r="K167">
        <f t="shared" si="21"/>
        <v>27.730149085968286</v>
      </c>
      <c r="L167" s="55">
        <f t="shared" si="22"/>
        <v>36.882858762391194</v>
      </c>
      <c r="M167">
        <f t="shared" si="23"/>
        <v>30.019972733111107</v>
      </c>
      <c r="N167" s="76"/>
      <c r="O167" s="52"/>
      <c r="P167" s="52"/>
    </row>
    <row r="168" spans="1:16" x14ac:dyDescent="0.3">
      <c r="C168" s="13">
        <v>45497</v>
      </c>
      <c r="D168" s="53">
        <v>1.5125</v>
      </c>
      <c r="E168" s="15">
        <f t="shared" si="24"/>
        <v>43.35000000000003</v>
      </c>
      <c r="F168" s="15">
        <f t="shared" si="25"/>
        <v>13.683333333333362</v>
      </c>
      <c r="G168" s="50">
        <f t="shared" si="19"/>
        <v>2.4862505877330645</v>
      </c>
      <c r="H168" s="70">
        <f t="shared" si="18"/>
        <v>2.4862505877330645</v>
      </c>
      <c r="I168">
        <f t="shared" si="26"/>
        <v>595.8746732698919</v>
      </c>
      <c r="J168">
        <f t="shared" si="20"/>
        <v>27.937336634946043</v>
      </c>
      <c r="K168">
        <f t="shared" si="21"/>
        <v>27.937336634946043</v>
      </c>
      <c r="L168" s="55">
        <f t="shared" si="22"/>
        <v>37.132591142794681</v>
      </c>
      <c r="M168">
        <f t="shared" si="23"/>
        <v>30.074275651827733</v>
      </c>
      <c r="N168" s="76"/>
      <c r="O168" s="52"/>
      <c r="P168" s="52"/>
    </row>
    <row r="169" spans="1:16" x14ac:dyDescent="0.3">
      <c r="C169" s="13">
        <v>45497</v>
      </c>
      <c r="D169" s="53">
        <v>1.5159722222222201</v>
      </c>
      <c r="E169" s="15">
        <f t="shared" si="24"/>
        <v>43.433333333333366</v>
      </c>
      <c r="F169" s="15">
        <f t="shared" si="25"/>
        <v>13.766666666666696</v>
      </c>
      <c r="G169" s="50">
        <f t="shared" si="19"/>
        <v>2.4924739902141435</v>
      </c>
      <c r="H169" s="70">
        <f t="shared" si="18"/>
        <v>2.4924739902141435</v>
      </c>
      <c r="I169">
        <f t="shared" si="26"/>
        <v>596.29008560159423</v>
      </c>
      <c r="J169">
        <f t="shared" si="20"/>
        <v>28.145042800797221</v>
      </c>
      <c r="K169">
        <f t="shared" si="21"/>
        <v>28.145042800797221</v>
      </c>
      <c r="L169" s="55">
        <f t="shared" si="22"/>
        <v>37.382600241864225</v>
      </c>
      <c r="M169">
        <f t="shared" si="23"/>
        <v>30.128638741480962</v>
      </c>
      <c r="N169" s="76"/>
      <c r="O169" s="52"/>
      <c r="P169" s="52"/>
    </row>
    <row r="170" spans="1:16" x14ac:dyDescent="0.3">
      <c r="C170" s="13">
        <v>45497</v>
      </c>
      <c r="D170" s="53">
        <v>1.5194444444444399</v>
      </c>
      <c r="E170" s="15">
        <f t="shared" si="24"/>
        <v>43.516666666666694</v>
      </c>
      <c r="F170" s="15">
        <f t="shared" si="25"/>
        <v>13.85000000000003</v>
      </c>
      <c r="G170" s="50">
        <f t="shared" si="19"/>
        <v>2.4987129706657747</v>
      </c>
      <c r="H170" s="70">
        <f t="shared" si="18"/>
        <v>2.4987129706657747</v>
      </c>
      <c r="I170">
        <f t="shared" si="26"/>
        <v>596.7065377633719</v>
      </c>
      <c r="J170">
        <f t="shared" si="20"/>
        <v>28.353268881686034</v>
      </c>
      <c r="K170">
        <f t="shared" si="21"/>
        <v>28.353268881686034</v>
      </c>
      <c r="L170" s="55">
        <f t="shared" si="22"/>
        <v>37.632885737210295</v>
      </c>
      <c r="M170">
        <f t="shared" si="23"/>
        <v>30.183061931968993</v>
      </c>
      <c r="N170" s="76"/>
      <c r="O170" s="52"/>
      <c r="P170" s="52"/>
    </row>
    <row r="171" spans="1:16" x14ac:dyDescent="0.3">
      <c r="A171" s="56"/>
      <c r="B171" s="56"/>
      <c r="C171" s="13">
        <v>45497</v>
      </c>
      <c r="D171" s="53">
        <v>1.52291666666666</v>
      </c>
      <c r="E171" s="15">
        <f t="shared" si="24"/>
        <v>43.60000000000003</v>
      </c>
      <c r="F171" s="15">
        <f t="shared" si="25"/>
        <v>13.933333333333364</v>
      </c>
      <c r="G171" s="50">
        <f t="shared" si="19"/>
        <v>2.5049675680816064</v>
      </c>
      <c r="H171" s="70">
        <f t="shared" si="18"/>
        <v>2.5049675680816064</v>
      </c>
      <c r="I171">
        <f t="shared" si="26"/>
        <v>597.1240323580522</v>
      </c>
      <c r="J171">
        <f t="shared" si="20"/>
        <v>28.56201617902617</v>
      </c>
      <c r="K171">
        <f t="shared" si="21"/>
        <v>28.56201617902617</v>
      </c>
      <c r="L171" s="55">
        <f t="shared" si="22"/>
        <v>37.883447304000768</v>
      </c>
      <c r="M171">
        <f t="shared" si="23"/>
        <v>30.237545152658875</v>
      </c>
      <c r="N171" s="76"/>
      <c r="O171" s="52"/>
      <c r="P171" s="52"/>
    </row>
    <row r="172" spans="1:16" x14ac:dyDescent="0.3">
      <c r="C172" s="13">
        <v>45497</v>
      </c>
      <c r="D172" s="53">
        <v>1.5263888888888899</v>
      </c>
      <c r="E172" s="15">
        <f t="shared" si="24"/>
        <v>43.683333333333366</v>
      </c>
      <c r="F172" s="15">
        <f t="shared" si="25"/>
        <v>14.016666666666698</v>
      </c>
      <c r="G172" s="50">
        <f t="shared" si="19"/>
        <v>2.5112378215528932</v>
      </c>
      <c r="H172" s="70">
        <f t="shared" si="18"/>
        <v>2.5112378215528932</v>
      </c>
      <c r="I172">
        <f t="shared" si="26"/>
        <v>597.54257199497772</v>
      </c>
      <c r="J172">
        <f t="shared" si="20"/>
        <v>28.77128599748891</v>
      </c>
      <c r="K172">
        <f t="shared" si="21"/>
        <v>28.77128599748891</v>
      </c>
      <c r="L172" s="55">
        <f t="shared" si="22"/>
        <v>38.134284614959171</v>
      </c>
      <c r="M172">
        <f t="shared" si="23"/>
        <v>30.292088332386161</v>
      </c>
      <c r="N172" s="76"/>
      <c r="O172" s="52"/>
      <c r="P172" s="52"/>
    </row>
    <row r="173" spans="1:16" x14ac:dyDescent="0.3">
      <c r="B173" s="56"/>
      <c r="C173" s="13">
        <v>45497</v>
      </c>
      <c r="D173" s="53">
        <v>1.52986111111111</v>
      </c>
      <c r="E173" s="15">
        <f t="shared" si="24"/>
        <v>43.766666666666701</v>
      </c>
      <c r="F173" s="15">
        <f t="shared" si="25"/>
        <v>14.100000000000032</v>
      </c>
      <c r="G173" s="50">
        <f t="shared" si="19"/>
        <v>2.5175237702687387</v>
      </c>
      <c r="H173" s="70">
        <f t="shared" si="18"/>
        <v>2.5175237702687387</v>
      </c>
      <c r="I173">
        <f t="shared" si="26"/>
        <v>597.96215929002256</v>
      </c>
      <c r="J173">
        <f t="shared" si="20"/>
        <v>28.981079645011306</v>
      </c>
      <c r="K173">
        <f t="shared" si="21"/>
        <v>28.981079645011306</v>
      </c>
      <c r="L173" s="55">
        <f t="shared" si="22"/>
        <v>38.385397340362992</v>
      </c>
      <c r="M173">
        <f t="shared" si="23"/>
        <v>30.346691399454524</v>
      </c>
      <c r="N173" s="76"/>
      <c r="O173" s="52"/>
      <c r="P173" s="52"/>
    </row>
    <row r="174" spans="1:16" x14ac:dyDescent="0.3">
      <c r="A174" s="56" t="s">
        <v>108</v>
      </c>
      <c r="B174" s="56" t="s">
        <v>74</v>
      </c>
      <c r="C174" s="13">
        <v>45497</v>
      </c>
      <c r="D174" s="53">
        <v>1.5333333333333301</v>
      </c>
      <c r="E174" s="15">
        <f t="shared" si="24"/>
        <v>43.850000000000037</v>
      </c>
      <c r="F174" s="15">
        <f t="shared" si="25"/>
        <v>14.183333333333366</v>
      </c>
      <c r="G174" s="50">
        <f t="shared" si="19"/>
        <v>2.5238254535163436</v>
      </c>
      <c r="H174" s="70">
        <f t="shared" si="18"/>
        <v>2.5238254535163436</v>
      </c>
      <c r="I174">
        <f t="shared" si="26"/>
        <v>598.38279686560861</v>
      </c>
      <c r="J174">
        <f t="shared" si="20"/>
        <v>29.191398432804334</v>
      </c>
      <c r="K174">
        <f t="shared" si="21"/>
        <v>29.191398432804334</v>
      </c>
      <c r="L174" s="55">
        <f t="shared" si="22"/>
        <v>38.63678514804208</v>
      </c>
      <c r="M174">
        <f t="shared" si="23"/>
        <v>30.40135428163541</v>
      </c>
      <c r="N174" s="76"/>
      <c r="O174" s="52"/>
      <c r="P174" s="52"/>
    </row>
    <row r="175" spans="1:16" x14ac:dyDescent="0.3">
      <c r="C175" s="13">
        <v>45497</v>
      </c>
      <c r="D175" s="53">
        <v>1.53680555555555</v>
      </c>
      <c r="E175" s="15">
        <f t="shared" si="24"/>
        <v>43.933333333333366</v>
      </c>
      <c r="F175" s="15">
        <f t="shared" si="25"/>
        <v>14.266666666666699</v>
      </c>
      <c r="G175" s="50">
        <f t="shared" si="19"/>
        <v>2.5301429106812492</v>
      </c>
      <c r="H175" s="70">
        <f t="shared" si="18"/>
        <v>2.5301429106812492</v>
      </c>
      <c r="I175">
        <f t="shared" si="26"/>
        <v>598.80448735072218</v>
      </c>
      <c r="J175">
        <f t="shared" si="20"/>
        <v>29.402243675361106</v>
      </c>
      <c r="K175">
        <f t="shared" si="21"/>
        <v>29.402243675361106</v>
      </c>
      <c r="L175" s="55">
        <f t="shared" si="22"/>
        <v>38.888447703376926</v>
      </c>
      <c r="M175">
        <f t="shared" si="23"/>
        <v>30.456076906167667</v>
      </c>
      <c r="N175" s="76"/>
      <c r="O175" s="52"/>
      <c r="P175" s="52"/>
    </row>
    <row r="176" spans="1:16" x14ac:dyDescent="0.3">
      <c r="C176" s="13">
        <v>45497</v>
      </c>
      <c r="D176" s="53">
        <v>1.5402777777777801</v>
      </c>
      <c r="E176" s="15">
        <f t="shared" si="24"/>
        <v>44.016666666666701</v>
      </c>
      <c r="F176" s="15">
        <f t="shared" si="25"/>
        <v>14.350000000000033</v>
      </c>
      <c r="G176" s="50">
        <f t="shared" si="19"/>
        <v>2.5364761812475818</v>
      </c>
      <c r="H176" s="70">
        <f t="shared" si="18"/>
        <v>2.5364761812475818</v>
      </c>
      <c r="I176">
        <f t="shared" si="26"/>
        <v>599.2272333809301</v>
      </c>
      <c r="J176">
        <f t="shared" si="20"/>
        <v>29.613616690465072</v>
      </c>
      <c r="K176">
        <f t="shared" si="21"/>
        <v>29.613616690465072</v>
      </c>
      <c r="L176" s="55">
        <f t="shared" si="22"/>
        <v>39.140384669297198</v>
      </c>
      <c r="M176">
        <f t="shared" si="23"/>
        <v>30.510859199757213</v>
      </c>
      <c r="N176" s="76"/>
      <c r="O176" s="52"/>
      <c r="P176" s="52"/>
    </row>
    <row r="177" spans="1:16" x14ac:dyDescent="0.3">
      <c r="C177" s="13">
        <v>45497</v>
      </c>
      <c r="D177" s="53">
        <v>1.54375</v>
      </c>
      <c r="E177" s="15">
        <f t="shared" si="24"/>
        <v>44.100000000000037</v>
      </c>
      <c r="F177" s="15">
        <f t="shared" si="25"/>
        <v>14.433333333333367</v>
      </c>
      <c r="G177" s="50">
        <f t="shared" si="19"/>
        <v>2.5428253047983045</v>
      </c>
      <c r="H177" s="70">
        <f t="shared" si="18"/>
        <v>2.5428253047983045</v>
      </c>
      <c r="I177">
        <f t="shared" si="26"/>
        <v>599.65103759839644</v>
      </c>
      <c r="J177">
        <f t="shared" si="20"/>
        <v>29.825518799198264</v>
      </c>
      <c r="K177">
        <f t="shared" si="21"/>
        <v>29.825518799198264</v>
      </c>
      <c r="L177" s="55">
        <f t="shared" si="22"/>
        <v>39.392595706280126</v>
      </c>
      <c r="M177">
        <f t="shared" si="23"/>
        <v>30.565701088576731</v>
      </c>
      <c r="N177" s="76"/>
      <c r="O177" s="52"/>
      <c r="P177" s="52"/>
    </row>
    <row r="178" spans="1:16" x14ac:dyDescent="0.3">
      <c r="C178" s="13">
        <v>45497</v>
      </c>
      <c r="D178" s="53">
        <v>1.5472222222222201</v>
      </c>
      <c r="E178" s="15">
        <f t="shared" si="24"/>
        <v>44.183333333333366</v>
      </c>
      <c r="F178" s="15">
        <f t="shared" si="25"/>
        <v>14.516666666666701</v>
      </c>
      <c r="G178" s="50">
        <f t="shared" si="19"/>
        <v>2.5491903210154598</v>
      </c>
      <c r="H178" s="70">
        <f t="shared" si="18"/>
        <v>2.5491903210154598</v>
      </c>
      <c r="I178">
        <f t="shared" si="26"/>
        <v>600.07590265189901</v>
      </c>
      <c r="J178">
        <f t="shared" si="20"/>
        <v>30.037951325949553</v>
      </c>
      <c r="K178">
        <f t="shared" si="21"/>
        <v>30.037951325949553</v>
      </c>
      <c r="L178" s="55">
        <f t="shared" si="22"/>
        <v>39.645080472349058</v>
      </c>
      <c r="M178">
        <f t="shared" si="23"/>
        <v>30.620602498265278</v>
      </c>
      <c r="N178" s="76"/>
      <c r="O178" s="52"/>
      <c r="P178" s="52"/>
    </row>
    <row r="179" spans="1:16" x14ac:dyDescent="0.3">
      <c r="C179" s="13">
        <v>45497</v>
      </c>
      <c r="D179" s="53">
        <v>1.5506944444444399</v>
      </c>
      <c r="E179" s="15">
        <f t="shared" si="24"/>
        <v>44.266666666666701</v>
      </c>
      <c r="F179" s="15">
        <f t="shared" si="25"/>
        <v>14.600000000000035</v>
      </c>
      <c r="G179" s="50">
        <f t="shared" si="19"/>
        <v>2.5555712696804189</v>
      </c>
      <c r="H179" s="70">
        <f t="shared" si="18"/>
        <v>2.5555712696804189</v>
      </c>
      <c r="I179">
        <f t="shared" si="26"/>
        <v>600.50183119684573</v>
      </c>
      <c r="J179">
        <f t="shared" si="20"/>
        <v>30.250915598422921</v>
      </c>
      <c r="K179">
        <f t="shared" si="21"/>
        <v>30.250915598422921</v>
      </c>
      <c r="L179" s="55">
        <f t="shared" si="22"/>
        <v>39.897838623071941</v>
      </c>
      <c r="M179">
        <f t="shared" si="23"/>
        <v>30.67556335392802</v>
      </c>
      <c r="N179" s="76"/>
      <c r="O179" s="52"/>
      <c r="P179" s="52"/>
    </row>
    <row r="180" spans="1:16" x14ac:dyDescent="0.3">
      <c r="C180" s="13">
        <v>45497</v>
      </c>
      <c r="D180" s="53">
        <v>1.55416666666666</v>
      </c>
      <c r="E180" s="15">
        <f t="shared" si="24"/>
        <v>44.350000000000037</v>
      </c>
      <c r="F180" s="15">
        <f t="shared" si="25"/>
        <v>14.683333333333369</v>
      </c>
      <c r="G180" s="50">
        <f t="shared" si="19"/>
        <v>2.5619681906741332</v>
      </c>
      <c r="H180" s="70">
        <f t="shared" si="18"/>
        <v>2.5619681906741332</v>
      </c>
      <c r="I180">
        <f t="shared" si="26"/>
        <v>600.92882589529142</v>
      </c>
      <c r="J180">
        <f t="shared" si="20"/>
        <v>30.464412947645766</v>
      </c>
      <c r="K180">
        <f t="shared" si="21"/>
        <v>30.464412947645766</v>
      </c>
      <c r="L180" s="55">
        <f t="shared" si="22"/>
        <v>40.150869811559964</v>
      </c>
      <c r="M180">
        <f t="shared" si="23"/>
        <v>30.730583580135914</v>
      </c>
      <c r="N180" s="76"/>
      <c r="O180" s="52"/>
      <c r="P180" s="52"/>
    </row>
    <row r="181" spans="1:16" x14ac:dyDescent="0.3">
      <c r="C181" s="13">
        <v>45497</v>
      </c>
      <c r="D181" s="53">
        <v>1.5576388888888899</v>
      </c>
      <c r="E181" s="15">
        <f t="shared" si="24"/>
        <v>44.433333333333373</v>
      </c>
      <c r="F181" s="15">
        <f t="shared" si="25"/>
        <v>14.766666666666703</v>
      </c>
      <c r="G181" s="50">
        <f t="shared" si="19"/>
        <v>2.5683811239773786</v>
      </c>
      <c r="H181" s="70">
        <f t="shared" si="18"/>
        <v>2.5683811239773786</v>
      </c>
      <c r="I181">
        <f t="shared" si="26"/>
        <v>601.35688941595436</v>
      </c>
      <c r="J181">
        <f t="shared" si="20"/>
        <v>30.678444707977214</v>
      </c>
      <c r="K181">
        <f t="shared" si="21"/>
        <v>30.678444707977214</v>
      </c>
      <c r="L181" s="55">
        <f t="shared" si="22"/>
        <v>40.404173688466123</v>
      </c>
      <c r="M181">
        <f t="shared" si="23"/>
        <v>30.785663100925401</v>
      </c>
      <c r="N181" s="76"/>
      <c r="O181" s="52"/>
      <c r="P181" s="52"/>
    </row>
    <row r="182" spans="1:16" x14ac:dyDescent="0.3">
      <c r="C182" s="13">
        <v>45497</v>
      </c>
      <c r="D182" s="53">
        <v>1.56111111111111</v>
      </c>
      <c r="E182" s="15">
        <f t="shared" si="24"/>
        <v>44.516666666666708</v>
      </c>
      <c r="F182" s="15">
        <f t="shared" si="25"/>
        <v>14.850000000000037</v>
      </c>
      <c r="G182" s="50">
        <f t="shared" si="19"/>
        <v>2.574810109671009</v>
      </c>
      <c r="H182" s="70">
        <f t="shared" si="18"/>
        <v>2.574810109671009</v>
      </c>
      <c r="I182">
        <f t="shared" si="26"/>
        <v>601.7860244342329</v>
      </c>
      <c r="J182">
        <f t="shared" si="20"/>
        <v>30.893012217116464</v>
      </c>
      <c r="K182">
        <f t="shared" si="21"/>
        <v>30.893012217116464</v>
      </c>
      <c r="L182" s="55">
        <f t="shared" si="22"/>
        <v>40.657749901983919</v>
      </c>
      <c r="M182">
        <f t="shared" si="23"/>
        <v>30.840801839798097</v>
      </c>
      <c r="N182" s="76"/>
      <c r="O182" s="52"/>
      <c r="P182" s="52"/>
    </row>
    <row r="183" spans="1:16" x14ac:dyDescent="0.3">
      <c r="C183" s="13">
        <v>45497</v>
      </c>
      <c r="D183" s="53">
        <v>1.5645833333333301</v>
      </c>
      <c r="E183" s="15">
        <f t="shared" si="24"/>
        <v>44.600000000000037</v>
      </c>
      <c r="F183" s="15">
        <f t="shared" si="25"/>
        <v>14.933333333333371</v>
      </c>
      <c r="G183" s="50">
        <f t="shared" si="19"/>
        <v>2.5812551879362071</v>
      </c>
      <c r="H183" s="70">
        <f t="shared" si="18"/>
        <v>2.5812551879362071</v>
      </c>
      <c r="I183">
        <f t="shared" si="26"/>
        <v>602.21623363222227</v>
      </c>
      <c r="J183">
        <f t="shared" si="20"/>
        <v>31.108116816111149</v>
      </c>
      <c r="K183">
        <f t="shared" si="21"/>
        <v>31.108116816111149</v>
      </c>
      <c r="L183" s="55">
        <f t="shared" si="22"/>
        <v>40.911598097846017</v>
      </c>
      <c r="M183">
        <f t="shared" si="23"/>
        <v>30.895999719720557</v>
      </c>
      <c r="N183" s="76"/>
      <c r="O183" s="52"/>
      <c r="P183" s="52"/>
    </row>
    <row r="184" spans="1:16" x14ac:dyDescent="0.3">
      <c r="C184" s="13">
        <v>45497</v>
      </c>
      <c r="D184" s="53">
        <v>1.56805555555555</v>
      </c>
      <c r="E184" s="15">
        <f t="shared" si="24"/>
        <v>44.683333333333373</v>
      </c>
      <c r="F184" s="15">
        <f t="shared" si="25"/>
        <v>15.016666666666705</v>
      </c>
      <c r="G184" s="50">
        <f t="shared" si="19"/>
        <v>2.5877163990547323</v>
      </c>
      <c r="H184" s="70">
        <f t="shared" si="18"/>
        <v>2.5877163990547323</v>
      </c>
      <c r="I184">
        <f t="shared" si="26"/>
        <v>602.64751969873134</v>
      </c>
      <c r="J184">
        <f t="shared" si="20"/>
        <v>31.323759849365711</v>
      </c>
      <c r="K184">
        <f t="shared" si="21"/>
        <v>31.323759849365711</v>
      </c>
      <c r="L184" s="55">
        <f t="shared" si="22"/>
        <v>41.165717919323008</v>
      </c>
      <c r="M184">
        <f t="shared" si="23"/>
        <v>30.951256663123946</v>
      </c>
      <c r="N184" s="76"/>
      <c r="O184" s="52"/>
      <c r="P184" s="52"/>
    </row>
    <row r="185" spans="1:16" x14ac:dyDescent="0.3">
      <c r="C185" s="13">
        <v>45497</v>
      </c>
      <c r="D185" s="53">
        <v>1.5715277777777801</v>
      </c>
      <c r="E185" s="15">
        <f t="shared" si="24"/>
        <v>44.766666666666708</v>
      </c>
      <c r="F185" s="15">
        <f t="shared" si="25"/>
        <v>15.100000000000039</v>
      </c>
      <c r="G185" s="50">
        <f t="shared" si="19"/>
        <v>2.5941937834091742</v>
      </c>
      <c r="H185" s="70">
        <f t="shared" si="18"/>
        <v>2.5941937834091742</v>
      </c>
      <c r="I185">
        <f t="shared" si="26"/>
        <v>603.07988532929949</v>
      </c>
      <c r="J185">
        <f t="shared" si="20"/>
        <v>31.539942664649807</v>
      </c>
      <c r="K185">
        <f t="shared" si="21"/>
        <v>31.539942664649807</v>
      </c>
      <c r="L185" s="55">
        <f t="shared" si="22"/>
        <v>41.42010900722218</v>
      </c>
      <c r="M185">
        <f t="shared" si="23"/>
        <v>31.006572591903804</v>
      </c>
      <c r="N185" s="76"/>
      <c r="O185" s="52"/>
      <c r="P185" s="52"/>
    </row>
    <row r="186" spans="1:16" x14ac:dyDescent="0.3">
      <c r="C186" s="13">
        <v>45497</v>
      </c>
      <c r="D186" s="53">
        <v>1.575</v>
      </c>
      <c r="E186" s="15">
        <f t="shared" si="24"/>
        <v>44.850000000000037</v>
      </c>
      <c r="F186" s="15">
        <f t="shared" si="25"/>
        <v>15.183333333333373</v>
      </c>
      <c r="G186" s="50">
        <f t="shared" si="19"/>
        <v>2.6006873814832079</v>
      </c>
      <c r="H186" s="70">
        <f t="shared" si="18"/>
        <v>2.6006873814832079</v>
      </c>
      <c r="I186">
        <f t="shared" si="26"/>
        <v>603.51333322621338</v>
      </c>
      <c r="J186">
        <f t="shared" si="20"/>
        <v>31.756666613106741</v>
      </c>
      <c r="K186">
        <f t="shared" si="21"/>
        <v>31.756666613106741</v>
      </c>
      <c r="L186" s="55">
        <f t="shared" si="22"/>
        <v>41.674770999886327</v>
      </c>
      <c r="M186">
        <f t="shared" si="23"/>
        <v>31.061947427419774</v>
      </c>
      <c r="N186" s="76"/>
      <c r="O186" s="52"/>
      <c r="P186" s="52"/>
    </row>
    <row r="187" spans="1:16" x14ac:dyDescent="0.3">
      <c r="C187" s="13">
        <v>45497</v>
      </c>
      <c r="D187" s="53">
        <v>1.5784722222222201</v>
      </c>
      <c r="E187" s="15">
        <f t="shared" si="24"/>
        <v>44.933333333333373</v>
      </c>
      <c r="F187" s="15">
        <f t="shared" si="25"/>
        <v>15.266666666666707</v>
      </c>
      <c r="G187" s="50">
        <f t="shared" si="19"/>
        <v>2.6071972338618417</v>
      </c>
      <c r="H187" s="70">
        <f t="shared" si="18"/>
        <v>2.6071972338618417</v>
      </c>
      <c r="I187">
        <f t="shared" si="26"/>
        <v>603.94786609852372</v>
      </c>
      <c r="J187">
        <f t="shared" si="20"/>
        <v>31.973933049261895</v>
      </c>
      <c r="K187">
        <f t="shared" si="21"/>
        <v>31.973933049261895</v>
      </c>
      <c r="L187" s="55">
        <f t="shared" si="22"/>
        <v>41.929703533192622</v>
      </c>
      <c r="M187">
        <f t="shared" si="23"/>
        <v>31.117381090495375</v>
      </c>
      <c r="N187" s="76"/>
      <c r="O187" s="52"/>
      <c r="P187" s="52"/>
    </row>
    <row r="188" spans="1:16" x14ac:dyDescent="0.3">
      <c r="A188" s="56"/>
      <c r="B188" s="56"/>
      <c r="C188" s="13">
        <v>45497</v>
      </c>
      <c r="D188" s="53">
        <v>1.5819444444444399</v>
      </c>
      <c r="E188" s="15">
        <f t="shared" si="24"/>
        <v>45.016666666666708</v>
      </c>
      <c r="F188" s="15">
        <f t="shared" si="25"/>
        <v>15.350000000000041</v>
      </c>
      <c r="G188" s="50">
        <f t="shared" si="19"/>
        <v>2.613723381231674</v>
      </c>
      <c r="H188" s="70">
        <f t="shared" si="18"/>
        <v>2.613723381231674</v>
      </c>
      <c r="I188">
        <f t="shared" si="26"/>
        <v>604.3834866620623</v>
      </c>
      <c r="J188">
        <f t="shared" si="20"/>
        <v>32.191743331031198</v>
      </c>
      <c r="K188">
        <f t="shared" si="21"/>
        <v>32.191743331031198</v>
      </c>
      <c r="L188" s="55">
        <f t="shared" si="22"/>
        <v>42.184906240551499</v>
      </c>
      <c r="M188">
        <f t="shared" si="23"/>
        <v>31.172873501417751</v>
      </c>
      <c r="N188" s="76"/>
      <c r="O188" s="52"/>
      <c r="P188" s="52"/>
    </row>
    <row r="189" spans="1:16" x14ac:dyDescent="0.3">
      <c r="C189" s="13">
        <v>45497</v>
      </c>
      <c r="D189" s="53">
        <v>1.58541666666666</v>
      </c>
      <c r="E189" s="15">
        <f t="shared" si="24"/>
        <v>45.100000000000044</v>
      </c>
      <c r="F189" s="15">
        <f t="shared" si="25"/>
        <v>15.433333333333374</v>
      </c>
      <c r="G189" s="50">
        <f t="shared" si="19"/>
        <v>2.6202658643811465</v>
      </c>
      <c r="H189" s="70">
        <f t="shared" si="18"/>
        <v>2.6202658643811465</v>
      </c>
      <c r="I189">
        <f t="shared" si="26"/>
        <v>604.82019763945914</v>
      </c>
      <c r="J189">
        <f t="shared" si="20"/>
        <v>32.410098819729626</v>
      </c>
      <c r="K189">
        <f t="shared" si="21"/>
        <v>32.410098819729626</v>
      </c>
      <c r="L189" s="55">
        <f t="shared" si="22"/>
        <v>42.440378752905588</v>
      </c>
      <c r="M189">
        <f t="shared" si="23"/>
        <v>31.22842457993741</v>
      </c>
      <c r="N189" s="76"/>
      <c r="O189" s="52"/>
      <c r="P189" s="52"/>
    </row>
    <row r="190" spans="1:16" x14ac:dyDescent="0.3">
      <c r="C190" s="13">
        <v>45497</v>
      </c>
      <c r="D190" s="53">
        <v>1.5888888888888899</v>
      </c>
      <c r="E190" s="15">
        <f t="shared" si="24"/>
        <v>45.18333333333338</v>
      </c>
      <c r="F190" s="15">
        <f t="shared" si="25"/>
        <v>15.516666666666708</v>
      </c>
      <c r="G190" s="50">
        <f t="shared" si="19"/>
        <v>2.626824724200802</v>
      </c>
      <c r="H190" s="70">
        <f t="shared" si="18"/>
        <v>2.626824724200802</v>
      </c>
      <c r="I190">
        <f t="shared" si="26"/>
        <v>605.25800176015923</v>
      </c>
      <c r="J190">
        <f t="shared" si="20"/>
        <v>32.629000880079694</v>
      </c>
      <c r="K190">
        <f t="shared" si="21"/>
        <v>32.629000880079694</v>
      </c>
      <c r="L190" s="55">
        <f t="shared" si="22"/>
        <v>42.69612069872872</v>
      </c>
      <c r="M190">
        <f t="shared" si="23"/>
        <v>31.284034245268064</v>
      </c>
      <c r="N190" s="76"/>
      <c r="O190" s="52"/>
      <c r="P190" s="52"/>
    </row>
    <row r="191" spans="1:16" x14ac:dyDescent="0.3">
      <c r="C191" s="13">
        <v>45497</v>
      </c>
      <c r="D191" s="53">
        <v>1.59236111111111</v>
      </c>
      <c r="E191" s="15">
        <f t="shared" si="24"/>
        <v>45.266666666666708</v>
      </c>
      <c r="F191" s="15">
        <f t="shared" si="25"/>
        <v>15.600000000000042</v>
      </c>
      <c r="G191" s="50">
        <f t="shared" si="19"/>
        <v>2.6334000016835342</v>
      </c>
      <c r="H191" s="70">
        <f t="shared" si="18"/>
        <v>2.6334000016835342</v>
      </c>
      <c r="I191">
        <f t="shared" si="26"/>
        <v>605.6969017604398</v>
      </c>
      <c r="J191">
        <f t="shared" si="20"/>
        <v>32.848450880219985</v>
      </c>
      <c r="K191">
        <f t="shared" si="21"/>
        <v>32.848450880219985</v>
      </c>
      <c r="L191" s="55">
        <f t="shared" si="22"/>
        <v>42.952131704024886</v>
      </c>
      <c r="M191">
        <f t="shared" si="23"/>
        <v>31.339702416086354</v>
      </c>
      <c r="N191" s="76"/>
      <c r="O191" s="52"/>
      <c r="P191" s="52"/>
    </row>
    <row r="192" spans="1:16" x14ac:dyDescent="0.3">
      <c r="C192" s="13">
        <v>45497</v>
      </c>
      <c r="D192" s="53">
        <v>1.5958333333333301</v>
      </c>
      <c r="E192" s="15">
        <f t="shared" si="24"/>
        <v>45.350000000000044</v>
      </c>
      <c r="F192" s="15">
        <f t="shared" si="25"/>
        <v>15.683333333333376</v>
      </c>
      <c r="G192" s="50">
        <f t="shared" si="19"/>
        <v>2.639991737924849</v>
      </c>
      <c r="H192" s="70">
        <f t="shared" si="18"/>
        <v>2.639991737924849</v>
      </c>
      <c r="I192">
        <f t="shared" si="26"/>
        <v>606.13690038342725</v>
      </c>
      <c r="J192">
        <f t="shared" si="20"/>
        <v>33.068450191713723</v>
      </c>
      <c r="K192">
        <f t="shared" si="21"/>
        <v>33.068450191713723</v>
      </c>
      <c r="L192" s="55">
        <f t="shared" si="22"/>
        <v>43.208411392327363</v>
      </c>
      <c r="M192">
        <f t="shared" si="23"/>
        <v>31.395429010531682</v>
      </c>
      <c r="N192" s="76"/>
      <c r="O192" s="52"/>
      <c r="P192" s="52"/>
    </row>
    <row r="193" spans="1:16" x14ac:dyDescent="0.3">
      <c r="A193" s="56"/>
      <c r="B193" s="56"/>
      <c r="C193" s="13">
        <v>45497</v>
      </c>
      <c r="D193" s="53">
        <v>1.59930555555555</v>
      </c>
      <c r="E193" s="15">
        <f t="shared" si="24"/>
        <v>45.43333333333338</v>
      </c>
      <c r="F193" s="15">
        <f t="shared" si="25"/>
        <v>15.76666666666671</v>
      </c>
      <c r="G193" s="50">
        <f t="shared" si="19"/>
        <v>2.6465999741231201</v>
      </c>
      <c r="H193" s="70">
        <f t="shared" si="18"/>
        <v>2.6465999741231201</v>
      </c>
      <c r="I193">
        <f t="shared" si="26"/>
        <v>606.57800037911443</v>
      </c>
      <c r="J193">
        <f t="shared" si="20"/>
        <v>33.289000189557314</v>
      </c>
      <c r="K193">
        <f t="shared" si="21"/>
        <v>33.289000189557314</v>
      </c>
      <c r="L193" s="55">
        <f t="shared" si="22"/>
        <v>43.464959384697771</v>
      </c>
      <c r="M193">
        <f t="shared" si="23"/>
        <v>31.451213946206</v>
      </c>
      <c r="N193" s="76"/>
      <c r="O193" s="52"/>
      <c r="P193" s="52"/>
    </row>
    <row r="194" spans="1:16" x14ac:dyDescent="0.3">
      <c r="C194" s="13">
        <v>45497</v>
      </c>
      <c r="D194" s="53">
        <v>1.6027777777777801</v>
      </c>
      <c r="E194" s="15">
        <f t="shared" si="24"/>
        <v>45.516666666666708</v>
      </c>
      <c r="F194" s="15">
        <f t="shared" si="25"/>
        <v>15.850000000000044</v>
      </c>
      <c r="G194" s="50">
        <f t="shared" si="19"/>
        <v>2.6532247515798439</v>
      </c>
      <c r="H194" s="70">
        <f t="shared" si="18"/>
        <v>2.6532247515798439</v>
      </c>
      <c r="I194">
        <f t="shared" si="26"/>
        <v>607.02020450437772</v>
      </c>
      <c r="J194">
        <f t="shared" si="20"/>
        <v>33.510102252188965</v>
      </c>
      <c r="K194">
        <f t="shared" si="21"/>
        <v>33.510102252188965</v>
      </c>
      <c r="L194" s="55">
        <f t="shared" si="22"/>
        <v>43.721775299725245</v>
      </c>
      <c r="M194">
        <f t="shared" si="23"/>
        <v>31.507057140173643</v>
      </c>
      <c r="N194" s="76"/>
      <c r="O194" s="52"/>
      <c r="P194" s="52"/>
    </row>
    <row r="195" spans="1:16" x14ac:dyDescent="0.3">
      <c r="C195" s="13">
        <v>45497</v>
      </c>
      <c r="D195" s="53">
        <v>1.60625</v>
      </c>
      <c r="E195" s="15">
        <f t="shared" si="24"/>
        <v>45.600000000000044</v>
      </c>
      <c r="F195" s="15">
        <f t="shared" si="25"/>
        <v>15.933333333333378</v>
      </c>
      <c r="G195" s="50">
        <f t="shared" si="19"/>
        <v>2.6598661116999023</v>
      </c>
      <c r="H195" s="70">
        <f t="shared" si="18"/>
        <v>2.6598661116999023</v>
      </c>
      <c r="I195">
        <f t="shared" si="26"/>
        <v>607.46351552299438</v>
      </c>
      <c r="J195">
        <f t="shared" si="20"/>
        <v>33.731757761497292</v>
      </c>
      <c r="K195">
        <f t="shared" si="21"/>
        <v>33.731757761497292</v>
      </c>
      <c r="L195" s="55">
        <f t="shared" si="22"/>
        <v>43.978858753525579</v>
      </c>
      <c r="M195">
        <f t="shared" si="23"/>
        <v>31.562958508961117</v>
      </c>
      <c r="N195" s="76"/>
      <c r="O195" s="52"/>
      <c r="P195" s="52"/>
    </row>
    <row r="196" spans="1:16" x14ac:dyDescent="0.3">
      <c r="C196" s="13">
        <v>45497</v>
      </c>
      <c r="D196" s="53">
        <v>1.6097222222222201</v>
      </c>
      <c r="E196" s="15">
        <f t="shared" si="24"/>
        <v>45.68333333333338</v>
      </c>
      <c r="F196" s="15">
        <f t="shared" si="25"/>
        <v>16.016666666666712</v>
      </c>
      <c r="G196" s="50">
        <f t="shared" si="19"/>
        <v>2.6665240959918171</v>
      </c>
      <c r="H196" s="70">
        <f t="shared" ref="H196:H259" si="27">G196</f>
        <v>2.6665240959918171</v>
      </c>
      <c r="I196">
        <f t="shared" si="26"/>
        <v>607.90793620565967</v>
      </c>
      <c r="J196">
        <f t="shared" si="20"/>
        <v>33.95396810282994</v>
      </c>
      <c r="K196">
        <f t="shared" si="21"/>
        <v>33.95396810282994</v>
      </c>
      <c r="L196" s="55">
        <f t="shared" si="22"/>
        <v>44.236209359740485</v>
      </c>
      <c r="M196">
        <f t="shared" si="23"/>
        <v>31.618917968556957</v>
      </c>
      <c r="N196" s="76"/>
      <c r="O196" s="52"/>
      <c r="P196" s="52"/>
    </row>
    <row r="197" spans="1:16" x14ac:dyDescent="0.3">
      <c r="C197" s="13">
        <v>45497</v>
      </c>
      <c r="D197" s="53">
        <v>1.6131944444444399</v>
      </c>
      <c r="E197" s="15">
        <f t="shared" si="24"/>
        <v>45.766666666666708</v>
      </c>
      <c r="F197" s="15">
        <f t="shared" si="25"/>
        <v>16.100000000000044</v>
      </c>
      <c r="G197" s="50">
        <f t="shared" ref="G197:G260" si="28">$G$4*EXP($T$1*F197)</f>
        <v>2.673198746068012</v>
      </c>
      <c r="H197" s="70">
        <f t="shared" si="27"/>
        <v>2.673198746068012</v>
      </c>
      <c r="I197">
        <f t="shared" si="26"/>
        <v>608.35346933000437</v>
      </c>
      <c r="J197">
        <f t="shared" ref="J197:J260" si="29">J196+G197*5/60</f>
        <v>34.176734665002272</v>
      </c>
      <c r="K197">
        <f t="shared" ref="K197:K260" si="30">J197</f>
        <v>34.176734665002272</v>
      </c>
      <c r="L197" s="55">
        <f t="shared" ref="L197:L260" si="31">((L196*I196/1000)+(G197*$T$7/1000*5/60))/(I197/1000)</f>
        <v>44.493826729536835</v>
      </c>
      <c r="M197">
        <f t="shared" ref="M197:M260" si="32">(M196*I196+G197*$T$7*$T$6*(5/60))/I197</f>
        <v>31.674935434411559</v>
      </c>
      <c r="N197" s="76"/>
      <c r="O197" s="52"/>
      <c r="P197" s="52"/>
    </row>
    <row r="198" spans="1:16" x14ac:dyDescent="0.3">
      <c r="C198" s="13">
        <v>45497</v>
      </c>
      <c r="D198" s="53">
        <v>1.61666666666666</v>
      </c>
      <c r="E198" s="15">
        <f t="shared" ref="E198:E261" si="33">$E$3+F198</f>
        <v>45.850000000000044</v>
      </c>
      <c r="F198" s="15">
        <f t="shared" ref="F198:F261" si="34">F197+5/60</f>
        <v>16.183333333333376</v>
      </c>
      <c r="G198" s="50">
        <f t="shared" si="28"/>
        <v>2.6798901036450715</v>
      </c>
      <c r="H198" s="70">
        <f t="shared" si="27"/>
        <v>2.6798901036450715</v>
      </c>
      <c r="I198">
        <f t="shared" ref="I198:I261" si="35">I197+(G198+H198)*5/60</f>
        <v>608.80011768061183</v>
      </c>
      <c r="J198">
        <f t="shared" si="29"/>
        <v>34.400058840306031</v>
      </c>
      <c r="K198">
        <f t="shared" si="30"/>
        <v>34.400058840306031</v>
      </c>
      <c r="L198" s="55">
        <f t="shared" si="31"/>
        <v>44.751710471605982</v>
      </c>
      <c r="M198">
        <f t="shared" si="32"/>
        <v>31.731010821437042</v>
      </c>
      <c r="N198" s="76"/>
      <c r="O198" s="52"/>
      <c r="P198" s="52"/>
    </row>
    <row r="199" spans="1:16" x14ac:dyDescent="0.3">
      <c r="B199" s="56"/>
      <c r="C199" s="13">
        <v>45497</v>
      </c>
      <c r="D199" s="53">
        <v>1.6201388888888899</v>
      </c>
      <c r="E199" s="15">
        <f t="shared" si="33"/>
        <v>45.93333333333338</v>
      </c>
      <c r="F199" s="15">
        <f t="shared" si="34"/>
        <v>16.266666666666708</v>
      </c>
      <c r="G199" s="50">
        <f t="shared" si="28"/>
        <v>2.6865982105440027</v>
      </c>
      <c r="H199" s="70">
        <f t="shared" si="27"/>
        <v>2.6865982105440027</v>
      </c>
      <c r="I199">
        <f t="shared" si="35"/>
        <v>609.24788404903586</v>
      </c>
      <c r="J199">
        <f t="shared" si="29"/>
        <v>34.62394202451803</v>
      </c>
      <c r="K199">
        <f t="shared" si="30"/>
        <v>34.62394202451803</v>
      </c>
      <c r="L199" s="55">
        <f t="shared" si="31"/>
        <v>45.009860192163089</v>
      </c>
      <c r="M199">
        <f t="shared" si="32"/>
        <v>31.787144044007068</v>
      </c>
      <c r="N199" s="76"/>
      <c r="O199" s="52"/>
      <c r="P199" s="52"/>
    </row>
    <row r="200" spans="1:16" x14ac:dyDescent="0.3">
      <c r="C200" s="13">
        <v>45497</v>
      </c>
      <c r="D200" s="53">
        <v>1.62361111111111</v>
      </c>
      <c r="E200" s="15">
        <f t="shared" si="33"/>
        <v>46.016666666666708</v>
      </c>
      <c r="F200" s="15">
        <f t="shared" si="34"/>
        <v>16.350000000000041</v>
      </c>
      <c r="G200" s="50">
        <f t="shared" si="28"/>
        <v>2.6933231086904947</v>
      </c>
      <c r="H200" s="70">
        <f t="shared" si="27"/>
        <v>2.6933231086904947</v>
      </c>
      <c r="I200">
        <f t="shared" si="35"/>
        <v>609.69677123381757</v>
      </c>
      <c r="J200">
        <f t="shared" si="29"/>
        <v>34.848385616908907</v>
      </c>
      <c r="K200">
        <f t="shared" si="30"/>
        <v>34.848385616908907</v>
      </c>
      <c r="L200" s="55">
        <f t="shared" si="31"/>
        <v>45.268275494946558</v>
      </c>
      <c r="M200">
        <f t="shared" si="32"/>
        <v>31.843335015956768</v>
      </c>
      <c r="N200" s="76"/>
      <c r="O200" s="52"/>
      <c r="P200" s="52"/>
    </row>
    <row r="201" spans="1:16" x14ac:dyDescent="0.3">
      <c r="C201" s="13">
        <v>45497</v>
      </c>
      <c r="D201" s="53">
        <v>1.6270833333333301</v>
      </c>
      <c r="E201" s="15">
        <f t="shared" si="33"/>
        <v>46.100000000000037</v>
      </c>
      <c r="F201" s="15">
        <f t="shared" si="34"/>
        <v>16.433333333333373</v>
      </c>
      <c r="G201" s="50">
        <f t="shared" si="28"/>
        <v>2.7000648401151834</v>
      </c>
      <c r="H201" s="70">
        <f t="shared" si="27"/>
        <v>2.7000648401151834</v>
      </c>
      <c r="I201">
        <f t="shared" si="35"/>
        <v>610.14678204050347</v>
      </c>
      <c r="J201">
        <f t="shared" si="29"/>
        <v>35.07339102025184</v>
      </c>
      <c r="K201">
        <f t="shared" si="30"/>
        <v>35.07339102025184</v>
      </c>
      <c r="L201" s="55">
        <f t="shared" si="31"/>
        <v>45.526955981217426</v>
      </c>
      <c r="M201">
        <f t="shared" si="32"/>
        <v>31.899583650582557</v>
      </c>
      <c r="N201" s="76"/>
      <c r="O201" s="52"/>
      <c r="P201" s="52"/>
    </row>
    <row r="202" spans="1:16" x14ac:dyDescent="0.3">
      <c r="C202" s="13">
        <v>45497</v>
      </c>
      <c r="D202" s="53">
        <v>1.63055555555555</v>
      </c>
      <c r="E202" s="15">
        <f t="shared" si="33"/>
        <v>46.183333333333373</v>
      </c>
      <c r="F202" s="15">
        <f t="shared" si="34"/>
        <v>16.516666666666705</v>
      </c>
      <c r="G202" s="50">
        <f t="shared" si="28"/>
        <v>2.7068234469539125</v>
      </c>
      <c r="H202" s="70">
        <f t="shared" si="27"/>
        <v>2.7068234469539125</v>
      </c>
      <c r="I202">
        <f t="shared" si="35"/>
        <v>610.59791928166248</v>
      </c>
      <c r="J202">
        <f t="shared" si="29"/>
        <v>35.298959640831335</v>
      </c>
      <c r="K202">
        <f t="shared" si="30"/>
        <v>35.298959640831335</v>
      </c>
      <c r="L202" s="55">
        <f t="shared" si="31"/>
        <v>45.785901249758851</v>
      </c>
      <c r="M202">
        <f t="shared" si="32"/>
        <v>31.955889860642067</v>
      </c>
      <c r="N202" s="76"/>
      <c r="O202" s="52"/>
      <c r="P202" s="52"/>
    </row>
    <row r="203" spans="1:16" x14ac:dyDescent="0.3">
      <c r="C203" s="13">
        <v>45497</v>
      </c>
      <c r="D203" s="53">
        <v>1.6340277777777801</v>
      </c>
      <c r="E203" s="15">
        <f t="shared" si="33"/>
        <v>46.266666666666708</v>
      </c>
      <c r="F203" s="15">
        <f t="shared" si="34"/>
        <v>16.600000000000037</v>
      </c>
      <c r="G203" s="50">
        <f t="shared" si="28"/>
        <v>2.713598971447996</v>
      </c>
      <c r="H203" s="70">
        <f t="shared" si="27"/>
        <v>2.713598971447996</v>
      </c>
      <c r="I203">
        <f t="shared" si="35"/>
        <v>611.05018577690385</v>
      </c>
      <c r="J203">
        <f t="shared" si="29"/>
        <v>35.525092888452001</v>
      </c>
      <c r="K203">
        <f t="shared" si="30"/>
        <v>35.525092888452001</v>
      </c>
      <c r="L203" s="55">
        <f t="shared" si="31"/>
        <v>46.045110896875627</v>
      </c>
      <c r="M203">
        <f t="shared" si="32"/>
        <v>32.012253558354011</v>
      </c>
      <c r="N203" s="76"/>
      <c r="O203" s="52"/>
      <c r="P203" s="52"/>
    </row>
    <row r="204" spans="1:16" x14ac:dyDescent="0.3">
      <c r="C204" s="13">
        <v>45497</v>
      </c>
      <c r="D204" s="53">
        <v>1.6375</v>
      </c>
      <c r="E204" s="15">
        <f t="shared" si="33"/>
        <v>46.350000000000037</v>
      </c>
      <c r="F204" s="15">
        <f t="shared" si="34"/>
        <v>16.683333333333369</v>
      </c>
      <c r="G204" s="50">
        <f t="shared" si="28"/>
        <v>2.7203914559444846</v>
      </c>
      <c r="H204" s="70">
        <f t="shared" si="27"/>
        <v>2.7203914559444846</v>
      </c>
      <c r="I204">
        <f t="shared" si="35"/>
        <v>611.50358435289456</v>
      </c>
      <c r="J204">
        <f t="shared" si="29"/>
        <v>35.751792176447374</v>
      </c>
      <c r="K204">
        <f t="shared" si="30"/>
        <v>35.751792176447374</v>
      </c>
      <c r="L204" s="55">
        <f t="shared" si="31"/>
        <v>46.304584516393767</v>
      </c>
      <c r="M204">
        <f t="shared" si="32"/>
        <v>32.068674655398119</v>
      </c>
      <c r="N204" s="76"/>
      <c r="O204" s="52"/>
      <c r="P204" s="52"/>
    </row>
    <row r="205" spans="1:16" x14ac:dyDescent="0.3">
      <c r="A205" s="56"/>
      <c r="B205" s="56"/>
      <c r="C205" s="13">
        <v>45497</v>
      </c>
      <c r="D205" s="53">
        <v>1.6409722222222201</v>
      </c>
      <c r="E205" s="15">
        <f t="shared" si="33"/>
        <v>46.433333333333366</v>
      </c>
      <c r="F205" s="15">
        <f t="shared" si="34"/>
        <v>16.766666666666701</v>
      </c>
      <c r="G205" s="50">
        <f t="shared" si="28"/>
        <v>2.7272009428964283</v>
      </c>
      <c r="H205" s="70">
        <f t="shared" si="27"/>
        <v>2.7272009428964283</v>
      </c>
      <c r="I205">
        <f t="shared" si="35"/>
        <v>611.95811784337729</v>
      </c>
      <c r="J205">
        <f t="shared" si="29"/>
        <v>35.97905892168874</v>
      </c>
      <c r="K205">
        <f t="shared" si="30"/>
        <v>35.97905892168874</v>
      </c>
      <c r="L205" s="55">
        <f t="shared" si="31"/>
        <v>46.564321699660049</v>
      </c>
      <c r="M205">
        <f t="shared" si="32"/>
        <v>32.125153062915018</v>
      </c>
      <c r="N205" s="76"/>
      <c r="O205" s="52"/>
      <c r="P205" s="52"/>
    </row>
    <row r="206" spans="1:16" x14ac:dyDescent="0.3">
      <c r="C206" s="13">
        <v>45497</v>
      </c>
      <c r="D206" s="53">
        <v>1.6444444444444399</v>
      </c>
      <c r="E206" s="15">
        <f t="shared" si="33"/>
        <v>46.516666666666701</v>
      </c>
      <c r="F206" s="15">
        <f t="shared" si="34"/>
        <v>16.850000000000033</v>
      </c>
      <c r="G206" s="50">
        <f t="shared" si="28"/>
        <v>2.7340274748631428</v>
      </c>
      <c r="H206" s="70">
        <f t="shared" si="27"/>
        <v>2.7340274748631428</v>
      </c>
      <c r="I206">
        <f t="shared" si="35"/>
        <v>612.41378908918784</v>
      </c>
      <c r="J206">
        <f t="shared" si="29"/>
        <v>36.206894544594</v>
      </c>
      <c r="K206">
        <f t="shared" si="30"/>
        <v>36.206894544594</v>
      </c>
      <c r="L206" s="55">
        <f t="shared" si="31"/>
        <v>46.824322035541726</v>
      </c>
      <c r="M206">
        <f t="shared" si="32"/>
        <v>32.181688691506181</v>
      </c>
      <c r="N206" s="76"/>
      <c r="O206" s="52"/>
      <c r="P206" s="52"/>
    </row>
    <row r="207" spans="1:16" x14ac:dyDescent="0.3">
      <c r="B207" s="56"/>
      <c r="C207" s="13">
        <v>45497</v>
      </c>
      <c r="D207" s="53">
        <v>1.64791666666666</v>
      </c>
      <c r="E207" s="15">
        <f t="shared" si="33"/>
        <v>46.600000000000037</v>
      </c>
      <c r="F207" s="15">
        <f t="shared" si="34"/>
        <v>16.933333333333366</v>
      </c>
      <c r="G207" s="50">
        <f t="shared" si="28"/>
        <v>2.7408710945104744</v>
      </c>
      <c r="H207" s="70">
        <f t="shared" si="27"/>
        <v>2.7408710945104744</v>
      </c>
      <c r="I207">
        <f t="shared" si="35"/>
        <v>612.8706009382729</v>
      </c>
      <c r="J207">
        <f t="shared" si="29"/>
        <v>36.435300469136543</v>
      </c>
      <c r="K207">
        <f t="shared" si="30"/>
        <v>36.435300469136543</v>
      </c>
      <c r="L207" s="55">
        <f t="shared" si="31"/>
        <v>47.084585110426175</v>
      </c>
      <c r="M207">
        <f t="shared" si="32"/>
        <v>32.238281451233838</v>
      </c>
      <c r="N207" s="76"/>
      <c r="O207" s="52"/>
      <c r="P207" s="52"/>
    </row>
    <row r="208" spans="1:16" x14ac:dyDescent="0.3">
      <c r="C208" s="13">
        <v>45497</v>
      </c>
      <c r="D208" s="53">
        <v>1.6513888888888899</v>
      </c>
      <c r="E208" s="15">
        <f t="shared" si="33"/>
        <v>46.683333333333366</v>
      </c>
      <c r="F208" s="15">
        <f t="shared" si="34"/>
        <v>17.016666666666698</v>
      </c>
      <c r="G208" s="50">
        <f t="shared" si="28"/>
        <v>2.7477318446110699</v>
      </c>
      <c r="H208" s="70">
        <f t="shared" si="27"/>
        <v>2.7477318446110699</v>
      </c>
      <c r="I208">
        <f t="shared" si="35"/>
        <v>613.32855624570811</v>
      </c>
      <c r="J208">
        <f t="shared" si="29"/>
        <v>36.664278122854135</v>
      </c>
      <c r="K208">
        <f t="shared" si="30"/>
        <v>36.664278122854135</v>
      </c>
      <c r="L208" s="55">
        <f t="shared" si="31"/>
        <v>47.345110508220657</v>
      </c>
      <c r="M208">
        <f t="shared" si="32"/>
        <v>32.294931251620923</v>
      </c>
      <c r="N208" s="76"/>
      <c r="O208" s="52"/>
      <c r="P208" s="52"/>
    </row>
    <row r="209" spans="2:16" x14ac:dyDescent="0.3">
      <c r="C209" s="13">
        <v>45497</v>
      </c>
      <c r="D209" s="53">
        <v>1.65486111111111</v>
      </c>
      <c r="E209" s="15">
        <f t="shared" si="33"/>
        <v>46.766666666666694</v>
      </c>
      <c r="F209" s="15">
        <f t="shared" si="34"/>
        <v>17.10000000000003</v>
      </c>
      <c r="G209" s="50">
        <f t="shared" si="28"/>
        <v>2.754609768044638</v>
      </c>
      <c r="H209" s="70">
        <f t="shared" si="27"/>
        <v>2.754609768044638</v>
      </c>
      <c r="I209">
        <f t="shared" si="35"/>
        <v>613.7876578737156</v>
      </c>
      <c r="J209">
        <f t="shared" si="29"/>
        <v>36.893828936857858</v>
      </c>
      <c r="K209">
        <f t="shared" si="30"/>
        <v>36.893828936857858</v>
      </c>
      <c r="L209" s="55">
        <f t="shared" si="31"/>
        <v>47.60589781035204</v>
      </c>
      <c r="M209">
        <f t="shared" si="32"/>
        <v>32.351638001651047</v>
      </c>
      <c r="N209" s="76"/>
      <c r="O209" s="52"/>
      <c r="P209" s="52"/>
    </row>
    <row r="210" spans="2:16" x14ac:dyDescent="0.3">
      <c r="C210" s="13">
        <v>45497</v>
      </c>
      <c r="D210" s="53">
        <v>1.6583333333333301</v>
      </c>
      <c r="E210" s="15">
        <f t="shared" si="33"/>
        <v>46.85000000000003</v>
      </c>
      <c r="F210" s="15">
        <f t="shared" si="34"/>
        <v>17.183333333333362</v>
      </c>
      <c r="G210" s="50">
        <f t="shared" si="28"/>
        <v>2.7615049077982232</v>
      </c>
      <c r="H210" s="70">
        <f t="shared" si="27"/>
        <v>2.7615049077982232</v>
      </c>
      <c r="I210">
        <f t="shared" si="35"/>
        <v>614.24790869168203</v>
      </c>
      <c r="J210">
        <f t="shared" si="29"/>
        <v>37.123954345841042</v>
      </c>
      <c r="K210">
        <f t="shared" si="30"/>
        <v>37.123954345841042</v>
      </c>
      <c r="L210" s="55">
        <f t="shared" si="31"/>
        <v>47.866946595766677</v>
      </c>
      <c r="M210">
        <f t="shared" si="32"/>
        <v>32.408401609768426</v>
      </c>
      <c r="N210" s="76"/>
      <c r="O210" s="52"/>
      <c r="P210" s="52"/>
    </row>
    <row r="211" spans="2:16" x14ac:dyDescent="0.3">
      <c r="C211" s="13">
        <v>45497</v>
      </c>
      <c r="D211" s="53">
        <v>1.66180555555555</v>
      </c>
      <c r="E211" s="15">
        <f t="shared" si="33"/>
        <v>46.933333333333366</v>
      </c>
      <c r="F211" s="15">
        <f t="shared" si="34"/>
        <v>17.266666666666694</v>
      </c>
      <c r="G211" s="50">
        <f t="shared" si="28"/>
        <v>2.7684173069664713</v>
      </c>
      <c r="H211" s="70">
        <f t="shared" si="27"/>
        <v>2.7684173069664713</v>
      </c>
      <c r="I211">
        <f t="shared" si="35"/>
        <v>614.70931157617645</v>
      </c>
      <c r="J211">
        <f t="shared" si="29"/>
        <v>37.354655788088252</v>
      </c>
      <c r="K211">
        <f t="shared" si="30"/>
        <v>37.354655788088252</v>
      </c>
      <c r="L211" s="55">
        <f t="shared" si="31"/>
        <v>48.128256440930215</v>
      </c>
      <c r="M211">
        <f t="shared" si="32"/>
        <v>32.465221983877875</v>
      </c>
      <c r="N211" s="76"/>
      <c r="O211" s="52"/>
      <c r="P211" s="52"/>
    </row>
    <row r="212" spans="2:16" x14ac:dyDescent="0.3">
      <c r="C212" s="13">
        <v>45497</v>
      </c>
      <c r="D212" s="53">
        <v>1.6652777777777701</v>
      </c>
      <c r="E212" s="15">
        <f t="shared" si="33"/>
        <v>47.016666666666694</v>
      </c>
      <c r="F212" s="15">
        <f t="shared" si="34"/>
        <v>17.350000000000026</v>
      </c>
      <c r="G212" s="50">
        <f t="shared" si="28"/>
        <v>2.7753470087518997</v>
      </c>
      <c r="H212" s="70">
        <f t="shared" si="27"/>
        <v>2.7753470087518997</v>
      </c>
      <c r="I212">
        <f t="shared" si="35"/>
        <v>615.17186941096838</v>
      </c>
      <c r="J212">
        <f t="shared" si="29"/>
        <v>37.585934705484242</v>
      </c>
      <c r="K212">
        <f t="shared" si="30"/>
        <v>37.585934705484242</v>
      </c>
      <c r="L212" s="55">
        <f t="shared" si="31"/>
        <v>48.389826919827556</v>
      </c>
      <c r="M212">
        <f t="shared" si="32"/>
        <v>32.52209903134478</v>
      </c>
      <c r="N212" s="76"/>
      <c r="O212" s="52"/>
      <c r="P212" s="52"/>
    </row>
    <row r="213" spans="2:16" x14ac:dyDescent="0.3">
      <c r="C213" s="13">
        <v>45497</v>
      </c>
      <c r="D213" s="53">
        <v>1.66875</v>
      </c>
      <c r="E213" s="15">
        <f t="shared" si="33"/>
        <v>47.100000000000023</v>
      </c>
      <c r="F213" s="15">
        <f t="shared" si="34"/>
        <v>17.433333333333358</v>
      </c>
      <c r="G213" s="50">
        <f t="shared" si="28"/>
        <v>2.7822940564651675</v>
      </c>
      <c r="H213" s="70">
        <f t="shared" si="27"/>
        <v>2.7822940564651675</v>
      </c>
      <c r="I213">
        <f t="shared" si="35"/>
        <v>615.63558508704591</v>
      </c>
      <c r="J213">
        <f t="shared" si="29"/>
        <v>37.817792543523005</v>
      </c>
      <c r="K213">
        <f t="shared" si="30"/>
        <v>37.817792543523005</v>
      </c>
      <c r="L213" s="55">
        <f t="shared" si="31"/>
        <v>48.651657603962732</v>
      </c>
      <c r="M213">
        <f t="shared" si="32"/>
        <v>32.579032658995061</v>
      </c>
      <c r="N213" s="76"/>
      <c r="O213" s="52"/>
      <c r="P213" s="52"/>
    </row>
    <row r="214" spans="2:16" x14ac:dyDescent="0.3">
      <c r="B214" s="56"/>
      <c r="C214" s="13">
        <v>45497</v>
      </c>
      <c r="D214" s="53">
        <v>1.6722222222222201</v>
      </c>
      <c r="E214" s="15">
        <f t="shared" si="33"/>
        <v>47.183333333333358</v>
      </c>
      <c r="F214" s="15">
        <f t="shared" si="34"/>
        <v>17.516666666666691</v>
      </c>
      <c r="G214" s="50">
        <f t="shared" si="28"/>
        <v>2.7892584935253448</v>
      </c>
      <c r="H214" s="70">
        <f t="shared" si="27"/>
        <v>2.7892584935253448</v>
      </c>
      <c r="I214">
        <f t="shared" si="35"/>
        <v>616.10046150263349</v>
      </c>
      <c r="J214">
        <f t="shared" si="29"/>
        <v>38.050230751316782</v>
      </c>
      <c r="K214">
        <f t="shared" si="30"/>
        <v>38.050230751316782</v>
      </c>
      <c r="L214" s="55">
        <f t="shared" si="31"/>
        <v>48.913748062358948</v>
      </c>
      <c r="M214">
        <f t="shared" si="32"/>
        <v>32.636022773115215</v>
      </c>
      <c r="N214" s="76"/>
      <c r="O214" s="52"/>
      <c r="P214" s="52"/>
    </row>
    <row r="215" spans="2:16" x14ac:dyDescent="0.3">
      <c r="C215" s="13">
        <v>45497</v>
      </c>
      <c r="D215" s="53">
        <v>1.6756944444444399</v>
      </c>
      <c r="E215" s="15">
        <f t="shared" si="33"/>
        <v>47.266666666666694</v>
      </c>
      <c r="F215" s="15">
        <f t="shared" si="34"/>
        <v>17.600000000000023</v>
      </c>
      <c r="G215" s="50">
        <f t="shared" si="28"/>
        <v>2.7962403634601865</v>
      </c>
      <c r="H215" s="70">
        <f t="shared" si="27"/>
        <v>2.7962403634601865</v>
      </c>
      <c r="I215">
        <f t="shared" si="35"/>
        <v>616.56650156321018</v>
      </c>
      <c r="J215">
        <f t="shared" si="29"/>
        <v>38.283250781605133</v>
      </c>
      <c r="K215">
        <f t="shared" si="30"/>
        <v>38.283250781605133</v>
      </c>
      <c r="L215" s="55">
        <f t="shared" si="31"/>
        <v>49.176097861558631</v>
      </c>
      <c r="M215">
        <f t="shared" si="32"/>
        <v>32.693069279452303</v>
      </c>
      <c r="N215" s="76"/>
      <c r="O215" s="52"/>
      <c r="P215" s="52"/>
    </row>
    <row r="216" spans="2:16" x14ac:dyDescent="0.3">
      <c r="C216" s="13">
        <v>45497</v>
      </c>
      <c r="D216" s="53">
        <v>1.67916666666666</v>
      </c>
      <c r="E216" s="15">
        <f t="shared" si="33"/>
        <v>47.350000000000023</v>
      </c>
      <c r="F216" s="15">
        <f t="shared" si="34"/>
        <v>17.683333333333355</v>
      </c>
      <c r="G216" s="50">
        <f t="shared" si="28"/>
        <v>2.8032397099064017</v>
      </c>
      <c r="H216" s="70">
        <f t="shared" si="27"/>
        <v>2.8032397099064017</v>
      </c>
      <c r="I216">
        <f t="shared" si="35"/>
        <v>617.03370818152791</v>
      </c>
      <c r="J216">
        <f t="shared" si="29"/>
        <v>38.516854090763999</v>
      </c>
      <c r="K216">
        <f t="shared" si="30"/>
        <v>38.516854090763999</v>
      </c>
      <c r="L216" s="55">
        <f t="shared" si="31"/>
        <v>49.438706565623448</v>
      </c>
      <c r="M216">
        <f t="shared" si="32"/>
        <v>32.750172083213954</v>
      </c>
      <c r="N216" s="76"/>
      <c r="O216" s="52"/>
      <c r="P216" s="52"/>
    </row>
    <row r="217" spans="2:16" x14ac:dyDescent="0.3">
      <c r="C217" s="13">
        <v>45497</v>
      </c>
      <c r="D217" s="53">
        <v>1.6826388888888899</v>
      </c>
      <c r="E217" s="15">
        <f t="shared" si="33"/>
        <v>47.433333333333351</v>
      </c>
      <c r="F217" s="15">
        <f t="shared" si="34"/>
        <v>17.766666666666687</v>
      </c>
      <c r="G217" s="50">
        <f t="shared" si="28"/>
        <v>2.8102565766099294</v>
      </c>
      <c r="H217" s="70">
        <f t="shared" si="27"/>
        <v>2.8102565766099294</v>
      </c>
      <c r="I217">
        <f t="shared" si="35"/>
        <v>617.50208427762959</v>
      </c>
      <c r="J217">
        <f t="shared" si="29"/>
        <v>38.751042138814825</v>
      </c>
      <c r="K217">
        <f t="shared" si="30"/>
        <v>38.751042138814825</v>
      </c>
      <c r="L217" s="55">
        <f t="shared" si="31"/>
        <v>49.701573736134492</v>
      </c>
      <c r="M217">
        <f t="shared" si="32"/>
        <v>32.807331089068413</v>
      </c>
      <c r="N217" s="76"/>
      <c r="O217" s="52"/>
      <c r="P217" s="52"/>
    </row>
    <row r="218" spans="2:16" x14ac:dyDescent="0.3">
      <c r="C218" s="13">
        <v>45497</v>
      </c>
      <c r="D218" s="53">
        <v>1.68611111111111</v>
      </c>
      <c r="E218" s="15">
        <f t="shared" si="33"/>
        <v>47.516666666666687</v>
      </c>
      <c r="F218" s="15">
        <f t="shared" si="34"/>
        <v>17.850000000000019</v>
      </c>
      <c r="G218" s="50">
        <f t="shared" si="28"/>
        <v>2.817291007426209</v>
      </c>
      <c r="H218" s="70">
        <f t="shared" si="27"/>
        <v>2.817291007426209</v>
      </c>
      <c r="I218">
        <f t="shared" si="35"/>
        <v>617.97163277886727</v>
      </c>
      <c r="J218">
        <f t="shared" si="29"/>
        <v>38.985816389433673</v>
      </c>
      <c r="K218">
        <f t="shared" si="30"/>
        <v>38.985816389433673</v>
      </c>
      <c r="L218" s="55">
        <f t="shared" si="31"/>
        <v>49.964698932192412</v>
      </c>
      <c r="M218">
        <f t="shared" si="32"/>
        <v>32.864546201144563</v>
      </c>
      <c r="N218" s="76"/>
      <c r="O218" s="52"/>
      <c r="P218" s="52"/>
    </row>
    <row r="219" spans="2:16" x14ac:dyDescent="0.3">
      <c r="C219" s="13">
        <v>45497</v>
      </c>
      <c r="D219" s="53">
        <v>1.6895833333333301</v>
      </c>
      <c r="E219" s="15">
        <f t="shared" si="33"/>
        <v>47.600000000000023</v>
      </c>
      <c r="F219" s="15">
        <f t="shared" si="34"/>
        <v>17.933333333333351</v>
      </c>
      <c r="G219" s="50">
        <f t="shared" si="28"/>
        <v>2.8243430463204557</v>
      </c>
      <c r="H219" s="70">
        <f t="shared" si="27"/>
        <v>2.8243430463204557</v>
      </c>
      <c r="I219">
        <f t="shared" si="35"/>
        <v>618.4423566199207</v>
      </c>
      <c r="J219">
        <f t="shared" si="29"/>
        <v>39.221178309960379</v>
      </c>
      <c r="K219">
        <f t="shared" si="30"/>
        <v>39.221178309960379</v>
      </c>
      <c r="L219" s="55">
        <f t="shared" si="31"/>
        <v>50.228081710417634</v>
      </c>
      <c r="M219">
        <f t="shared" si="32"/>
        <v>32.921817323031974</v>
      </c>
      <c r="N219" s="76"/>
      <c r="O219" s="52"/>
      <c r="P219" s="52"/>
    </row>
    <row r="220" spans="2:16" x14ac:dyDescent="0.3">
      <c r="C220" s="13">
        <v>45497</v>
      </c>
      <c r="D220" s="53">
        <v>1.69305555555555</v>
      </c>
      <c r="E220" s="15">
        <f t="shared" si="33"/>
        <v>47.683333333333351</v>
      </c>
      <c r="F220" s="15">
        <f t="shared" si="34"/>
        <v>18.016666666666683</v>
      </c>
      <c r="G220" s="50">
        <f t="shared" si="28"/>
        <v>2.8314127373679359</v>
      </c>
      <c r="H220" s="70">
        <f t="shared" si="27"/>
        <v>2.8314127373679359</v>
      </c>
      <c r="I220">
        <f t="shared" si="35"/>
        <v>618.91425874281538</v>
      </c>
      <c r="J220">
        <f t="shared" si="29"/>
        <v>39.45712937140771</v>
      </c>
      <c r="K220">
        <f t="shared" si="30"/>
        <v>39.45712937140771</v>
      </c>
      <c r="L220" s="55">
        <f t="shared" si="31"/>
        <v>50.491721624950635</v>
      </c>
      <c r="M220">
        <f t="shared" si="32"/>
        <v>32.979144357780982</v>
      </c>
      <c r="N220" s="76"/>
      <c r="O220" s="52"/>
      <c r="P220" s="52"/>
    </row>
    <row r="221" spans="2:16" x14ac:dyDescent="0.3">
      <c r="C221" s="13">
        <v>45497</v>
      </c>
      <c r="D221" s="53">
        <v>1.6965277777777701</v>
      </c>
      <c r="E221" s="15">
        <f t="shared" si="33"/>
        <v>47.76666666666668</v>
      </c>
      <c r="F221" s="15">
        <f t="shared" si="34"/>
        <v>18.100000000000016</v>
      </c>
      <c r="G221" s="50">
        <f t="shared" si="28"/>
        <v>2.8385001247542414</v>
      </c>
      <c r="H221" s="70">
        <f t="shared" si="27"/>
        <v>2.8385001247542414</v>
      </c>
      <c r="I221">
        <f t="shared" si="35"/>
        <v>619.3873420969411</v>
      </c>
      <c r="J221">
        <f t="shared" si="29"/>
        <v>39.693671048470563</v>
      </c>
      <c r="K221">
        <f t="shared" si="30"/>
        <v>39.693671048470563</v>
      </c>
      <c r="L221" s="55">
        <f t="shared" si="31"/>
        <v>50.75561822745221</v>
      </c>
      <c r="M221">
        <f t="shared" si="32"/>
        <v>33.036527207902715</v>
      </c>
      <c r="N221" s="76"/>
      <c r="O221" s="52"/>
      <c r="P221" s="52"/>
    </row>
    <row r="222" spans="2:16" x14ac:dyDescent="0.3">
      <c r="C222" s="13">
        <v>45497</v>
      </c>
      <c r="D222" s="53">
        <v>1.7</v>
      </c>
      <c r="E222" s="15">
        <f t="shared" si="33"/>
        <v>47.850000000000016</v>
      </c>
      <c r="F222" s="15">
        <f t="shared" si="34"/>
        <v>18.183333333333348</v>
      </c>
      <c r="G222" s="50">
        <f t="shared" si="28"/>
        <v>2.8456052527755662</v>
      </c>
      <c r="H222" s="70">
        <f t="shared" si="27"/>
        <v>2.8456052527755662</v>
      </c>
      <c r="I222">
        <f t="shared" si="35"/>
        <v>619.86160963907037</v>
      </c>
      <c r="J222">
        <f t="shared" si="29"/>
        <v>39.93080481953519</v>
      </c>
      <c r="K222">
        <f t="shared" si="30"/>
        <v>39.93080481953519</v>
      </c>
      <c r="L222" s="55">
        <f t="shared" si="31"/>
        <v>51.019771067103861</v>
      </c>
      <c r="M222">
        <f t="shared" si="32"/>
        <v>33.093965775369192</v>
      </c>
      <c r="N222" s="76"/>
      <c r="O222" s="52"/>
      <c r="P222" s="52"/>
    </row>
    <row r="223" spans="2:16" x14ac:dyDescent="0.3">
      <c r="C223" s="13">
        <v>45497</v>
      </c>
      <c r="D223" s="53">
        <v>1.7034722222222201</v>
      </c>
      <c r="E223" s="15">
        <f t="shared" si="33"/>
        <v>47.933333333333351</v>
      </c>
      <c r="F223" s="15">
        <f t="shared" si="34"/>
        <v>18.26666666666668</v>
      </c>
      <c r="G223" s="50">
        <f t="shared" si="28"/>
        <v>2.8527281658389843</v>
      </c>
      <c r="H223" s="70">
        <f t="shared" si="27"/>
        <v>2.8527281658389843</v>
      </c>
      <c r="I223">
        <f t="shared" si="35"/>
        <v>620.33706433337682</v>
      </c>
      <c r="J223">
        <f t="shared" si="29"/>
        <v>40.168532166688436</v>
      </c>
      <c r="K223">
        <f t="shared" si="30"/>
        <v>40.168532166688436</v>
      </c>
      <c r="L223" s="55">
        <f t="shared" si="31"/>
        <v>51.284179690608156</v>
      </c>
      <c r="M223">
        <f t="shared" si="32"/>
        <v>33.151459961613405</v>
      </c>
      <c r="N223" s="76"/>
      <c r="O223" s="52"/>
      <c r="P223" s="52"/>
    </row>
    <row r="224" spans="2:16" x14ac:dyDescent="0.3">
      <c r="C224" s="13">
        <v>45497</v>
      </c>
      <c r="D224" s="53">
        <v>1.7069444444444399</v>
      </c>
      <c r="E224" s="15">
        <f t="shared" si="33"/>
        <v>48.01666666666668</v>
      </c>
      <c r="F224" s="15">
        <f t="shared" si="34"/>
        <v>18.350000000000012</v>
      </c>
      <c r="G224" s="50">
        <f t="shared" si="28"/>
        <v>2.8598689084627247</v>
      </c>
      <c r="H224" s="70">
        <f t="shared" si="27"/>
        <v>2.8598689084627247</v>
      </c>
      <c r="I224">
        <f t="shared" si="35"/>
        <v>620.81370915145396</v>
      </c>
      <c r="J224">
        <f t="shared" si="29"/>
        <v>40.406854575726996</v>
      </c>
      <c r="K224">
        <f t="shared" si="30"/>
        <v>40.406854575726996</v>
      </c>
      <c r="L224" s="55">
        <f t="shared" si="31"/>
        <v>51.548843642189141</v>
      </c>
      <c r="M224">
        <f t="shared" si="32"/>
        <v>33.209009667529401</v>
      </c>
      <c r="N224" s="76"/>
      <c r="O224" s="52"/>
      <c r="P224" s="52"/>
    </row>
    <row r="225" spans="1:16" x14ac:dyDescent="0.3">
      <c r="C225" s="13">
        <v>45497</v>
      </c>
      <c r="D225" s="53">
        <v>1.71041666666666</v>
      </c>
      <c r="E225" s="15">
        <f t="shared" si="33"/>
        <v>48.100000000000009</v>
      </c>
      <c r="F225" s="15">
        <f t="shared" si="34"/>
        <v>18.433333333333344</v>
      </c>
      <c r="G225" s="50">
        <f t="shared" si="28"/>
        <v>2.8670275252764523</v>
      </c>
      <c r="H225" s="70">
        <f t="shared" si="27"/>
        <v>2.8670275252764523</v>
      </c>
      <c r="I225">
        <f t="shared" si="35"/>
        <v>621.2915470723334</v>
      </c>
      <c r="J225">
        <f t="shared" si="29"/>
        <v>40.645773536166701</v>
      </c>
      <c r="K225">
        <f t="shared" si="30"/>
        <v>40.645773536166701</v>
      </c>
      <c r="L225" s="55">
        <f t="shared" si="31"/>
        <v>51.813762463592901</v>
      </c>
      <c r="M225">
        <f t="shared" si="32"/>
        <v>33.266614793472421</v>
      </c>
      <c r="N225" s="76"/>
      <c r="O225" s="52"/>
      <c r="P225" s="52"/>
    </row>
    <row r="226" spans="1:16" x14ac:dyDescent="0.3">
      <c r="C226" s="13">
        <v>45497</v>
      </c>
      <c r="D226" s="53">
        <v>1.7138888888888899</v>
      </c>
      <c r="E226" s="15">
        <f t="shared" si="33"/>
        <v>48.183333333333344</v>
      </c>
      <c r="F226" s="15">
        <f t="shared" si="34"/>
        <v>18.516666666666676</v>
      </c>
      <c r="G226" s="50">
        <f t="shared" si="28"/>
        <v>2.8742040610215462</v>
      </c>
      <c r="H226" s="70">
        <f t="shared" si="27"/>
        <v>2.8742040610215462</v>
      </c>
      <c r="I226">
        <f t="shared" si="35"/>
        <v>621.77058108250367</v>
      </c>
      <c r="J226">
        <f t="shared" si="29"/>
        <v>40.885290541251827</v>
      </c>
      <c r="K226">
        <f t="shared" si="30"/>
        <v>40.885290541251827</v>
      </c>
      <c r="L226" s="55">
        <f t="shared" si="31"/>
        <v>52.078935694088024</v>
      </c>
      <c r="M226">
        <f t="shared" si="32"/>
        <v>33.324275239258967</v>
      </c>
      <c r="N226" s="76"/>
      <c r="O226" s="52"/>
      <c r="P226" s="52"/>
    </row>
    <row r="227" spans="1:16" x14ac:dyDescent="0.3">
      <c r="C227" s="13">
        <v>45497</v>
      </c>
      <c r="D227" s="53">
        <v>1.71736111111111</v>
      </c>
      <c r="E227" s="15">
        <f t="shared" si="33"/>
        <v>48.26666666666668</v>
      </c>
      <c r="F227" s="15">
        <f t="shared" si="34"/>
        <v>18.600000000000009</v>
      </c>
      <c r="G227" s="50">
        <f t="shared" si="28"/>
        <v>2.8813985605513781</v>
      </c>
      <c r="H227" s="70">
        <f t="shared" si="27"/>
        <v>2.8813985605513781</v>
      </c>
      <c r="I227">
        <f t="shared" si="35"/>
        <v>622.25081417592889</v>
      </c>
      <c r="J227">
        <f t="shared" si="29"/>
        <v>41.12540708796444</v>
      </c>
      <c r="K227">
        <f t="shared" si="30"/>
        <v>41.12540708796444</v>
      </c>
      <c r="L227" s="55">
        <f t="shared" si="31"/>
        <v>52.344362870466185</v>
      </c>
      <c r="M227">
        <f t="shared" si="32"/>
        <v>33.381990904166976</v>
      </c>
      <c r="N227" s="76"/>
      <c r="O227" s="52"/>
      <c r="P227" s="52"/>
    </row>
    <row r="228" spans="1:16" x14ac:dyDescent="0.3">
      <c r="C228" s="13">
        <v>45497</v>
      </c>
      <c r="D228" s="53">
        <v>1.7208333333333301</v>
      </c>
      <c r="E228" s="15">
        <f t="shared" si="33"/>
        <v>48.350000000000009</v>
      </c>
      <c r="F228" s="15">
        <f t="shared" si="34"/>
        <v>18.683333333333341</v>
      </c>
      <c r="G228" s="50">
        <f t="shared" si="28"/>
        <v>2.888611068831592</v>
      </c>
      <c r="H228" s="70">
        <f t="shared" si="27"/>
        <v>2.888611068831592</v>
      </c>
      <c r="I228">
        <f t="shared" si="35"/>
        <v>622.73224935406745</v>
      </c>
      <c r="J228">
        <f t="shared" si="29"/>
        <v>41.366124677033739</v>
      </c>
      <c r="K228">
        <f t="shared" si="30"/>
        <v>41.366124677033739</v>
      </c>
      <c r="L228" s="55">
        <f t="shared" si="31"/>
        <v>52.610043527042762</v>
      </c>
      <c r="M228">
        <f t="shared" si="32"/>
        <v>33.439761686935903</v>
      </c>
      <c r="N228" s="76"/>
      <c r="O228" s="52"/>
      <c r="P228" s="52"/>
    </row>
    <row r="229" spans="1:16" x14ac:dyDescent="0.3">
      <c r="C229" s="13">
        <v>45497</v>
      </c>
      <c r="D229" s="53">
        <v>1.72430555555555</v>
      </c>
      <c r="E229" s="15">
        <f t="shared" si="33"/>
        <v>48.433333333333337</v>
      </c>
      <c r="F229" s="15">
        <f t="shared" si="34"/>
        <v>18.766666666666673</v>
      </c>
      <c r="G229" s="50">
        <f t="shared" si="28"/>
        <v>2.8958416309403896</v>
      </c>
      <c r="H229" s="70">
        <f t="shared" si="27"/>
        <v>2.8958416309403896</v>
      </c>
      <c r="I229">
        <f t="shared" si="35"/>
        <v>623.21488962589081</v>
      </c>
      <c r="J229">
        <f t="shared" si="29"/>
        <v>41.607444812945438</v>
      </c>
      <c r="K229">
        <f t="shared" si="30"/>
        <v>41.607444812945438</v>
      </c>
      <c r="L229" s="55">
        <f t="shared" si="31"/>
        <v>52.875977195657491</v>
      </c>
      <c r="M229">
        <f t="shared" si="32"/>
        <v>33.497587485766907</v>
      </c>
      <c r="N229" s="76"/>
      <c r="O229" s="52"/>
      <c r="P229" s="52"/>
    </row>
    <row r="230" spans="1:16" x14ac:dyDescent="0.3">
      <c r="C230" s="13">
        <v>45497</v>
      </c>
      <c r="D230" s="53">
        <v>1.7277777777777701</v>
      </c>
      <c r="E230" s="15">
        <f t="shared" si="33"/>
        <v>48.516666666666673</v>
      </c>
      <c r="F230" s="15">
        <f t="shared" si="34"/>
        <v>18.850000000000005</v>
      </c>
      <c r="G230" s="50">
        <f t="shared" si="28"/>
        <v>2.9030902920688071</v>
      </c>
      <c r="H230" s="70">
        <f t="shared" si="27"/>
        <v>2.9030902920688071</v>
      </c>
      <c r="I230">
        <f t="shared" si="35"/>
        <v>623.69873800790231</v>
      </c>
      <c r="J230">
        <f t="shared" si="29"/>
        <v>41.849369003951175</v>
      </c>
      <c r="K230">
        <f t="shared" si="30"/>
        <v>41.849369003951175</v>
      </c>
      <c r="L230" s="55">
        <f t="shared" si="31"/>
        <v>53.142163405675191</v>
      </c>
      <c r="M230">
        <f t="shared" si="32"/>
        <v>33.555468198322977</v>
      </c>
      <c r="N230" s="76"/>
      <c r="O230" s="52"/>
      <c r="P230" s="52"/>
    </row>
    <row r="231" spans="1:16" x14ac:dyDescent="0.3">
      <c r="A231" s="56"/>
      <c r="B231" s="56"/>
      <c r="C231" s="13">
        <v>45497</v>
      </c>
      <c r="D231" s="53">
        <v>1.73125</v>
      </c>
      <c r="E231" s="15">
        <f t="shared" si="33"/>
        <v>48.600000000000009</v>
      </c>
      <c r="F231" s="15">
        <f t="shared" si="34"/>
        <v>18.933333333333337</v>
      </c>
      <c r="G231" s="50">
        <f t="shared" si="28"/>
        <v>2.9103570975209996</v>
      </c>
      <c r="H231" s="70">
        <f t="shared" si="27"/>
        <v>2.9103570975209996</v>
      </c>
      <c r="I231">
        <f t="shared" si="35"/>
        <v>624.18379752415581</v>
      </c>
      <c r="J231">
        <f t="shared" si="29"/>
        <v>42.091898762077925</v>
      </c>
      <c r="K231">
        <f t="shared" si="30"/>
        <v>42.091898762077925</v>
      </c>
      <c r="L231" s="55">
        <f t="shared" si="31"/>
        <v>53.408601683986525</v>
      </c>
      <c r="M231">
        <f t="shared" si="32"/>
        <v>33.613403721729121</v>
      </c>
      <c r="N231" s="76"/>
      <c r="O231" s="52"/>
      <c r="P231" s="52"/>
    </row>
    <row r="232" spans="1:16" x14ac:dyDescent="0.3">
      <c r="C232" s="13">
        <v>45497</v>
      </c>
      <c r="D232" s="53">
        <v>1.7347222222222201</v>
      </c>
      <c r="E232" s="15">
        <f t="shared" si="33"/>
        <v>48.683333333333337</v>
      </c>
      <c r="F232" s="15">
        <f t="shared" si="34"/>
        <v>19.016666666666669</v>
      </c>
      <c r="G232" s="50">
        <f t="shared" si="28"/>
        <v>2.9176420927145261</v>
      </c>
      <c r="H232" s="70">
        <f t="shared" si="27"/>
        <v>2.9176420927145261</v>
      </c>
      <c r="I232">
        <f t="shared" si="35"/>
        <v>624.67007120627488</v>
      </c>
      <c r="J232">
        <f t="shared" si="29"/>
        <v>42.33503560313747</v>
      </c>
      <c r="K232">
        <f t="shared" si="30"/>
        <v>42.33503560313747</v>
      </c>
      <c r="L232" s="55">
        <f t="shared" si="31"/>
        <v>53.675291555008762</v>
      </c>
      <c r="M232">
        <f t="shared" si="32"/>
        <v>33.671393952572508</v>
      </c>
      <c r="N232" s="76"/>
      <c r="O232" s="52"/>
      <c r="P232" s="52"/>
    </row>
    <row r="233" spans="1:16" x14ac:dyDescent="0.3">
      <c r="C233" s="13">
        <v>45497</v>
      </c>
      <c r="D233" s="53">
        <v>1.7381944444444399</v>
      </c>
      <c r="E233" s="15">
        <f t="shared" si="33"/>
        <v>48.766666666666666</v>
      </c>
      <c r="F233" s="15">
        <f t="shared" si="34"/>
        <v>19.100000000000001</v>
      </c>
      <c r="G233" s="50">
        <f t="shared" si="28"/>
        <v>2.9249453231806299</v>
      </c>
      <c r="H233" s="70">
        <f t="shared" si="27"/>
        <v>2.9249453231806299</v>
      </c>
      <c r="I233">
        <f t="shared" si="35"/>
        <v>625.15756209347171</v>
      </c>
      <c r="J233">
        <f t="shared" si="29"/>
        <v>42.578781046735855</v>
      </c>
      <c r="K233">
        <f t="shared" si="30"/>
        <v>42.578781046735855</v>
      </c>
      <c r="L233" s="55">
        <f t="shared" si="31"/>
        <v>53.942232540686646</v>
      </c>
      <c r="M233">
        <f t="shared" si="32"/>
        <v>33.729438786902683</v>
      </c>
      <c r="N233" s="76"/>
      <c r="O233" s="52"/>
      <c r="P233" s="52"/>
    </row>
    <row r="234" spans="1:16" x14ac:dyDescent="0.3">
      <c r="B234" s="56" t="s">
        <v>53</v>
      </c>
      <c r="C234" s="13">
        <v>45497</v>
      </c>
      <c r="D234" s="53">
        <v>1.74166666666666</v>
      </c>
      <c r="E234" s="15">
        <f t="shared" si="33"/>
        <v>48.85</v>
      </c>
      <c r="F234" s="15">
        <f t="shared" si="34"/>
        <v>19.183333333333334</v>
      </c>
      <c r="G234" s="50">
        <f t="shared" si="28"/>
        <v>2.9322668345645244</v>
      </c>
      <c r="H234" s="70">
        <f t="shared" si="27"/>
        <v>2.9322668345645244</v>
      </c>
      <c r="I234">
        <f t="shared" si="35"/>
        <v>625.64627323256582</v>
      </c>
      <c r="J234">
        <f t="shared" si="29"/>
        <v>42.823136616282902</v>
      </c>
      <c r="K234">
        <f t="shared" si="30"/>
        <v>42.823136616282902</v>
      </c>
      <c r="L234" s="55">
        <f t="shared" si="31"/>
        <v>54.209424160493327</v>
      </c>
      <c r="M234">
        <f t="shared" si="32"/>
        <v>33.787538120231758</v>
      </c>
      <c r="N234" s="76"/>
      <c r="O234" s="52"/>
      <c r="P234" s="52"/>
    </row>
    <row r="235" spans="1:16" x14ac:dyDescent="0.3">
      <c r="C235" s="13">
        <v>45497</v>
      </c>
      <c r="D235" s="53">
        <v>1.7451388888888899</v>
      </c>
      <c r="E235" s="15">
        <f t="shared" si="33"/>
        <v>48.933333333333337</v>
      </c>
      <c r="F235" s="15">
        <f t="shared" si="34"/>
        <v>19.266666666666666</v>
      </c>
      <c r="G235" s="50">
        <f t="shared" si="28"/>
        <v>2.93960667262568</v>
      </c>
      <c r="H235" s="70">
        <f t="shared" si="27"/>
        <v>2.93960667262568</v>
      </c>
      <c r="I235">
        <f t="shared" si="35"/>
        <v>626.13620767800342</v>
      </c>
      <c r="J235">
        <f t="shared" si="29"/>
        <v>43.068103839001708</v>
      </c>
      <c r="K235">
        <f t="shared" si="30"/>
        <v>43.068103839001708</v>
      </c>
      <c r="L235" s="55">
        <f t="shared" si="31"/>
        <v>54.476865931431206</v>
      </c>
      <c r="M235">
        <f t="shared" si="32"/>
        <v>33.845691847534589</v>
      </c>
      <c r="N235" s="76"/>
      <c r="O235" s="52"/>
      <c r="P235" s="52"/>
    </row>
    <row r="236" spans="1:16" x14ac:dyDescent="0.3">
      <c r="C236" s="13">
        <v>45497</v>
      </c>
      <c r="D236" s="53">
        <v>1.74861111111111</v>
      </c>
      <c r="E236" s="15">
        <f t="shared" si="33"/>
        <v>49.016666666666666</v>
      </c>
      <c r="F236" s="15">
        <f t="shared" si="34"/>
        <v>19.349999999999998</v>
      </c>
      <c r="G236" s="50">
        <f t="shared" si="28"/>
        <v>2.9469648832381088</v>
      </c>
      <c r="H236" s="70">
        <f t="shared" si="27"/>
        <v>2.9469648832381088</v>
      </c>
      <c r="I236">
        <f t="shared" si="35"/>
        <v>626.62736849187638</v>
      </c>
      <c r="J236">
        <f t="shared" si="29"/>
        <v>43.313684245938219</v>
      </c>
      <c r="K236">
        <f t="shared" si="30"/>
        <v>43.313684245938219</v>
      </c>
      <c r="L236" s="55">
        <f t="shared" si="31"/>
        <v>54.744557368033</v>
      </c>
      <c r="M236">
        <f t="shared" si="32"/>
        <v>33.903899863248995</v>
      </c>
      <c r="N236" s="76"/>
      <c r="O236" s="52"/>
      <c r="P236" s="52"/>
    </row>
    <row r="237" spans="1:16" x14ac:dyDescent="0.3">
      <c r="C237" s="13">
        <v>45497</v>
      </c>
      <c r="D237" s="53">
        <v>1.7520833333333301</v>
      </c>
      <c r="E237" s="15">
        <f t="shared" si="33"/>
        <v>49.099999999999994</v>
      </c>
      <c r="F237" s="15">
        <f t="shared" si="34"/>
        <v>19.43333333333333</v>
      </c>
      <c r="G237" s="50">
        <f t="shared" si="28"/>
        <v>2.9543415123906507</v>
      </c>
      <c r="H237" s="70">
        <f t="shared" si="27"/>
        <v>2.9543415123906507</v>
      </c>
      <c r="I237">
        <f t="shared" si="35"/>
        <v>627.11975874394147</v>
      </c>
      <c r="J237">
        <f t="shared" si="29"/>
        <v>43.559879371970773</v>
      </c>
      <c r="K237">
        <f t="shared" si="30"/>
        <v>43.559879371970773</v>
      </c>
      <c r="L237" s="55">
        <f t="shared" si="31"/>
        <v>55.012497982362703</v>
      </c>
      <c r="M237">
        <f t="shared" si="32"/>
        <v>33.962162061276025</v>
      </c>
      <c r="N237" s="76"/>
      <c r="O237" s="52"/>
      <c r="P237" s="52"/>
    </row>
    <row r="238" spans="1:16" x14ac:dyDescent="0.3">
      <c r="C238" s="13">
        <v>45497</v>
      </c>
      <c r="D238" s="53">
        <v>1.75555555555555</v>
      </c>
      <c r="E238" s="15">
        <f t="shared" si="33"/>
        <v>49.18333333333333</v>
      </c>
      <c r="F238" s="15">
        <f t="shared" si="34"/>
        <v>19.516666666666662</v>
      </c>
      <c r="G238" s="50">
        <f t="shared" si="28"/>
        <v>2.9617366061872619</v>
      </c>
      <c r="H238" s="70">
        <f t="shared" si="27"/>
        <v>2.9617366061872619</v>
      </c>
      <c r="I238">
        <f t="shared" si="35"/>
        <v>627.61338151163932</v>
      </c>
      <c r="J238">
        <f t="shared" si="29"/>
        <v>43.806690755819709</v>
      </c>
      <c r="K238">
        <f t="shared" si="30"/>
        <v>43.806690755819709</v>
      </c>
      <c r="L238" s="55">
        <f t="shared" si="31"/>
        <v>55.280687284016736</v>
      </c>
      <c r="M238">
        <f t="shared" si="32"/>
        <v>34.020478334980126</v>
      </c>
      <c r="N238" s="76"/>
      <c r="O238" s="52"/>
      <c r="P238" s="52"/>
    </row>
    <row r="239" spans="1:16" x14ac:dyDescent="0.3">
      <c r="C239" s="13">
        <v>45497</v>
      </c>
      <c r="D239" s="53">
        <v>1.7590277777777701</v>
      </c>
      <c r="E239" s="15">
        <f t="shared" si="33"/>
        <v>49.266666666666666</v>
      </c>
      <c r="F239" s="15">
        <f t="shared" si="34"/>
        <v>19.599999999999994</v>
      </c>
      <c r="G239" s="50">
        <f t="shared" si="28"/>
        <v>2.9691502108473031</v>
      </c>
      <c r="H239" s="70">
        <f t="shared" si="27"/>
        <v>2.9691502108473031</v>
      </c>
      <c r="I239">
        <f t="shared" si="35"/>
        <v>628.10823988011384</v>
      </c>
      <c r="J239">
        <f t="shared" si="29"/>
        <v>44.054119940056985</v>
      </c>
      <c r="K239">
        <f t="shared" si="30"/>
        <v>44.054119940056985</v>
      </c>
      <c r="L239" s="55">
        <f t="shared" si="31"/>
        <v>55.549124780125027</v>
      </c>
      <c r="M239">
        <f t="shared" si="32"/>
        <v>34.078848577189454</v>
      </c>
      <c r="N239" s="76"/>
      <c r="O239" s="52"/>
      <c r="P239" s="52"/>
    </row>
    <row r="240" spans="1:16" x14ac:dyDescent="0.3">
      <c r="C240" s="13">
        <v>45497</v>
      </c>
      <c r="D240" s="53">
        <v>1.7625</v>
      </c>
      <c r="E240" s="15">
        <f t="shared" si="33"/>
        <v>49.349999999999994</v>
      </c>
      <c r="F240" s="15">
        <f t="shared" si="34"/>
        <v>19.683333333333326</v>
      </c>
      <c r="G240" s="50">
        <f t="shared" si="28"/>
        <v>2.9765823727058272</v>
      </c>
      <c r="H240" s="70">
        <f t="shared" si="27"/>
        <v>2.9765823727058272</v>
      </c>
      <c r="I240">
        <f t="shared" si="35"/>
        <v>628.6043369422315</v>
      </c>
      <c r="J240">
        <f t="shared" si="29"/>
        <v>44.302168471115806</v>
      </c>
      <c r="K240">
        <f t="shared" si="30"/>
        <v>44.302168471115806</v>
      </c>
      <c r="L240" s="55">
        <f t="shared" si="31"/>
        <v>55.817809975352176</v>
      </c>
      <c r="M240">
        <f t="shared" si="32"/>
        <v>34.137272680196062</v>
      </c>
      <c r="N240" s="76"/>
      <c r="O240" s="52"/>
      <c r="P240" s="52"/>
    </row>
    <row r="241" spans="2:16" x14ac:dyDescent="0.3">
      <c r="C241" s="13">
        <v>45497</v>
      </c>
      <c r="D241" s="53">
        <v>1.7659722222222201</v>
      </c>
      <c r="E241" s="15">
        <f t="shared" si="33"/>
        <v>49.433333333333323</v>
      </c>
      <c r="F241" s="15">
        <f t="shared" si="34"/>
        <v>19.766666666666659</v>
      </c>
      <c r="G241" s="50">
        <f t="shared" si="28"/>
        <v>2.9840331382138698</v>
      </c>
      <c r="H241" s="70">
        <f t="shared" si="27"/>
        <v>2.9840331382138698</v>
      </c>
      <c r="I241">
        <f t="shared" si="35"/>
        <v>629.10167579860047</v>
      </c>
      <c r="J241">
        <f t="shared" si="29"/>
        <v>44.550837899300298</v>
      </c>
      <c r="K241">
        <f t="shared" si="30"/>
        <v>44.550837899300298</v>
      </c>
      <c r="L241" s="55">
        <f t="shared" si="31"/>
        <v>56.086742371898701</v>
      </c>
      <c r="M241">
        <f t="shared" si="32"/>
        <v>34.195750535756233</v>
      </c>
      <c r="N241" s="76"/>
      <c r="O241" s="52"/>
      <c r="P241" s="52"/>
    </row>
    <row r="242" spans="2:16" x14ac:dyDescent="0.3">
      <c r="C242" s="13">
        <v>45497</v>
      </c>
      <c r="D242" s="53">
        <v>1.7694444444444399</v>
      </c>
      <c r="E242" s="15">
        <f t="shared" si="33"/>
        <v>49.516666666666659</v>
      </c>
      <c r="F242" s="15">
        <f t="shared" si="34"/>
        <v>19.849999999999991</v>
      </c>
      <c r="G242" s="50">
        <f t="shared" si="28"/>
        <v>2.9915025539387403</v>
      </c>
      <c r="H242" s="70">
        <f t="shared" si="27"/>
        <v>2.9915025539387403</v>
      </c>
      <c r="I242">
        <f t="shared" si="35"/>
        <v>629.60025955759022</v>
      </c>
      <c r="J242">
        <f t="shared" si="29"/>
        <v>44.800129778795196</v>
      </c>
      <c r="K242">
        <f t="shared" si="30"/>
        <v>44.800129778795196</v>
      </c>
      <c r="L242" s="55">
        <f t="shared" si="31"/>
        <v>56.355921469502277</v>
      </c>
      <c r="M242">
        <f t="shared" si="32"/>
        <v>34.254282035090696</v>
      </c>
      <c r="N242" s="76"/>
      <c r="O242" s="52"/>
      <c r="P242" s="52"/>
    </row>
    <row r="243" spans="2:16" x14ac:dyDescent="0.3">
      <c r="C243" s="13">
        <v>45497</v>
      </c>
      <c r="D243" s="53">
        <v>1.77291666666666</v>
      </c>
      <c r="E243" s="15">
        <f t="shared" si="33"/>
        <v>49.599999999999994</v>
      </c>
      <c r="F243" s="15">
        <f t="shared" si="34"/>
        <v>19.933333333333323</v>
      </c>
      <c r="G243" s="50">
        <f t="shared" si="28"/>
        <v>2.9989906665643109</v>
      </c>
      <c r="H243" s="70">
        <f t="shared" si="27"/>
        <v>2.9989906665643109</v>
      </c>
      <c r="I243">
        <f t="shared" si="35"/>
        <v>630.10009133535095</v>
      </c>
      <c r="J243">
        <f t="shared" si="29"/>
        <v>45.050045667675555</v>
      </c>
      <c r="K243">
        <f t="shared" si="30"/>
        <v>45.050045667675555</v>
      </c>
      <c r="L243" s="55">
        <f t="shared" si="31"/>
        <v>56.625346765439026</v>
      </c>
      <c r="M243">
        <f t="shared" si="32"/>
        <v>34.312867068884948</v>
      </c>
      <c r="N243" s="76"/>
      <c r="O243" s="52"/>
      <c r="P243" s="52"/>
    </row>
    <row r="244" spans="2:16" x14ac:dyDescent="0.3">
      <c r="C244" s="13">
        <v>45497</v>
      </c>
      <c r="D244" s="53">
        <v>1.7763888888888899</v>
      </c>
      <c r="E244" s="15">
        <f t="shared" si="33"/>
        <v>49.683333333333323</v>
      </c>
      <c r="F244" s="15">
        <f t="shared" si="34"/>
        <v>20.016666666666655</v>
      </c>
      <c r="G244" s="50">
        <f t="shared" si="28"/>
        <v>3.0064975228913093</v>
      </c>
      <c r="H244" s="70">
        <f t="shared" si="27"/>
        <v>3.0064975228913093</v>
      </c>
      <c r="I244">
        <f t="shared" si="35"/>
        <v>630.6011742558328</v>
      </c>
      <c r="J244">
        <f t="shared" si="29"/>
        <v>45.300587127916501</v>
      </c>
      <c r="K244">
        <f t="shared" si="30"/>
        <v>45.300587127916501</v>
      </c>
      <c r="L244" s="55">
        <f t="shared" si="31"/>
        <v>56.895017754524929</v>
      </c>
      <c r="M244">
        <f t="shared" si="32"/>
        <v>34.371505527289521</v>
      </c>
      <c r="N244" s="76"/>
      <c r="O244" s="52"/>
      <c r="P244" s="52"/>
    </row>
    <row r="245" spans="2:16" x14ac:dyDescent="0.3">
      <c r="C245" s="13">
        <v>45497</v>
      </c>
      <c r="D245" s="53">
        <v>1.77986111111111</v>
      </c>
      <c r="E245" s="15">
        <f t="shared" si="33"/>
        <v>49.766666666666652</v>
      </c>
      <c r="F245" s="15">
        <f t="shared" si="34"/>
        <v>20.099999999999987</v>
      </c>
      <c r="G245" s="50">
        <f t="shared" si="28"/>
        <v>3.0140231698376132</v>
      </c>
      <c r="H245" s="70">
        <f t="shared" si="27"/>
        <v>3.0140231698376132</v>
      </c>
      <c r="I245">
        <f t="shared" si="35"/>
        <v>631.10351145080574</v>
      </c>
      <c r="J245">
        <f t="shared" si="29"/>
        <v>45.55175572540297</v>
      </c>
      <c r="K245">
        <f t="shared" si="30"/>
        <v>45.55175572540297</v>
      </c>
      <c r="L245" s="55">
        <f t="shared" si="31"/>
        <v>57.164933929117169</v>
      </c>
      <c r="M245">
        <f t="shared" si="32"/>
        <v>34.430197299920302</v>
      </c>
      <c r="N245" s="76"/>
      <c r="O245" s="52"/>
      <c r="P245" s="52"/>
    </row>
    <row r="246" spans="2:16" x14ac:dyDescent="0.3">
      <c r="C246" s="13">
        <v>45497</v>
      </c>
      <c r="D246" s="53">
        <v>1.7833333333333301</v>
      </c>
      <c r="E246" s="15">
        <f t="shared" si="33"/>
        <v>49.849999999999987</v>
      </c>
      <c r="F246" s="15">
        <f t="shared" si="34"/>
        <v>20.183333333333319</v>
      </c>
      <c r="G246" s="50">
        <f t="shared" si="28"/>
        <v>3.0215676544385399</v>
      </c>
      <c r="H246" s="70">
        <f t="shared" si="27"/>
        <v>3.0215676544385399</v>
      </c>
      <c r="I246">
        <f t="shared" si="35"/>
        <v>631.60710605987879</v>
      </c>
      <c r="J246">
        <f t="shared" si="29"/>
        <v>45.803553029939515</v>
      </c>
      <c r="K246">
        <f t="shared" si="30"/>
        <v>45.803553029939515</v>
      </c>
      <c r="L246" s="55">
        <f t="shared" si="31"/>
        <v>57.435094779115651</v>
      </c>
      <c r="M246">
        <f t="shared" si="32"/>
        <v>34.488942275858861</v>
      </c>
      <c r="N246" s="76"/>
      <c r="O246" s="52"/>
      <c r="P246" s="52"/>
    </row>
    <row r="247" spans="2:16" x14ac:dyDescent="0.3">
      <c r="C247" s="13">
        <v>45497</v>
      </c>
      <c r="D247" s="53">
        <v>1.78680555555555</v>
      </c>
      <c r="E247" s="15">
        <f t="shared" si="33"/>
        <v>49.933333333333323</v>
      </c>
      <c r="F247" s="15">
        <f t="shared" si="34"/>
        <v>20.266666666666652</v>
      </c>
      <c r="G247" s="50">
        <f t="shared" si="28"/>
        <v>3.0291310238471425</v>
      </c>
      <c r="H247" s="70">
        <f t="shared" si="27"/>
        <v>3.0291310238471425</v>
      </c>
      <c r="I247">
        <f t="shared" si="35"/>
        <v>632.11196123052002</v>
      </c>
      <c r="J247">
        <f t="shared" si="29"/>
        <v>46.055980615260111</v>
      </c>
      <c r="K247">
        <f t="shared" si="30"/>
        <v>46.055980615260111</v>
      </c>
      <c r="L247" s="55">
        <f t="shared" si="31"/>
        <v>57.705499791964435</v>
      </c>
      <c r="M247">
        <f t="shared" si="32"/>
        <v>34.547740343652755</v>
      </c>
      <c r="N247" s="76"/>
      <c r="O247" s="52"/>
      <c r="P247" s="52"/>
    </row>
    <row r="248" spans="2:16" x14ac:dyDescent="0.3">
      <c r="B248" s="56"/>
      <c r="C248" s="13">
        <v>45497</v>
      </c>
      <c r="D248" s="53">
        <v>1.7902777777777701</v>
      </c>
      <c r="E248" s="15">
        <f t="shared" si="33"/>
        <v>50.016666666666652</v>
      </c>
      <c r="F248" s="15">
        <f t="shared" si="34"/>
        <v>20.349999999999984</v>
      </c>
      <c r="G248" s="50">
        <f t="shared" si="28"/>
        <v>3.036713325334504</v>
      </c>
      <c r="H248" s="70">
        <f t="shared" si="27"/>
        <v>3.036713325334504</v>
      </c>
      <c r="I248">
        <f t="shared" si="35"/>
        <v>632.6180801180758</v>
      </c>
      <c r="J248">
        <f t="shared" si="29"/>
        <v>46.30904005903799</v>
      </c>
      <c r="K248">
        <f t="shared" si="30"/>
        <v>46.30904005903799</v>
      </c>
      <c r="L248" s="55">
        <f t="shared" si="31"/>
        <v>57.976148452653298</v>
      </c>
      <c r="M248">
        <f t="shared" si="32"/>
        <v>34.606591391315874</v>
      </c>
      <c r="N248" s="76"/>
      <c r="O248" s="52"/>
      <c r="P248" s="52"/>
    </row>
    <row r="249" spans="2:16" x14ac:dyDescent="0.3">
      <c r="C249" s="13">
        <v>45497</v>
      </c>
      <c r="D249" s="53">
        <v>1.79375</v>
      </c>
      <c r="E249" s="15">
        <f t="shared" si="33"/>
        <v>50.09999999999998</v>
      </c>
      <c r="F249" s="15">
        <f t="shared" si="34"/>
        <v>20.433333333333316</v>
      </c>
      <c r="G249" s="50">
        <f t="shared" si="28"/>
        <v>3.0443146062900346</v>
      </c>
      <c r="H249" s="70">
        <f t="shared" si="27"/>
        <v>3.0443146062900346</v>
      </c>
      <c r="I249">
        <f t="shared" si="35"/>
        <v>633.12546588579085</v>
      </c>
      <c r="J249">
        <f t="shared" si="29"/>
        <v>46.562732942895494</v>
      </c>
      <c r="K249">
        <f t="shared" si="30"/>
        <v>46.562732942895494</v>
      </c>
      <c r="L249" s="55">
        <f t="shared" si="31"/>
        <v>58.24704024371934</v>
      </c>
      <c r="M249">
        <f t="shared" si="32"/>
        <v>34.665495306328786</v>
      </c>
      <c r="N249" s="76"/>
      <c r="O249" s="52"/>
      <c r="P249" s="52"/>
    </row>
    <row r="250" spans="2:16" x14ac:dyDescent="0.3">
      <c r="C250" s="13">
        <v>45497</v>
      </c>
      <c r="D250" s="53">
        <v>1.7972222222222201</v>
      </c>
      <c r="E250" s="15">
        <f t="shared" si="33"/>
        <v>50.183333333333316</v>
      </c>
      <c r="F250" s="15">
        <f t="shared" si="34"/>
        <v>20.516666666666648</v>
      </c>
      <c r="G250" s="50">
        <f t="shared" si="28"/>
        <v>3.0519349142217642</v>
      </c>
      <c r="H250" s="70">
        <f t="shared" si="27"/>
        <v>3.0519349142217642</v>
      </c>
      <c r="I250">
        <f t="shared" si="35"/>
        <v>633.63412170482786</v>
      </c>
      <c r="J250">
        <f t="shared" si="29"/>
        <v>46.817060852413974</v>
      </c>
      <c r="K250">
        <f t="shared" si="30"/>
        <v>46.817060852413974</v>
      </c>
      <c r="L250" s="55">
        <f t="shared" si="31"/>
        <v>58.518174645248635</v>
      </c>
      <c r="M250">
        <f t="shared" si="32"/>
        <v>34.724451975639106</v>
      </c>
      <c r="N250" s="76"/>
      <c r="O250" s="52"/>
      <c r="P250" s="52"/>
    </row>
    <row r="251" spans="2:16" x14ac:dyDescent="0.3">
      <c r="C251" s="13">
        <v>45497</v>
      </c>
      <c r="D251" s="53">
        <v>1.8006944444444399</v>
      </c>
      <c r="E251" s="15">
        <f t="shared" si="33"/>
        <v>50.266666666666652</v>
      </c>
      <c r="F251" s="15">
        <f t="shared" si="34"/>
        <v>20.59999999999998</v>
      </c>
      <c r="G251" s="50">
        <f t="shared" si="28"/>
        <v>3.0595742967566424</v>
      </c>
      <c r="H251" s="70">
        <f t="shared" si="27"/>
        <v>3.0595742967566424</v>
      </c>
      <c r="I251">
        <f t="shared" si="35"/>
        <v>634.14405075428726</v>
      </c>
      <c r="J251">
        <f t="shared" si="29"/>
        <v>47.072025377143696</v>
      </c>
      <c r="K251">
        <f t="shared" si="30"/>
        <v>47.072025377143696</v>
      </c>
      <c r="L251" s="55">
        <f t="shared" si="31"/>
        <v>58.789551134877911</v>
      </c>
      <c r="M251">
        <f t="shared" si="32"/>
        <v>34.783461285661822</v>
      </c>
      <c r="N251" s="76"/>
      <c r="O251" s="52"/>
      <c r="P251" s="52"/>
    </row>
    <row r="252" spans="2:16" x14ac:dyDescent="0.3">
      <c r="C252" s="13">
        <v>45497</v>
      </c>
      <c r="D252" s="53">
        <v>1.80416666666666</v>
      </c>
      <c r="E252" s="15">
        <f t="shared" si="33"/>
        <v>50.34999999999998</v>
      </c>
      <c r="F252" s="15">
        <f t="shared" si="34"/>
        <v>20.683333333333312</v>
      </c>
      <c r="G252" s="50">
        <f t="shared" si="28"/>
        <v>3.0672328016408352</v>
      </c>
      <c r="H252" s="70">
        <f t="shared" si="27"/>
        <v>3.0672328016408352</v>
      </c>
      <c r="I252">
        <f t="shared" si="35"/>
        <v>634.65525622122743</v>
      </c>
      <c r="J252">
        <f t="shared" si="29"/>
        <v>47.327628110613766</v>
      </c>
      <c r="K252">
        <f t="shared" si="30"/>
        <v>47.327628110613766</v>
      </c>
      <c r="L252" s="55">
        <f t="shared" si="31"/>
        <v>59.061169187796224</v>
      </c>
      <c r="M252">
        <f t="shared" si="32"/>
        <v>34.842523122279729</v>
      </c>
      <c r="N252" s="76"/>
      <c r="O252" s="52"/>
      <c r="P252" s="52"/>
    </row>
    <row r="253" spans="2:16" x14ac:dyDescent="0.3">
      <c r="C253" s="13">
        <v>45497</v>
      </c>
      <c r="D253" s="53">
        <v>1.8076388888888899</v>
      </c>
      <c r="E253" s="15">
        <f t="shared" si="33"/>
        <v>50.433333333333309</v>
      </c>
      <c r="F253" s="15">
        <f t="shared" si="34"/>
        <v>20.766666666666644</v>
      </c>
      <c r="G253" s="50">
        <f t="shared" si="28"/>
        <v>3.0749104767400222</v>
      </c>
      <c r="H253" s="70">
        <f t="shared" si="27"/>
        <v>3.0749104767400222</v>
      </c>
      <c r="I253">
        <f t="shared" si="35"/>
        <v>635.16774130068416</v>
      </c>
      <c r="J253">
        <f t="shared" si="29"/>
        <v>47.583870650342099</v>
      </c>
      <c r="K253">
        <f t="shared" si="30"/>
        <v>47.583870650342099</v>
      </c>
      <c r="L253" s="55">
        <f t="shared" si="31"/>
        <v>59.333028276746845</v>
      </c>
      <c r="M253">
        <f t="shared" si="32"/>
        <v>34.901637370843765</v>
      </c>
      <c r="N253" s="76"/>
      <c r="O253" s="52"/>
      <c r="P253" s="52"/>
    </row>
    <row r="254" spans="2:16" x14ac:dyDescent="0.3">
      <c r="C254" s="13">
        <v>45497</v>
      </c>
      <c r="D254" s="53">
        <v>1.81111111111111</v>
      </c>
      <c r="E254" s="15">
        <f t="shared" si="33"/>
        <v>50.516666666666644</v>
      </c>
      <c r="F254" s="15">
        <f t="shared" si="34"/>
        <v>20.849999999999977</v>
      </c>
      <c r="G254" s="50">
        <f t="shared" si="28"/>
        <v>3.0826073700396988</v>
      </c>
      <c r="H254" s="70">
        <f t="shared" si="27"/>
        <v>3.0826073700396988</v>
      </c>
      <c r="I254">
        <f t="shared" si="35"/>
        <v>635.68150919569075</v>
      </c>
      <c r="J254">
        <f t="shared" si="29"/>
        <v>47.840754597845411</v>
      </c>
      <c r="K254">
        <f t="shared" si="30"/>
        <v>47.840754597845411</v>
      </c>
      <c r="L254" s="55">
        <f t="shared" si="31"/>
        <v>59.605127872029023</v>
      </c>
      <c r="M254">
        <f t="shared" si="32"/>
        <v>34.960803916173454</v>
      </c>
      <c r="N254" s="76"/>
      <c r="O254" s="52"/>
      <c r="P254" s="52"/>
    </row>
    <row r="255" spans="2:16" x14ac:dyDescent="0.3">
      <c r="C255" s="13">
        <v>45497</v>
      </c>
      <c r="D255" s="53">
        <v>1.8145833333333301</v>
      </c>
      <c r="E255" s="15">
        <f t="shared" si="33"/>
        <v>50.59999999999998</v>
      </c>
      <c r="F255" s="15">
        <f t="shared" si="34"/>
        <v>20.933333333333309</v>
      </c>
      <c r="G255" s="50">
        <f t="shared" si="28"/>
        <v>3.0903235296454725</v>
      </c>
      <c r="H255" s="70">
        <f t="shared" si="27"/>
        <v>3.0903235296454725</v>
      </c>
      <c r="I255">
        <f t="shared" si="35"/>
        <v>636.1965631172983</v>
      </c>
      <c r="J255">
        <f t="shared" si="29"/>
        <v>48.098281558649198</v>
      </c>
      <c r="K255">
        <f t="shared" si="30"/>
        <v>48.098281558649198</v>
      </c>
      <c r="L255" s="55">
        <f t="shared" si="31"/>
        <v>59.877467441499867</v>
      </c>
      <c r="M255">
        <f t="shared" si="32"/>
        <v>35.020022642557279</v>
      </c>
      <c r="N255" s="76"/>
      <c r="O255" s="52"/>
      <c r="P255" s="52"/>
    </row>
    <row r="256" spans="2:16" x14ac:dyDescent="0.3">
      <c r="C256" s="13">
        <v>45497</v>
      </c>
      <c r="D256" s="53">
        <v>1.81805555555555</v>
      </c>
      <c r="E256" s="15">
        <f t="shared" si="33"/>
        <v>50.683333333333309</v>
      </c>
      <c r="F256" s="15">
        <f t="shared" si="34"/>
        <v>21.016666666666641</v>
      </c>
      <c r="G256" s="50">
        <f t="shared" si="28"/>
        <v>3.0980590037833662</v>
      </c>
      <c r="H256" s="70">
        <f t="shared" si="27"/>
        <v>3.0980590037833662</v>
      </c>
      <c r="I256">
        <f t="shared" si="35"/>
        <v>636.71290628459553</v>
      </c>
      <c r="J256">
        <f t="shared" si="29"/>
        <v>48.356453142297809</v>
      </c>
      <c r="K256">
        <f t="shared" si="30"/>
        <v>48.356453142297809</v>
      </c>
      <c r="L256" s="55">
        <f t="shared" si="31"/>
        <v>60.150046450576284</v>
      </c>
      <c r="M256">
        <f t="shared" si="32"/>
        <v>35.079293433753122</v>
      </c>
      <c r="N256" s="76"/>
      <c r="O256" s="52"/>
      <c r="P256" s="52"/>
    </row>
    <row r="257" spans="1:16" x14ac:dyDescent="0.3">
      <c r="C257" s="13">
        <v>45497</v>
      </c>
      <c r="D257" s="53">
        <v>1.8215277777777701</v>
      </c>
      <c r="E257" s="15">
        <f t="shared" si="33"/>
        <v>50.766666666666637</v>
      </c>
      <c r="F257" s="15">
        <f t="shared" si="34"/>
        <v>21.099999999999973</v>
      </c>
      <c r="G257" s="50">
        <f t="shared" si="28"/>
        <v>3.1058138408001179</v>
      </c>
      <c r="H257" s="70">
        <f t="shared" si="27"/>
        <v>3.1058138408001179</v>
      </c>
      <c r="I257">
        <f t="shared" si="35"/>
        <v>637.23054192472887</v>
      </c>
      <c r="J257">
        <f t="shared" si="29"/>
        <v>48.615270962364484</v>
      </c>
      <c r="K257">
        <f t="shared" si="30"/>
        <v>48.615270962364484</v>
      </c>
      <c r="L257" s="55">
        <f t="shared" si="31"/>
        <v>60.422864362236979</v>
      </c>
      <c r="M257">
        <f t="shared" si="32"/>
        <v>35.138616172988677</v>
      </c>
      <c r="N257" s="76"/>
      <c r="O257" s="52"/>
      <c r="P257" s="52"/>
    </row>
    <row r="258" spans="1:16" x14ac:dyDescent="0.3">
      <c r="C258" s="13">
        <v>45497</v>
      </c>
      <c r="D258" s="53">
        <v>1.825</v>
      </c>
      <c r="E258" s="15">
        <f t="shared" si="33"/>
        <v>50.849999999999973</v>
      </c>
      <c r="F258" s="15">
        <f t="shared" si="34"/>
        <v>21.183333333333305</v>
      </c>
      <c r="G258" s="50">
        <f t="shared" si="28"/>
        <v>3.1135880891634851</v>
      </c>
      <c r="H258" s="70">
        <f t="shared" si="27"/>
        <v>3.1135880891634851</v>
      </c>
      <c r="I258">
        <f t="shared" si="35"/>
        <v>637.74947327292273</v>
      </c>
      <c r="J258">
        <f t="shared" si="29"/>
        <v>48.874736636461442</v>
      </c>
      <c r="K258">
        <f t="shared" si="30"/>
        <v>48.874736636461442</v>
      </c>
      <c r="L258" s="55">
        <f t="shared" si="31"/>
        <v>60.695920637024422</v>
      </c>
      <c r="M258">
        <f t="shared" si="32"/>
        <v>35.197990742961906</v>
      </c>
      <c r="N258" s="76"/>
      <c r="O258" s="52"/>
      <c r="P258" s="52"/>
    </row>
    <row r="259" spans="1:16" x14ac:dyDescent="0.3">
      <c r="C259" s="13">
        <v>45497</v>
      </c>
      <c r="D259" s="53">
        <v>1.8284722222222201</v>
      </c>
      <c r="E259" s="15">
        <f t="shared" si="33"/>
        <v>50.933333333333309</v>
      </c>
      <c r="F259" s="15">
        <f t="shared" si="34"/>
        <v>21.266666666666637</v>
      </c>
      <c r="G259" s="50">
        <f t="shared" si="28"/>
        <v>3.1213817974625453</v>
      </c>
      <c r="H259" s="70">
        <f t="shared" si="27"/>
        <v>3.1213817974625453</v>
      </c>
      <c r="I259">
        <f t="shared" si="35"/>
        <v>638.26970357249979</v>
      </c>
      <c r="J259">
        <f t="shared" si="29"/>
        <v>49.134851786249989</v>
      </c>
      <c r="K259">
        <f t="shared" si="30"/>
        <v>49.134851786249989</v>
      </c>
      <c r="L259" s="55">
        <f t="shared" si="31"/>
        <v>60.969214733046968</v>
      </c>
      <c r="M259">
        <f t="shared" si="32"/>
        <v>35.257417025841477</v>
      </c>
      <c r="N259" s="76"/>
      <c r="O259" s="52"/>
      <c r="P259" s="52"/>
    </row>
    <row r="260" spans="1:16" x14ac:dyDescent="0.3">
      <c r="C260" s="13">
        <v>45497</v>
      </c>
      <c r="D260" s="53">
        <v>1.8319444444444399</v>
      </c>
      <c r="E260" s="15">
        <f t="shared" si="33"/>
        <v>51.016666666666637</v>
      </c>
      <c r="F260" s="15">
        <f t="shared" si="34"/>
        <v>21.349999999999969</v>
      </c>
      <c r="G260" s="50">
        <f t="shared" si="28"/>
        <v>3.1291950144079994</v>
      </c>
      <c r="H260" s="70">
        <f t="shared" ref="H260:H323" si="36">G260</f>
        <v>3.1291950144079994</v>
      </c>
      <c r="I260">
        <f t="shared" si="35"/>
        <v>638.79123607490112</v>
      </c>
      <c r="J260">
        <f t="shared" si="29"/>
        <v>49.395618037450653</v>
      </c>
      <c r="K260">
        <f t="shared" si="30"/>
        <v>49.395618037450653</v>
      </c>
      <c r="L260" s="55">
        <f t="shared" si="31"/>
        <v>61.242746105980956</v>
      </c>
      <c r="M260">
        <f t="shared" si="32"/>
        <v>35.316894903267233</v>
      </c>
      <c r="N260" s="76"/>
      <c r="O260" s="52"/>
      <c r="P260" s="52"/>
    </row>
    <row r="261" spans="1:16" x14ac:dyDescent="0.3">
      <c r="C261" s="13">
        <v>45497</v>
      </c>
      <c r="D261" s="53">
        <v>1.83541666666666</v>
      </c>
      <c r="E261" s="15">
        <f t="shared" si="33"/>
        <v>51.099999999999966</v>
      </c>
      <c r="F261" s="15">
        <f t="shared" si="34"/>
        <v>21.433333333333302</v>
      </c>
      <c r="G261" s="50">
        <f t="shared" ref="G261:G324" si="37">$G$4*EXP($T$1*F261)</f>
        <v>3.1370277888324805</v>
      </c>
      <c r="H261" s="70">
        <f t="shared" si="36"/>
        <v>3.1370277888324805</v>
      </c>
      <c r="I261">
        <f t="shared" si="35"/>
        <v>639.3140740397065</v>
      </c>
      <c r="J261">
        <f t="shared" ref="J261:J297" si="38">J260+G261*5/60</f>
        <v>49.657037019853362</v>
      </c>
      <c r="K261">
        <f t="shared" ref="K261:K324" si="39">J261</f>
        <v>49.657037019853362</v>
      </c>
      <c r="L261" s="55">
        <f t="shared" ref="L261:L297" si="40">((L260*I260/1000)+(G261*$T$7/1000*5/60))/(I261/1000)</f>
        <v>61.516514209072852</v>
      </c>
      <c r="M261">
        <f t="shared" ref="M261:M297" si="41">(M260*I260+G261*$T$7*$T$6*(5/60))/I261</f>
        <v>35.37642425635066</v>
      </c>
      <c r="N261" s="76"/>
      <c r="O261" s="52"/>
      <c r="P261" s="52"/>
    </row>
    <row r="262" spans="1:16" x14ac:dyDescent="0.3">
      <c r="C262" s="13">
        <v>45497</v>
      </c>
      <c r="D262" s="53">
        <v>1.8388888888888899</v>
      </c>
      <c r="E262" s="15">
        <f t="shared" ref="E262:E325" si="42">$E$3+F262</f>
        <v>51.183333333333302</v>
      </c>
      <c r="F262" s="15">
        <f t="shared" ref="F262:F325" si="43">F261+5/60</f>
        <v>21.516666666666634</v>
      </c>
      <c r="G262" s="50">
        <f t="shared" si="37"/>
        <v>3.1448801696908535</v>
      </c>
      <c r="H262" s="70">
        <f t="shared" si="36"/>
        <v>3.1448801696908535</v>
      </c>
      <c r="I262">
        <f t="shared" ref="I262:I325" si="44">I261+(G262+H262)*5/60</f>
        <v>639.83822073465501</v>
      </c>
      <c r="J262">
        <f t="shared" si="38"/>
        <v>49.919110367327598</v>
      </c>
      <c r="K262">
        <f t="shared" si="39"/>
        <v>49.919110367327598</v>
      </c>
      <c r="L262" s="55">
        <f t="shared" si="40"/>
        <v>61.790518493141505</v>
      </c>
      <c r="M262">
        <f t="shared" si="41"/>
        <v>35.436004965675359</v>
      </c>
      <c r="N262" s="76"/>
      <c r="O262" s="52"/>
      <c r="P262" s="52"/>
    </row>
    <row r="263" spans="1:16" x14ac:dyDescent="0.3">
      <c r="C263" s="13">
        <v>45497</v>
      </c>
      <c r="D263" s="53">
        <v>1.84236111111111</v>
      </c>
      <c r="E263" s="15">
        <f t="shared" si="42"/>
        <v>51.266666666666637</v>
      </c>
      <c r="F263" s="15">
        <f t="shared" si="43"/>
        <v>21.599999999999966</v>
      </c>
      <c r="G263" s="50">
        <f t="shared" si="37"/>
        <v>3.1527522060605238</v>
      </c>
      <c r="H263" s="70">
        <f t="shared" si="36"/>
        <v>3.1527522060605238</v>
      </c>
      <c r="I263">
        <f t="shared" si="44"/>
        <v>640.36367943566506</v>
      </c>
      <c r="J263">
        <f t="shared" si="38"/>
        <v>50.181839717832638</v>
      </c>
      <c r="K263">
        <f t="shared" si="39"/>
        <v>50.181839717832638</v>
      </c>
      <c r="L263" s="55">
        <f t="shared" si="40"/>
        <v>62.064758406580403</v>
      </c>
      <c r="M263">
        <f t="shared" si="41"/>
        <v>35.495636911297574</v>
      </c>
      <c r="N263" s="76"/>
      <c r="O263" s="52"/>
      <c r="P263" s="52"/>
    </row>
    <row r="264" spans="1:16" x14ac:dyDescent="0.3">
      <c r="C264" s="13">
        <v>45497</v>
      </c>
      <c r="D264" s="53">
        <v>1.8458333333333301</v>
      </c>
      <c r="E264" s="15">
        <f t="shared" si="42"/>
        <v>51.349999999999966</v>
      </c>
      <c r="F264" s="15">
        <f t="shared" si="43"/>
        <v>21.683333333333298</v>
      </c>
      <c r="G264" s="50">
        <f t="shared" si="37"/>
        <v>3.1606439471417453</v>
      </c>
      <c r="H264" s="70">
        <f t="shared" si="36"/>
        <v>3.1606439471417453</v>
      </c>
      <c r="I264">
        <f t="shared" si="44"/>
        <v>640.8904534268554</v>
      </c>
      <c r="J264">
        <f t="shared" si="38"/>
        <v>50.445226713427786</v>
      </c>
      <c r="K264">
        <f t="shared" si="39"/>
        <v>50.445226713427786</v>
      </c>
      <c r="L264" s="55">
        <f t="shared" si="40"/>
        <v>62.339233395359962</v>
      </c>
      <c r="M264">
        <f t="shared" si="41"/>
        <v>35.555319972746638</v>
      </c>
      <c r="N264" s="76"/>
      <c r="O264" s="52"/>
      <c r="P264" s="52"/>
    </row>
    <row r="265" spans="1:16" x14ac:dyDescent="0.3">
      <c r="B265" s="56"/>
      <c r="C265" s="13">
        <v>45497</v>
      </c>
      <c r="D265" s="53">
        <v>1.84930555555555</v>
      </c>
      <c r="E265" s="15">
        <f t="shared" si="42"/>
        <v>51.433333333333294</v>
      </c>
      <c r="F265" s="15">
        <f t="shared" si="43"/>
        <v>21.76666666666663</v>
      </c>
      <c r="G265" s="50">
        <f t="shared" si="37"/>
        <v>3.168555442257925</v>
      </c>
      <c r="H265" s="70">
        <f t="shared" si="36"/>
        <v>3.168555442257925</v>
      </c>
      <c r="I265">
        <f t="shared" si="44"/>
        <v>641.41854600056502</v>
      </c>
      <c r="J265">
        <f t="shared" si="38"/>
        <v>50.709273000282614</v>
      </c>
      <c r="K265">
        <f t="shared" si="39"/>
        <v>50.709273000282614</v>
      </c>
      <c r="L265" s="55">
        <f t="shared" si="40"/>
        <v>62.613942903029901</v>
      </c>
      <c r="M265">
        <f t="shared" si="41"/>
        <v>35.615054029025536</v>
      </c>
      <c r="N265" s="76"/>
      <c r="O265" s="52"/>
      <c r="P265" s="52"/>
    </row>
    <row r="266" spans="1:16" x14ac:dyDescent="0.3">
      <c r="C266" s="13">
        <v>45497</v>
      </c>
      <c r="D266" s="53">
        <v>1.8527777777777701</v>
      </c>
      <c r="E266" s="15">
        <f t="shared" si="42"/>
        <v>51.51666666666663</v>
      </c>
      <c r="F266" s="15">
        <f t="shared" si="43"/>
        <v>21.849999999999962</v>
      </c>
      <c r="G266" s="50">
        <f t="shared" si="37"/>
        <v>3.1764867408559327</v>
      </c>
      <c r="H266" s="70">
        <f t="shared" si="36"/>
        <v>3.1764867408559327</v>
      </c>
      <c r="I266">
        <f t="shared" si="44"/>
        <v>641.94796045737439</v>
      </c>
      <c r="J266">
        <f t="shared" si="38"/>
        <v>50.973980228687275</v>
      </c>
      <c r="K266">
        <f t="shared" si="39"/>
        <v>50.973980228687275</v>
      </c>
      <c r="L266" s="55">
        <f t="shared" si="40"/>
        <v>62.888886370721643</v>
      </c>
      <c r="M266">
        <f t="shared" si="41"/>
        <v>35.674838958611396</v>
      </c>
      <c r="N266" s="76"/>
      <c r="O266" s="52"/>
      <c r="P266" s="52"/>
    </row>
    <row r="267" spans="1:16" x14ac:dyDescent="0.3">
      <c r="C267" s="13">
        <v>45497</v>
      </c>
      <c r="D267" s="53">
        <v>1.85625</v>
      </c>
      <c r="E267" s="15">
        <f t="shared" si="42"/>
        <v>51.599999999999966</v>
      </c>
      <c r="F267" s="15">
        <f t="shared" si="43"/>
        <v>21.933333333333294</v>
      </c>
      <c r="G267" s="50">
        <f t="shared" si="37"/>
        <v>3.184437892506411</v>
      </c>
      <c r="H267" s="70">
        <f t="shared" si="36"/>
        <v>3.184437892506411</v>
      </c>
      <c r="I267">
        <f t="shared" si="44"/>
        <v>642.47870010612542</v>
      </c>
      <c r="J267">
        <f t="shared" si="38"/>
        <v>51.239350053062807</v>
      </c>
      <c r="K267">
        <f t="shared" si="39"/>
        <v>51.239350053062807</v>
      </c>
      <c r="L267" s="55">
        <f t="shared" si="40"/>
        <v>63.164063237150799</v>
      </c>
      <c r="M267">
        <f t="shared" si="41"/>
        <v>35.734674639456045</v>
      </c>
      <c r="N267" s="76"/>
      <c r="O267" s="52"/>
      <c r="P267" s="52"/>
    </row>
    <row r="268" spans="1:16" x14ac:dyDescent="0.3">
      <c r="B268" s="56"/>
      <c r="C268" s="13">
        <v>45497</v>
      </c>
      <c r="D268" s="53">
        <v>1.8597222222222201</v>
      </c>
      <c r="E268" s="15">
        <f t="shared" si="42"/>
        <v>51.683333333333294</v>
      </c>
      <c r="F268" s="15">
        <f t="shared" si="43"/>
        <v>22.016666666666627</v>
      </c>
      <c r="G268" s="50">
        <f t="shared" si="37"/>
        <v>3.1924089469040839</v>
      </c>
      <c r="H268" s="70">
        <f t="shared" si="36"/>
        <v>3.1924089469040839</v>
      </c>
      <c r="I268">
        <f t="shared" si="44"/>
        <v>643.01076826394274</v>
      </c>
      <c r="J268">
        <f t="shared" si="38"/>
        <v>51.505384131971482</v>
      </c>
      <c r="K268">
        <f t="shared" si="39"/>
        <v>51.505384131971482</v>
      </c>
      <c r="L268" s="55">
        <f t="shared" si="40"/>
        <v>63.439472938619637</v>
      </c>
      <c r="M268">
        <f t="shared" si="41"/>
        <v>35.79456094898655</v>
      </c>
      <c r="N268" s="76"/>
      <c r="O268" s="52"/>
      <c r="P268" s="52"/>
    </row>
    <row r="269" spans="1:16" x14ac:dyDescent="0.3">
      <c r="A269" s="56"/>
      <c r="B269" s="56"/>
      <c r="C269" s="13">
        <v>45497</v>
      </c>
      <c r="D269" s="53">
        <v>1.8631944444444399</v>
      </c>
      <c r="E269" s="15">
        <f t="shared" si="42"/>
        <v>51.766666666666623</v>
      </c>
      <c r="F269" s="15">
        <f t="shared" si="43"/>
        <v>22.099999999999959</v>
      </c>
      <c r="G269" s="50">
        <f t="shared" si="37"/>
        <v>3.2003999538680663</v>
      </c>
      <c r="H269" s="70">
        <f t="shared" si="36"/>
        <v>3.2003999538680663</v>
      </c>
      <c r="I269">
        <f t="shared" si="44"/>
        <v>643.54416825625412</v>
      </c>
      <c r="J269">
        <f t="shared" si="38"/>
        <v>51.772084128127155</v>
      </c>
      <c r="K269">
        <f t="shared" si="39"/>
        <v>51.772084128127155</v>
      </c>
      <c r="L269" s="55">
        <f t="shared" si="40"/>
        <v>63.715114909019647</v>
      </c>
      <c r="M269">
        <f t="shared" si="41"/>
        <v>35.854497764105751</v>
      </c>
      <c r="N269" s="76"/>
      <c r="O269" s="52"/>
      <c r="P269" s="52"/>
    </row>
    <row r="270" spans="1:16" x14ac:dyDescent="0.3">
      <c r="C270" s="13">
        <v>45497</v>
      </c>
      <c r="D270" s="53">
        <v>1.86666666666666</v>
      </c>
      <c r="E270" s="15">
        <f t="shared" si="42"/>
        <v>51.849999999999959</v>
      </c>
      <c r="F270" s="15">
        <f t="shared" si="43"/>
        <v>22.183333333333291</v>
      </c>
      <c r="G270" s="50">
        <f t="shared" si="37"/>
        <v>3.2084109633421787</v>
      </c>
      <c r="H270" s="70">
        <f t="shared" si="36"/>
        <v>3.2084109633421787</v>
      </c>
      <c r="I270">
        <f t="shared" si="44"/>
        <v>644.07890341681116</v>
      </c>
      <c r="J270">
        <f t="shared" si="38"/>
        <v>52.039451708405672</v>
      </c>
      <c r="K270">
        <f t="shared" si="39"/>
        <v>52.039451708405672</v>
      </c>
      <c r="L270" s="55">
        <f t="shared" si="40"/>
        <v>63.990988579834188</v>
      </c>
      <c r="M270">
        <f t="shared" si="41"/>
        <v>35.914484961192862</v>
      </c>
      <c r="N270" s="76"/>
      <c r="O270" s="52"/>
      <c r="P270" s="52"/>
    </row>
    <row r="271" spans="1:16" x14ac:dyDescent="0.3">
      <c r="C271" s="13">
        <v>45497</v>
      </c>
      <c r="D271" s="53">
        <v>1.8701388888888899</v>
      </c>
      <c r="E271" s="15">
        <f t="shared" si="42"/>
        <v>51.933333333333294</v>
      </c>
      <c r="F271" s="15">
        <f t="shared" si="43"/>
        <v>22.266666666666623</v>
      </c>
      <c r="G271" s="50">
        <f t="shared" si="37"/>
        <v>3.2164420253952564</v>
      </c>
      <c r="H271" s="70">
        <f t="shared" si="36"/>
        <v>3.2164420253952564</v>
      </c>
      <c r="I271">
        <f t="shared" si="44"/>
        <v>644.61497708771037</v>
      </c>
      <c r="J271">
        <f t="shared" si="38"/>
        <v>52.307488543855278</v>
      </c>
      <c r="K271">
        <f t="shared" si="39"/>
        <v>52.307488543855278</v>
      </c>
      <c r="L271" s="55">
        <f t="shared" si="40"/>
        <v>64.267093380141077</v>
      </c>
      <c r="M271">
        <f t="shared" si="41"/>
        <v>35.97452241610403</v>
      </c>
      <c r="N271" s="76"/>
      <c r="O271" s="52"/>
      <c r="P271" s="52"/>
    </row>
    <row r="272" spans="1:16" x14ac:dyDescent="0.3">
      <c r="C272" s="13">
        <v>45497</v>
      </c>
      <c r="D272" s="53">
        <v>1.87361111111111</v>
      </c>
      <c r="E272" s="15">
        <f t="shared" si="42"/>
        <v>52.016666666666623</v>
      </c>
      <c r="F272" s="15">
        <f t="shared" si="43"/>
        <v>22.349999999999955</v>
      </c>
      <c r="G272" s="50">
        <f t="shared" si="37"/>
        <v>3.2244931902214624</v>
      </c>
      <c r="H272" s="70">
        <f t="shared" si="36"/>
        <v>3.2244931902214624</v>
      </c>
      <c r="I272">
        <f t="shared" si="44"/>
        <v>645.15239261941394</v>
      </c>
      <c r="J272">
        <f t="shared" si="38"/>
        <v>52.576196309707065</v>
      </c>
      <c r="K272">
        <f t="shared" si="39"/>
        <v>52.576196309707065</v>
      </c>
      <c r="L272" s="55">
        <f t="shared" si="40"/>
        <v>64.543428736615297</v>
      </c>
      <c r="M272">
        <f t="shared" si="41"/>
        <v>36.034610004172926</v>
      </c>
      <c r="N272" s="76"/>
      <c r="O272" s="52"/>
      <c r="P272" s="52"/>
    </row>
    <row r="273" spans="3:16" x14ac:dyDescent="0.3">
      <c r="C273" s="13">
        <v>45497</v>
      </c>
      <c r="D273" s="53">
        <v>1.8770833333333301</v>
      </c>
      <c r="E273" s="15">
        <f t="shared" si="42"/>
        <v>52.099999999999952</v>
      </c>
      <c r="F273" s="15">
        <f t="shared" si="43"/>
        <v>22.433333333333287</v>
      </c>
      <c r="G273" s="50">
        <f t="shared" si="37"/>
        <v>3.2325645081406038</v>
      </c>
      <c r="H273" s="70">
        <f t="shared" si="36"/>
        <v>3.2325645081406038</v>
      </c>
      <c r="I273">
        <f t="shared" si="44"/>
        <v>645.69115337077073</v>
      </c>
      <c r="J273">
        <f t="shared" si="38"/>
        <v>52.845576685385446</v>
      </c>
      <c r="K273">
        <f t="shared" si="39"/>
        <v>52.845576685385446</v>
      </c>
      <c r="L273" s="55">
        <f t="shared" si="40"/>
        <v>64.819994073531817</v>
      </c>
      <c r="M273">
        <f t="shared" si="41"/>
        <v>36.094747600211328</v>
      </c>
      <c r="N273" s="76"/>
      <c r="O273" s="52"/>
      <c r="P273" s="52"/>
    </row>
    <row r="274" spans="3:16" x14ac:dyDescent="0.3">
      <c r="C274" s="13">
        <v>45497</v>
      </c>
      <c r="D274" s="53">
        <v>1.88055555555555</v>
      </c>
      <c r="E274" s="15">
        <f t="shared" si="42"/>
        <v>52.183333333333287</v>
      </c>
      <c r="F274" s="15">
        <f t="shared" si="43"/>
        <v>22.51666666666662</v>
      </c>
      <c r="G274" s="50">
        <f t="shared" si="37"/>
        <v>3.2406560295984441</v>
      </c>
      <c r="H274" s="70">
        <f t="shared" si="36"/>
        <v>3.2406560295984441</v>
      </c>
      <c r="I274">
        <f t="shared" si="44"/>
        <v>646.2312627090372</v>
      </c>
      <c r="J274">
        <f t="shared" si="38"/>
        <v>53.115631354518648</v>
      </c>
      <c r="K274">
        <f t="shared" si="39"/>
        <v>53.115631354518648</v>
      </c>
      <c r="L274" s="55">
        <f t="shared" si="40"/>
        <v>65.096788812768281</v>
      </c>
      <c r="M274">
        <f t="shared" si="41"/>
        <v>36.154935078509745</v>
      </c>
      <c r="N274" s="76"/>
      <c r="O274" s="52"/>
      <c r="P274" s="52"/>
    </row>
    <row r="275" spans="3:16" x14ac:dyDescent="0.3">
      <c r="C275" s="13">
        <v>45497</v>
      </c>
      <c r="D275" s="53">
        <v>1.8840277777777701</v>
      </c>
      <c r="E275" s="15">
        <f t="shared" si="42"/>
        <v>52.266666666666623</v>
      </c>
      <c r="F275" s="15">
        <f t="shared" si="43"/>
        <v>22.599999999999952</v>
      </c>
      <c r="G275" s="50">
        <f t="shared" si="37"/>
        <v>3.2487678051670179</v>
      </c>
      <c r="H275" s="70">
        <f t="shared" si="36"/>
        <v>3.2487678051670179</v>
      </c>
      <c r="I275">
        <f t="shared" si="44"/>
        <v>646.77272400989841</v>
      </c>
      <c r="J275">
        <f t="shared" si="38"/>
        <v>53.386362004949234</v>
      </c>
      <c r="K275">
        <f t="shared" si="39"/>
        <v>53.386362004949234</v>
      </c>
      <c r="L275" s="55">
        <f t="shared" si="40"/>
        <v>65.373812373807993</v>
      </c>
      <c r="M275">
        <f t="shared" si="41"/>
        <v>36.215172312838043</v>
      </c>
      <c r="N275" s="76"/>
      <c r="O275" s="52"/>
      <c r="P275" s="52"/>
    </row>
    <row r="276" spans="3:16" x14ac:dyDescent="0.3">
      <c r="C276" s="13">
        <v>45497</v>
      </c>
      <c r="D276" s="53">
        <v>1.8875</v>
      </c>
      <c r="E276" s="15">
        <f t="shared" si="42"/>
        <v>52.349999999999952</v>
      </c>
      <c r="F276" s="15">
        <f t="shared" si="43"/>
        <v>22.683333333333284</v>
      </c>
      <c r="G276" s="50">
        <f t="shared" si="37"/>
        <v>3.2568998855449496</v>
      </c>
      <c r="H276" s="70">
        <f t="shared" si="36"/>
        <v>3.2568998855449496</v>
      </c>
      <c r="I276">
        <f t="shared" si="44"/>
        <v>647.31554065748924</v>
      </c>
      <c r="J276">
        <f t="shared" si="38"/>
        <v>53.657770328744647</v>
      </c>
      <c r="K276">
        <f t="shared" si="39"/>
        <v>53.657770328744647</v>
      </c>
      <c r="L276" s="55">
        <f t="shared" si="40"/>
        <v>65.651064173742682</v>
      </c>
      <c r="M276">
        <f t="shared" si="41"/>
        <v>36.275459176446063</v>
      </c>
      <c r="N276" s="76"/>
      <c r="O276" s="52"/>
      <c r="P276" s="52"/>
    </row>
    <row r="277" spans="3:16" x14ac:dyDescent="0.3">
      <c r="C277" s="13">
        <v>45497</v>
      </c>
      <c r="D277" s="53">
        <v>1.8909722222222201</v>
      </c>
      <c r="E277" s="15">
        <f t="shared" si="42"/>
        <v>52.43333333333328</v>
      </c>
      <c r="F277" s="15">
        <f t="shared" si="43"/>
        <v>22.766666666666616</v>
      </c>
      <c r="G277" s="50">
        <f t="shared" si="37"/>
        <v>3.2650523215577683</v>
      </c>
      <c r="H277" s="70">
        <f t="shared" si="36"/>
        <v>3.2650523215577683</v>
      </c>
      <c r="I277">
        <f t="shared" si="44"/>
        <v>647.85971604441556</v>
      </c>
      <c r="J277">
        <f t="shared" si="38"/>
        <v>53.929858022207796</v>
      </c>
      <c r="K277">
        <f t="shared" si="39"/>
        <v>53.929858022207796</v>
      </c>
      <c r="L277" s="55">
        <f t="shared" si="40"/>
        <v>65.928543627275502</v>
      </c>
      <c r="M277">
        <f t="shared" si="41"/>
        <v>36.335795542064254</v>
      </c>
      <c r="N277" s="76"/>
      <c r="O277" s="52"/>
      <c r="P277" s="52"/>
    </row>
    <row r="278" spans="3:16" x14ac:dyDescent="0.3">
      <c r="C278" s="13">
        <v>45497</v>
      </c>
      <c r="D278" s="53">
        <v>1.8944444444444399</v>
      </c>
      <c r="E278" s="15">
        <f t="shared" si="42"/>
        <v>52.516666666666616</v>
      </c>
      <c r="F278" s="15">
        <f t="shared" si="43"/>
        <v>22.849999999999948</v>
      </c>
      <c r="G278" s="50">
        <f t="shared" si="37"/>
        <v>3.2732251641582244</v>
      </c>
      <c r="H278" s="70">
        <f t="shared" si="36"/>
        <v>3.2732251641582244</v>
      </c>
      <c r="I278">
        <f t="shared" si="44"/>
        <v>648.40525357177523</v>
      </c>
      <c r="J278">
        <f t="shared" si="38"/>
        <v>54.202626785887645</v>
      </c>
      <c r="K278">
        <f t="shared" si="39"/>
        <v>54.202626785887645</v>
      </c>
      <c r="L278" s="55">
        <f t="shared" si="40"/>
        <v>66.206250146724102</v>
      </c>
      <c r="M278">
        <f t="shared" si="41"/>
        <v>36.396181281904354</v>
      </c>
      <c r="N278" s="76"/>
      <c r="O278" s="52"/>
      <c r="P278" s="52"/>
    </row>
    <row r="279" spans="3:16" x14ac:dyDescent="0.3">
      <c r="C279" s="13">
        <v>45497</v>
      </c>
      <c r="D279" s="53">
        <v>1.89791666666666</v>
      </c>
      <c r="E279" s="15">
        <f t="shared" si="42"/>
        <v>52.599999999999952</v>
      </c>
      <c r="F279" s="15">
        <f t="shared" si="43"/>
        <v>22.93333333333328</v>
      </c>
      <c r="G279" s="50">
        <f t="shared" si="37"/>
        <v>3.2814184644266118</v>
      </c>
      <c r="H279" s="70">
        <f t="shared" si="36"/>
        <v>3.2814184644266118</v>
      </c>
      <c r="I279">
        <f t="shared" si="44"/>
        <v>648.95215664917964</v>
      </c>
      <c r="J279">
        <f t="shared" si="38"/>
        <v>54.476078324589864</v>
      </c>
      <c r="K279">
        <f t="shared" si="39"/>
        <v>54.476078324589864</v>
      </c>
      <c r="L279" s="55">
        <f t="shared" si="40"/>
        <v>66.484183142023497</v>
      </c>
      <c r="M279">
        <f t="shared" si="41"/>
        <v>36.45661626766001</v>
      </c>
      <c r="N279" s="76"/>
      <c r="O279" s="52"/>
      <c r="P279" s="52"/>
    </row>
    <row r="280" spans="3:16" x14ac:dyDescent="0.3">
      <c r="C280" s="13">
        <v>45497</v>
      </c>
      <c r="D280" s="53">
        <v>1.9013888888888899</v>
      </c>
      <c r="E280" s="15">
        <f t="shared" si="42"/>
        <v>52.68333333333328</v>
      </c>
      <c r="F280" s="15">
        <f t="shared" si="43"/>
        <v>23.016666666666612</v>
      </c>
      <c r="G280" s="50">
        <f t="shared" si="37"/>
        <v>3.2896322735710837</v>
      </c>
      <c r="H280" s="70">
        <f t="shared" si="36"/>
        <v>3.2896322735710837</v>
      </c>
      <c r="I280">
        <f t="shared" si="44"/>
        <v>649.50042869477477</v>
      </c>
      <c r="J280">
        <f t="shared" si="38"/>
        <v>54.750214347387455</v>
      </c>
      <c r="K280">
        <f t="shared" si="39"/>
        <v>54.750214347387455</v>
      </c>
      <c r="L280" s="55">
        <f t="shared" si="40"/>
        <v>66.762342020729321</v>
      </c>
      <c r="M280">
        <f t="shared" si="41"/>
        <v>36.517100370507492</v>
      </c>
      <c r="N280" s="76"/>
      <c r="O280" s="52"/>
      <c r="P280" s="52"/>
    </row>
    <row r="281" spans="3:16" x14ac:dyDescent="0.3">
      <c r="C281" s="13">
        <v>45497</v>
      </c>
      <c r="D281" s="53">
        <v>1.90486111111111</v>
      </c>
      <c r="E281" s="15">
        <f t="shared" si="42"/>
        <v>52.766666666666609</v>
      </c>
      <c r="F281" s="15">
        <f t="shared" si="43"/>
        <v>23.099999999999945</v>
      </c>
      <c r="G281" s="50">
        <f t="shared" si="37"/>
        <v>3.2978666429279739</v>
      </c>
      <c r="H281" s="70">
        <f t="shared" si="36"/>
        <v>3.2978666429279739</v>
      </c>
      <c r="I281">
        <f t="shared" si="44"/>
        <v>650.05007313526278</v>
      </c>
      <c r="J281">
        <f t="shared" si="38"/>
        <v>55.025036567631453</v>
      </c>
      <c r="K281">
        <f t="shared" si="39"/>
        <v>55.025036567631453</v>
      </c>
      <c r="L281" s="55">
        <f t="shared" si="40"/>
        <v>67.040726188020912</v>
      </c>
      <c r="M281">
        <f t="shared" si="41"/>
        <v>36.577633461106338</v>
      </c>
      <c r="N281" s="76"/>
      <c r="O281" s="52"/>
      <c r="P281" s="52"/>
    </row>
    <row r="282" spans="3:16" x14ac:dyDescent="0.3">
      <c r="C282" s="13">
        <v>45497</v>
      </c>
      <c r="D282" s="53">
        <v>1.9083333333333301</v>
      </c>
      <c r="E282" s="15">
        <f t="shared" si="42"/>
        <v>52.849999999999945</v>
      </c>
      <c r="F282" s="15">
        <f t="shared" si="43"/>
        <v>23.183333333333277</v>
      </c>
      <c r="G282" s="50">
        <f t="shared" si="37"/>
        <v>3.3061216239621176</v>
      </c>
      <c r="H282" s="70">
        <f t="shared" si="36"/>
        <v>3.3061216239621176</v>
      </c>
      <c r="I282">
        <f t="shared" si="44"/>
        <v>650.60109340592317</v>
      </c>
      <c r="J282">
        <f t="shared" si="38"/>
        <v>55.300546702961633</v>
      </c>
      <c r="K282">
        <f t="shared" si="39"/>
        <v>55.300546702961633</v>
      </c>
      <c r="L282" s="55">
        <f t="shared" si="40"/>
        <v>67.319335046704481</v>
      </c>
      <c r="M282">
        <f t="shared" si="41"/>
        <v>36.638215409600086</v>
      </c>
      <c r="N282" s="76"/>
      <c r="O282" s="52"/>
      <c r="P282" s="52"/>
    </row>
    <row r="283" spans="3:16" x14ac:dyDescent="0.3">
      <c r="C283" s="13">
        <v>45497</v>
      </c>
      <c r="D283" s="53">
        <v>1.91180555555555</v>
      </c>
      <c r="E283" s="15">
        <f t="shared" si="42"/>
        <v>52.93333333333328</v>
      </c>
      <c r="F283" s="15">
        <f t="shared" si="43"/>
        <v>23.266666666666609</v>
      </c>
      <c r="G283" s="50">
        <f t="shared" si="37"/>
        <v>3.3143972682671734</v>
      </c>
      <c r="H283" s="70">
        <f t="shared" si="36"/>
        <v>3.3143972682671734</v>
      </c>
      <c r="I283">
        <f t="shared" si="44"/>
        <v>651.15349295063436</v>
      </c>
      <c r="J283">
        <f t="shared" si="38"/>
        <v>55.576746475317229</v>
      </c>
      <c r="K283">
        <f t="shared" si="39"/>
        <v>55.576746475317229</v>
      </c>
      <c r="L283" s="55">
        <f t="shared" si="40"/>
        <v>67.598167997216407</v>
      </c>
      <c r="M283">
        <f t="shared" si="41"/>
        <v>36.698846085616957</v>
      </c>
      <c r="N283" s="76"/>
      <c r="O283" s="52"/>
      <c r="P283" s="52"/>
    </row>
    <row r="284" spans="3:16" x14ac:dyDescent="0.3">
      <c r="C284" s="13">
        <v>45497</v>
      </c>
      <c r="D284" s="53">
        <v>1.9152777777777701</v>
      </c>
      <c r="E284" s="15">
        <f t="shared" si="42"/>
        <v>53.016666666666609</v>
      </c>
      <c r="F284" s="15">
        <f t="shared" si="43"/>
        <v>23.349999999999941</v>
      </c>
      <c r="G284" s="50">
        <f t="shared" si="37"/>
        <v>3.3226936275659442</v>
      </c>
      <c r="H284" s="70">
        <f t="shared" si="36"/>
        <v>3.3226936275659442</v>
      </c>
      <c r="I284">
        <f t="shared" si="44"/>
        <v>651.70727522189532</v>
      </c>
      <c r="J284">
        <f t="shared" si="38"/>
        <v>55.853637610947722</v>
      </c>
      <c r="K284">
        <f t="shared" si="39"/>
        <v>55.853637610947722</v>
      </c>
      <c r="L284" s="55">
        <f t="shared" si="40"/>
        <v>67.877224437626481</v>
      </c>
      <c r="M284">
        <f t="shared" si="41"/>
        <v>36.759525358270572</v>
      </c>
      <c r="N284" s="76"/>
      <c r="O284" s="52"/>
      <c r="P284" s="52"/>
    </row>
    <row r="285" spans="3:16" x14ac:dyDescent="0.3">
      <c r="C285" s="13">
        <v>45497</v>
      </c>
      <c r="D285" s="53">
        <v>1.91875</v>
      </c>
      <c r="E285" s="15">
        <f t="shared" si="42"/>
        <v>53.099999999999937</v>
      </c>
      <c r="F285" s="15">
        <f t="shared" si="43"/>
        <v>23.433333333333273</v>
      </c>
      <c r="G285" s="50">
        <f t="shared" si="37"/>
        <v>3.3310107537107041</v>
      </c>
      <c r="H285" s="70">
        <f t="shared" si="36"/>
        <v>3.3310107537107041</v>
      </c>
      <c r="I285">
        <f t="shared" si="44"/>
        <v>652.26244368084713</v>
      </c>
      <c r="J285">
        <f t="shared" si="38"/>
        <v>56.131221840423613</v>
      </c>
      <c r="K285">
        <f t="shared" si="39"/>
        <v>56.131221840423613</v>
      </c>
      <c r="L285" s="55">
        <f t="shared" si="40"/>
        <v>68.156503763641268</v>
      </c>
      <c r="M285">
        <f t="shared" si="41"/>
        <v>36.820253096160677</v>
      </c>
      <c r="N285" s="76"/>
      <c r="O285" s="52"/>
      <c r="P285" s="52"/>
    </row>
    <row r="286" spans="3:16" x14ac:dyDescent="0.3">
      <c r="C286" s="13">
        <v>45497</v>
      </c>
      <c r="D286" s="53">
        <v>1.9222222222222201</v>
      </c>
      <c r="E286" s="15">
        <f t="shared" si="42"/>
        <v>53.183333333333273</v>
      </c>
      <c r="F286" s="15">
        <f t="shared" si="43"/>
        <v>23.516666666666605</v>
      </c>
      <c r="G286" s="50">
        <f t="shared" si="37"/>
        <v>3.3393486986835175</v>
      </c>
      <c r="H286" s="70">
        <f t="shared" si="36"/>
        <v>3.3393486986835175</v>
      </c>
      <c r="I286">
        <f t="shared" si="44"/>
        <v>652.81900179729439</v>
      </c>
      <c r="J286">
        <f t="shared" si="38"/>
        <v>56.409500898647238</v>
      </c>
      <c r="K286">
        <f t="shared" si="39"/>
        <v>56.409500898647238</v>
      </c>
      <c r="L286" s="55">
        <f t="shared" si="40"/>
        <v>68.436005368607496</v>
      </c>
      <c r="M286">
        <f t="shared" si="41"/>
        <v>36.881029167373889</v>
      </c>
      <c r="N286" s="76"/>
      <c r="O286" s="52"/>
      <c r="P286" s="52"/>
    </row>
    <row r="287" spans="3:16" x14ac:dyDescent="0.3">
      <c r="C287" s="13">
        <v>45497</v>
      </c>
      <c r="D287" s="53">
        <v>1.9256944444444399</v>
      </c>
      <c r="E287" s="15">
        <f t="shared" si="42"/>
        <v>53.266666666666609</v>
      </c>
      <c r="F287" s="15">
        <f t="shared" si="43"/>
        <v>23.599999999999937</v>
      </c>
      <c r="G287" s="50">
        <f t="shared" si="37"/>
        <v>3.3477075145965678</v>
      </c>
      <c r="H287" s="70">
        <f t="shared" si="36"/>
        <v>3.3477075145965678</v>
      </c>
      <c r="I287">
        <f t="shared" si="44"/>
        <v>653.37695304972715</v>
      </c>
      <c r="J287">
        <f t="shared" si="38"/>
        <v>56.688476524863617</v>
      </c>
      <c r="K287">
        <f t="shared" si="39"/>
        <v>56.688476524863617</v>
      </c>
      <c r="L287" s="55">
        <f t="shared" si="40"/>
        <v>68.715728643515476</v>
      </c>
      <c r="M287">
        <f t="shared" si="41"/>
        <v>36.941853439484433</v>
      </c>
      <c r="N287" s="76"/>
      <c r="O287" s="52"/>
      <c r="P287" s="52"/>
    </row>
    <row r="288" spans="3:16" x14ac:dyDescent="0.3">
      <c r="C288" s="13">
        <v>45497</v>
      </c>
      <c r="D288" s="53">
        <v>1.92916666666666</v>
      </c>
      <c r="E288" s="15">
        <f t="shared" si="42"/>
        <v>53.349999999999937</v>
      </c>
      <c r="F288" s="15">
        <f t="shared" si="43"/>
        <v>23.68333333333327</v>
      </c>
      <c r="G288" s="50">
        <f t="shared" si="37"/>
        <v>3.3560872536924822</v>
      </c>
      <c r="H288" s="70">
        <f t="shared" si="36"/>
        <v>3.3560872536924822</v>
      </c>
      <c r="I288">
        <f t="shared" si="44"/>
        <v>653.93630092534261</v>
      </c>
      <c r="J288">
        <f t="shared" si="38"/>
        <v>56.968150462671325</v>
      </c>
      <c r="K288">
        <f t="shared" si="39"/>
        <v>56.968150462671325</v>
      </c>
      <c r="L288" s="55">
        <f t="shared" si="40"/>
        <v>68.995672977002613</v>
      </c>
      <c r="M288">
        <f t="shared" si="41"/>
        <v>37.002725779554908</v>
      </c>
      <c r="N288" s="76"/>
      <c r="O288" s="52"/>
      <c r="P288" s="52"/>
    </row>
    <row r="289" spans="2:16" x14ac:dyDescent="0.3">
      <c r="C289" s="13">
        <v>45497</v>
      </c>
      <c r="D289" s="53">
        <v>1.9326388888888899</v>
      </c>
      <c r="E289" s="15">
        <f t="shared" si="42"/>
        <v>53.433333333333266</v>
      </c>
      <c r="F289" s="15">
        <f t="shared" si="43"/>
        <v>23.766666666666602</v>
      </c>
      <c r="G289" s="50">
        <f t="shared" si="37"/>
        <v>3.3644879683446569</v>
      </c>
      <c r="H289" s="70">
        <f t="shared" si="36"/>
        <v>3.3644879683446569</v>
      </c>
      <c r="I289">
        <f t="shared" si="44"/>
        <v>654.49704892006673</v>
      </c>
      <c r="J289">
        <f t="shared" si="38"/>
        <v>57.24852446003338</v>
      </c>
      <c r="K289">
        <f t="shared" si="39"/>
        <v>57.24852446003338</v>
      </c>
      <c r="L289" s="55">
        <f t="shared" si="40"/>
        <v>69.275837755356932</v>
      </c>
      <c r="M289">
        <f t="shared" si="41"/>
        <v>37.063646054137067</v>
      </c>
      <c r="N289" s="76"/>
      <c r="O289" s="52"/>
      <c r="P289" s="52"/>
    </row>
    <row r="290" spans="2:16" x14ac:dyDescent="0.3">
      <c r="C290" s="13">
        <v>45497</v>
      </c>
      <c r="D290" s="53">
        <v>1.93611111111111</v>
      </c>
      <c r="E290" s="15">
        <f t="shared" si="42"/>
        <v>53.516666666666602</v>
      </c>
      <c r="F290" s="15">
        <f t="shared" si="43"/>
        <v>23.849999999999934</v>
      </c>
      <c r="G290" s="50">
        <f t="shared" si="37"/>
        <v>3.3729097110575856</v>
      </c>
      <c r="H290" s="70">
        <f t="shared" si="36"/>
        <v>3.3729097110575856</v>
      </c>
      <c r="I290">
        <f t="shared" si="44"/>
        <v>655.05920053857631</v>
      </c>
      <c r="J290">
        <f t="shared" si="38"/>
        <v>57.529600269288181</v>
      </c>
      <c r="K290">
        <f t="shared" si="39"/>
        <v>57.529600269288181</v>
      </c>
      <c r="L290" s="55">
        <f t="shared" si="40"/>
        <v>69.5562223625207</v>
      </c>
      <c r="M290">
        <f t="shared" si="41"/>
        <v>37.124614129272565</v>
      </c>
      <c r="N290" s="76"/>
      <c r="O290" s="52"/>
      <c r="P290" s="52"/>
    </row>
    <row r="291" spans="2:16" x14ac:dyDescent="0.3">
      <c r="C291" s="13">
        <v>45497</v>
      </c>
      <c r="D291" s="53">
        <v>1.9395833333333301</v>
      </c>
      <c r="E291" s="15">
        <f t="shared" si="42"/>
        <v>53.599999999999937</v>
      </c>
      <c r="F291" s="15">
        <f t="shared" si="43"/>
        <v>23.933333333333266</v>
      </c>
      <c r="G291" s="50">
        <f t="shared" si="37"/>
        <v>3.3813525344671884</v>
      </c>
      <c r="H291" s="70">
        <f t="shared" si="36"/>
        <v>3.3813525344671884</v>
      </c>
      <c r="I291">
        <f t="shared" si="44"/>
        <v>655.62275929432087</v>
      </c>
      <c r="J291">
        <f t="shared" si="38"/>
        <v>57.81137964716045</v>
      </c>
      <c r="K291">
        <f t="shared" si="39"/>
        <v>57.81137964716045</v>
      </c>
      <c r="L291" s="55">
        <f t="shared" si="40"/>
        <v>69.836826180093979</v>
      </c>
      <c r="M291">
        <f t="shared" si="41"/>
        <v>37.185629870493777</v>
      </c>
      <c r="N291" s="76"/>
      <c r="O291" s="52"/>
      <c r="P291" s="52"/>
    </row>
    <row r="292" spans="2:16" x14ac:dyDescent="0.3">
      <c r="C292" s="13">
        <v>45497</v>
      </c>
      <c r="D292" s="53">
        <v>1.94305555555555</v>
      </c>
      <c r="E292" s="15">
        <f t="shared" si="42"/>
        <v>53.683333333333266</v>
      </c>
      <c r="F292" s="15">
        <f t="shared" si="43"/>
        <v>24.016666666666598</v>
      </c>
      <c r="G292" s="50">
        <f t="shared" si="37"/>
        <v>3.3898164913411377</v>
      </c>
      <c r="H292" s="70">
        <f t="shared" si="36"/>
        <v>3.3898164913411377</v>
      </c>
      <c r="I292">
        <f t="shared" si="44"/>
        <v>656.18772870954444</v>
      </c>
      <c r="J292">
        <f t="shared" si="38"/>
        <v>58.093864354772215</v>
      </c>
      <c r="K292">
        <f t="shared" si="39"/>
        <v>58.093864354772215</v>
      </c>
      <c r="L292" s="55">
        <f t="shared" si="40"/>
        <v>70.117648587338422</v>
      </c>
      <c r="M292">
        <f t="shared" si="41"/>
        <v>37.24669314282459</v>
      </c>
      <c r="N292" s="76"/>
      <c r="O292" s="52"/>
      <c r="P292" s="52"/>
    </row>
    <row r="293" spans="2:16" x14ac:dyDescent="0.3">
      <c r="B293" s="56" t="s">
        <v>54</v>
      </c>
      <c r="C293" s="13">
        <v>45497</v>
      </c>
      <c r="D293" s="53">
        <v>1.9465277777777701</v>
      </c>
      <c r="E293" s="15">
        <f t="shared" si="42"/>
        <v>53.766666666666595</v>
      </c>
      <c r="F293" s="15">
        <f t="shared" si="43"/>
        <v>24.09999999999993</v>
      </c>
      <c r="G293" s="50">
        <f t="shared" si="37"/>
        <v>3.3983016345791932</v>
      </c>
      <c r="H293" s="70">
        <f t="shared" si="36"/>
        <v>3.3983016345791932</v>
      </c>
      <c r="I293">
        <f t="shared" si="44"/>
        <v>656.75411231530768</v>
      </c>
      <c r="J293">
        <f t="shared" si="38"/>
        <v>58.377056157653811</v>
      </c>
      <c r="K293">
        <f t="shared" si="39"/>
        <v>58.377056157653811</v>
      </c>
      <c r="L293" s="55">
        <f t="shared" si="40"/>
        <v>70.398688961180923</v>
      </c>
      <c r="M293">
        <f t="shared" si="41"/>
        <v>37.30780381078123</v>
      </c>
      <c r="N293" s="76"/>
      <c r="O293" s="52"/>
      <c r="P293" s="52"/>
    </row>
    <row r="294" spans="2:16" x14ac:dyDescent="0.3">
      <c r="C294" s="13">
        <v>45497</v>
      </c>
      <c r="D294" s="53">
        <v>1.95</v>
      </c>
      <c r="E294" s="15">
        <f t="shared" si="42"/>
        <v>53.84999999999993</v>
      </c>
      <c r="F294" s="15">
        <f t="shared" si="43"/>
        <v>24.183333333333263</v>
      </c>
      <c r="G294" s="50">
        <f t="shared" si="37"/>
        <v>3.4068080172135269</v>
      </c>
      <c r="H294" s="70">
        <f t="shared" si="36"/>
        <v>3.4068080172135269</v>
      </c>
      <c r="I294">
        <f t="shared" si="44"/>
        <v>657.32191365150993</v>
      </c>
      <c r="J294">
        <f t="shared" si="38"/>
        <v>58.660956825754937</v>
      </c>
      <c r="K294">
        <f t="shared" si="39"/>
        <v>58.660956825754937</v>
      </c>
      <c r="L294" s="55">
        <f t="shared" si="40"/>
        <v>70.679946676217426</v>
      </c>
      <c r="M294">
        <f t="shared" si="41"/>
        <v>37.368961738373059</v>
      </c>
      <c r="N294" s="76"/>
      <c r="O294" s="52"/>
      <c r="P294" s="52"/>
    </row>
    <row r="295" spans="2:16" x14ac:dyDescent="0.3">
      <c r="C295" s="13">
        <v>45497</v>
      </c>
      <c r="D295" s="53">
        <v>1.9534722222222201</v>
      </c>
      <c r="E295" s="15">
        <f t="shared" si="42"/>
        <v>53.933333333333266</v>
      </c>
      <c r="F295" s="15">
        <f t="shared" si="43"/>
        <v>24.266666666666595</v>
      </c>
      <c r="G295" s="50">
        <f t="shared" si="37"/>
        <v>3.4153356924090574</v>
      </c>
      <c r="H295" s="70">
        <f t="shared" si="36"/>
        <v>3.4153356924090574</v>
      </c>
      <c r="I295">
        <f t="shared" si="44"/>
        <v>657.89113626691142</v>
      </c>
      <c r="J295">
        <f t="shared" si="38"/>
        <v>58.945568133455694</v>
      </c>
      <c r="K295">
        <f t="shared" si="39"/>
        <v>58.945568133455694</v>
      </c>
      <c r="L295" s="55">
        <f t="shared" si="40"/>
        <v>70.961421104716777</v>
      </c>
      <c r="M295">
        <f t="shared" si="41"/>
        <v>37.430166789103417</v>
      </c>
      <c r="N295" s="76"/>
      <c r="O295" s="52"/>
      <c r="P295" s="52"/>
    </row>
    <row r="296" spans="2:16" x14ac:dyDescent="0.3">
      <c r="C296" s="13">
        <v>45497</v>
      </c>
      <c r="D296" s="53">
        <v>1.9569444444444399</v>
      </c>
      <c r="E296" s="15">
        <f t="shared" si="42"/>
        <v>54.016666666666595</v>
      </c>
      <c r="F296" s="15">
        <f t="shared" si="43"/>
        <v>24.349999999999927</v>
      </c>
      <c r="G296" s="50">
        <f t="shared" si="37"/>
        <v>3.4238847134637842</v>
      </c>
      <c r="H296" s="70">
        <f t="shared" si="36"/>
        <v>3.4238847134637842</v>
      </c>
      <c r="I296">
        <f t="shared" si="44"/>
        <v>658.46178371915539</v>
      </c>
      <c r="J296">
        <f t="shared" si="38"/>
        <v>59.230891859577675</v>
      </c>
      <c r="K296">
        <f t="shared" si="39"/>
        <v>59.230891859577675</v>
      </c>
      <c r="L296" s="55">
        <f t="shared" si="40"/>
        <v>71.243111616624589</v>
      </c>
      <c r="M296">
        <f t="shared" si="41"/>
        <v>37.491418825970484</v>
      </c>
      <c r="N296" s="76"/>
      <c r="O296" s="52"/>
      <c r="P296" s="52"/>
    </row>
    <row r="297" spans="2:16" x14ac:dyDescent="0.3">
      <c r="C297" s="13">
        <v>45497</v>
      </c>
      <c r="D297" s="53">
        <v>1.96041666666667</v>
      </c>
      <c r="E297" s="15">
        <f t="shared" si="42"/>
        <v>54.099999999999923</v>
      </c>
      <c r="F297" s="15">
        <f t="shared" si="43"/>
        <v>24.433333333333259</v>
      </c>
      <c r="G297" s="50">
        <f t="shared" si="37"/>
        <v>3.4324551338091154</v>
      </c>
      <c r="H297" s="70">
        <f t="shared" si="36"/>
        <v>3.4324551338091154</v>
      </c>
      <c r="I297">
        <f t="shared" si="44"/>
        <v>659.0338595747902</v>
      </c>
      <c r="J297">
        <f t="shared" si="38"/>
        <v>59.5169297873951</v>
      </c>
      <c r="K297">
        <f t="shared" si="39"/>
        <v>59.5169297873951</v>
      </c>
      <c r="L297" s="55">
        <f t="shared" si="40"/>
        <v>71.525017579567233</v>
      </c>
      <c r="M297">
        <f t="shared" si="41"/>
        <v>37.552717711468127</v>
      </c>
      <c r="N297" s="76"/>
      <c r="O297" s="52"/>
      <c r="P297" s="52"/>
    </row>
    <row r="298" spans="2:16" x14ac:dyDescent="0.3">
      <c r="C298" s="13">
        <v>45497</v>
      </c>
      <c r="D298" s="53">
        <v>1.9638888888888899</v>
      </c>
      <c r="E298" s="15">
        <f t="shared" si="42"/>
        <v>54.183333333333259</v>
      </c>
      <c r="F298" s="15">
        <f t="shared" si="43"/>
        <v>24.516666666666591</v>
      </c>
      <c r="G298" s="50">
        <f t="shared" si="37"/>
        <v>3.4410470070102055</v>
      </c>
      <c r="H298" s="70">
        <f t="shared" si="36"/>
        <v>3.4410470070102055</v>
      </c>
      <c r="I298">
        <f t="shared" si="44"/>
        <v>659.6073674092919</v>
      </c>
      <c r="J298">
        <f t="shared" ref="J298:J361" si="45">J297+G298*5/60</f>
        <v>59.803683704645948</v>
      </c>
      <c r="K298">
        <f t="shared" si="39"/>
        <v>59.803683704645948</v>
      </c>
      <c r="L298" s="55">
        <f t="shared" ref="L298:L361" si="46">((L297*I297/1000)+(G298*$T$7/1000*5/60))/(I298/1000)</f>
        <v>71.807138358855696</v>
      </c>
      <c r="M298">
        <f t="shared" ref="M298:M361" si="47">(M297*I297+G298*$T$7*$T$6*(5/60))/I298</f>
        <v>37.614063307586747</v>
      </c>
      <c r="N298" s="76"/>
      <c r="O298" s="52"/>
      <c r="P298" s="52"/>
    </row>
    <row r="299" spans="2:16" x14ac:dyDescent="0.3">
      <c r="C299" s="13">
        <v>45497</v>
      </c>
      <c r="D299" s="53">
        <v>1.96736111111111</v>
      </c>
      <c r="E299" s="15">
        <f t="shared" si="42"/>
        <v>54.266666666666595</v>
      </c>
      <c r="F299" s="15">
        <f t="shared" si="43"/>
        <v>24.599999999999923</v>
      </c>
      <c r="G299" s="50">
        <f t="shared" si="37"/>
        <v>3.4496603867662912</v>
      </c>
      <c r="H299" s="70">
        <f t="shared" si="36"/>
        <v>3.4496603867662912</v>
      </c>
      <c r="I299">
        <f t="shared" si="44"/>
        <v>660.18231080708631</v>
      </c>
      <c r="J299">
        <f t="shared" si="45"/>
        <v>60.091155403543141</v>
      </c>
      <c r="K299">
        <f t="shared" si="39"/>
        <v>60.091155403543141</v>
      </c>
      <c r="L299" s="55">
        <f t="shared" si="46"/>
        <v>72.089473317489734</v>
      </c>
      <c r="M299">
        <f t="shared" si="47"/>
        <v>37.675455475814168</v>
      </c>
      <c r="N299" s="76"/>
      <c r="O299" s="52"/>
      <c r="P299" s="52"/>
    </row>
    <row r="300" spans="2:16" x14ac:dyDescent="0.3">
      <c r="C300" s="13">
        <v>45497</v>
      </c>
      <c r="D300" s="53">
        <v>1.9708333333333301</v>
      </c>
      <c r="E300" s="15">
        <f t="shared" si="42"/>
        <v>54.349999999999923</v>
      </c>
      <c r="F300" s="15">
        <f t="shared" si="43"/>
        <v>24.683333333333255</v>
      </c>
      <c r="G300" s="50">
        <f t="shared" si="37"/>
        <v>3.4582953269110237</v>
      </c>
      <c r="H300" s="70">
        <f t="shared" si="36"/>
        <v>3.4582953269110237</v>
      </c>
      <c r="I300">
        <f t="shared" si="44"/>
        <v>660.75869336157143</v>
      </c>
      <c r="J300">
        <f t="shared" si="45"/>
        <v>60.379346680785723</v>
      </c>
      <c r="K300">
        <f t="shared" si="39"/>
        <v>60.379346680785723</v>
      </c>
      <c r="L300" s="55">
        <f t="shared" si="46"/>
        <v>72.372021816161919</v>
      </c>
      <c r="M300">
        <f t="shared" si="47"/>
        <v>37.736894077136554</v>
      </c>
      <c r="N300" s="76"/>
      <c r="O300" s="52"/>
      <c r="P300" s="52"/>
    </row>
    <row r="301" spans="2:16" x14ac:dyDescent="0.3">
      <c r="C301" s="13">
        <v>45497</v>
      </c>
      <c r="D301" s="53">
        <v>1.97430555555555</v>
      </c>
      <c r="E301" s="15">
        <f t="shared" si="42"/>
        <v>54.433333333333252</v>
      </c>
      <c r="F301" s="15">
        <f t="shared" si="43"/>
        <v>24.766666666666588</v>
      </c>
      <c r="G301" s="50">
        <f t="shared" si="37"/>
        <v>3.4669518814128057</v>
      </c>
      <c r="H301" s="70">
        <f t="shared" si="36"/>
        <v>3.4669518814128057</v>
      </c>
      <c r="I301">
        <f t="shared" si="44"/>
        <v>661.33651867514027</v>
      </c>
      <c r="J301">
        <f t="shared" si="45"/>
        <v>60.66825933757012</v>
      </c>
      <c r="K301">
        <f t="shared" si="39"/>
        <v>60.66825933757012</v>
      </c>
      <c r="L301" s="55">
        <f t="shared" si="46"/>
        <v>72.654783213261723</v>
      </c>
      <c r="M301">
        <f t="shared" si="47"/>
        <v>37.798378972039259</v>
      </c>
      <c r="N301" s="76"/>
      <c r="O301" s="52"/>
      <c r="P301" s="52"/>
    </row>
    <row r="302" spans="2:16" x14ac:dyDescent="0.3">
      <c r="C302" s="13">
        <v>45497</v>
      </c>
      <c r="D302" s="53">
        <v>1.9777777777777801</v>
      </c>
      <c r="E302" s="15">
        <f t="shared" si="42"/>
        <v>54.516666666666588</v>
      </c>
      <c r="F302" s="15">
        <f t="shared" si="43"/>
        <v>24.84999999999992</v>
      </c>
      <c r="G302" s="50">
        <f t="shared" si="37"/>
        <v>3.4756301043751341</v>
      </c>
      <c r="H302" s="70">
        <f t="shared" si="36"/>
        <v>3.4756301043751341</v>
      </c>
      <c r="I302">
        <f t="shared" si="44"/>
        <v>661.91579035920279</v>
      </c>
      <c r="J302">
        <f t="shared" si="45"/>
        <v>60.95789517960138</v>
      </c>
      <c r="K302">
        <f t="shared" si="39"/>
        <v>60.95789517960138</v>
      </c>
      <c r="L302" s="55">
        <f t="shared" si="46"/>
        <v>72.937756864879816</v>
      </c>
      <c r="M302">
        <f t="shared" si="47"/>
        <v>37.859910020507769</v>
      </c>
      <c r="N302" s="76"/>
      <c r="O302" s="52"/>
      <c r="P302" s="52"/>
    </row>
    <row r="303" spans="2:16" x14ac:dyDescent="0.3">
      <c r="C303" s="13">
        <v>45497</v>
      </c>
      <c r="D303" s="53">
        <v>1.98125</v>
      </c>
      <c r="E303" s="15">
        <f t="shared" si="42"/>
        <v>54.599999999999923</v>
      </c>
      <c r="F303" s="15">
        <f t="shared" si="43"/>
        <v>24.933333333333252</v>
      </c>
      <c r="G303" s="50">
        <f t="shared" si="37"/>
        <v>3.4843300500369274</v>
      </c>
      <c r="H303" s="70">
        <f t="shared" si="36"/>
        <v>3.4843300500369274</v>
      </c>
      <c r="I303">
        <f t="shared" si="44"/>
        <v>662.49651203420899</v>
      </c>
      <c r="J303">
        <f t="shared" si="45"/>
        <v>61.24825601710446</v>
      </c>
      <c r="K303">
        <f t="shared" si="39"/>
        <v>61.24825601710446</v>
      </c>
      <c r="L303" s="55">
        <f t="shared" si="46"/>
        <v>73.22094212481214</v>
      </c>
      <c r="M303">
        <f t="shared" si="47"/>
        <v>37.921487082028612</v>
      </c>
      <c r="N303" s="76"/>
      <c r="O303" s="52"/>
      <c r="P303" s="52"/>
    </row>
    <row r="304" spans="2:16" x14ac:dyDescent="0.3">
      <c r="C304" s="13">
        <v>45497</v>
      </c>
      <c r="D304" s="53">
        <v>1.9847222222222201</v>
      </c>
      <c r="E304" s="15">
        <f t="shared" si="42"/>
        <v>54.683333333333252</v>
      </c>
      <c r="F304" s="15">
        <f t="shared" si="43"/>
        <v>25.016666666666584</v>
      </c>
      <c r="G304" s="50">
        <f t="shared" si="37"/>
        <v>3.4930517727728758</v>
      </c>
      <c r="H304" s="70">
        <f t="shared" si="36"/>
        <v>3.4930517727728758</v>
      </c>
      <c r="I304">
        <f t="shared" si="44"/>
        <v>663.07868732967108</v>
      </c>
      <c r="J304">
        <f t="shared" si="45"/>
        <v>61.539343664835535</v>
      </c>
      <c r="K304">
        <f t="shared" si="39"/>
        <v>61.539343664835535</v>
      </c>
      <c r="L304" s="55">
        <f t="shared" si="46"/>
        <v>73.504338344564346</v>
      </c>
      <c r="M304">
        <f t="shared" si="47"/>
        <v>37.983110015590292</v>
      </c>
      <c r="N304" s="76"/>
      <c r="O304" s="52"/>
      <c r="P304" s="52"/>
    </row>
    <row r="305" spans="1:16" x14ac:dyDescent="0.3">
      <c r="C305" s="13">
        <v>45497</v>
      </c>
      <c r="D305" s="53">
        <v>1.9881944444444399</v>
      </c>
      <c r="E305" s="15">
        <f t="shared" si="42"/>
        <v>54.76666666666658</v>
      </c>
      <c r="F305" s="15">
        <f t="shared" si="43"/>
        <v>25.099999999999916</v>
      </c>
      <c r="G305" s="50">
        <f t="shared" si="37"/>
        <v>3.5017953270937756</v>
      </c>
      <c r="H305" s="70">
        <f t="shared" si="36"/>
        <v>3.5017953270937756</v>
      </c>
      <c r="I305">
        <f t="shared" si="44"/>
        <v>663.66231988418667</v>
      </c>
      <c r="J305">
        <f t="shared" si="45"/>
        <v>61.83115994209335</v>
      </c>
      <c r="K305">
        <f t="shared" si="39"/>
        <v>61.83115994209335</v>
      </c>
      <c r="L305" s="55">
        <f t="shared" si="46"/>
        <v>73.787944873355997</v>
      </c>
      <c r="M305">
        <f t="shared" si="47"/>
        <v>38.044778679684214</v>
      </c>
      <c r="N305" s="76"/>
      <c r="O305" s="52"/>
      <c r="P305" s="52"/>
    </row>
    <row r="306" spans="1:16" x14ac:dyDescent="0.3">
      <c r="C306" s="13">
        <v>45497</v>
      </c>
      <c r="D306" s="53">
        <v>1.99166666666667</v>
      </c>
      <c r="E306" s="15">
        <f t="shared" si="42"/>
        <v>54.849999999999916</v>
      </c>
      <c r="F306" s="15">
        <f t="shared" si="43"/>
        <v>25.183333333333248</v>
      </c>
      <c r="G306" s="50">
        <f t="shared" si="37"/>
        <v>3.5105607676468682</v>
      </c>
      <c r="H306" s="70">
        <f t="shared" si="36"/>
        <v>3.5105607676468682</v>
      </c>
      <c r="I306">
        <f t="shared" si="44"/>
        <v>664.24741334546115</v>
      </c>
      <c r="J306">
        <f t="shared" si="45"/>
        <v>62.123706672730592</v>
      </c>
      <c r="K306">
        <f t="shared" si="39"/>
        <v>62.123706672730592</v>
      </c>
      <c r="L306" s="55">
        <f t="shared" si="46"/>
        <v>74.071761058125034</v>
      </c>
      <c r="M306">
        <f t="shared" si="47"/>
        <v>38.106492932305656</v>
      </c>
      <c r="N306" s="76"/>
      <c r="O306" s="52"/>
      <c r="P306" s="52"/>
    </row>
    <row r="307" spans="1:16" x14ac:dyDescent="0.3">
      <c r="C307" s="13">
        <v>45497</v>
      </c>
      <c r="D307" s="53">
        <v>1.9951388888888899</v>
      </c>
      <c r="E307" s="15">
        <f t="shared" si="42"/>
        <v>54.933333333333252</v>
      </c>
      <c r="F307" s="15">
        <f t="shared" si="43"/>
        <v>25.26666666666658</v>
      </c>
      <c r="G307" s="50">
        <f t="shared" si="37"/>
        <v>3.519348149216186</v>
      </c>
      <c r="H307" s="70">
        <f t="shared" si="36"/>
        <v>3.519348149216186</v>
      </c>
      <c r="I307">
        <f t="shared" si="44"/>
        <v>664.83397137033057</v>
      </c>
      <c r="J307">
        <f t="shared" si="45"/>
        <v>62.416985685165272</v>
      </c>
      <c r="K307">
        <f t="shared" si="39"/>
        <v>62.416985685165272</v>
      </c>
      <c r="L307" s="55">
        <f t="shared" si="46"/>
        <v>74.355786243532151</v>
      </c>
      <c r="M307">
        <f t="shared" si="47"/>
        <v>38.168252630954733</v>
      </c>
      <c r="N307" s="76"/>
      <c r="O307" s="52"/>
      <c r="P307" s="52"/>
    </row>
    <row r="308" spans="1:16" x14ac:dyDescent="0.3">
      <c r="A308" s="56"/>
      <c r="B308" s="56"/>
      <c r="C308" s="13">
        <v>45497</v>
      </c>
      <c r="D308" s="53">
        <v>1.99861111111111</v>
      </c>
      <c r="E308" s="15">
        <f t="shared" si="42"/>
        <v>55.01666666666658</v>
      </c>
      <c r="F308" s="15">
        <f t="shared" si="43"/>
        <v>25.349999999999913</v>
      </c>
      <c r="G308" s="50">
        <f t="shared" si="37"/>
        <v>3.5281575267228931</v>
      </c>
      <c r="H308" s="70">
        <f t="shared" si="36"/>
        <v>3.5281575267228931</v>
      </c>
      <c r="I308">
        <f t="shared" si="44"/>
        <v>665.42199762478435</v>
      </c>
      <c r="J308">
        <f t="shared" si="45"/>
        <v>62.710998812392177</v>
      </c>
      <c r="K308">
        <f t="shared" si="39"/>
        <v>62.710998812392177</v>
      </c>
      <c r="L308" s="55">
        <f t="shared" si="46"/>
        <v>74.640019771965356</v>
      </c>
      <c r="M308">
        <f t="shared" si="47"/>
        <v>38.230057632637369</v>
      </c>
      <c r="N308" s="76"/>
      <c r="O308" s="52"/>
      <c r="P308" s="52"/>
    </row>
    <row r="309" spans="1:16" x14ac:dyDescent="0.3">
      <c r="C309" s="13">
        <v>45498</v>
      </c>
      <c r="D309" s="53">
        <v>2.0020833333333301</v>
      </c>
      <c r="E309" s="15">
        <f t="shared" si="42"/>
        <v>55.099999999999909</v>
      </c>
      <c r="F309" s="15">
        <f t="shared" si="43"/>
        <v>25.433333333333245</v>
      </c>
      <c r="G309" s="50">
        <f t="shared" si="37"/>
        <v>3.5369889552256266</v>
      </c>
      <c r="H309" s="70">
        <f t="shared" si="36"/>
        <v>3.5369889552256266</v>
      </c>
      <c r="I309">
        <f t="shared" si="44"/>
        <v>666.01149578398861</v>
      </c>
      <c r="J309">
        <f t="shared" si="45"/>
        <v>63.005747891994311</v>
      </c>
      <c r="K309">
        <f t="shared" si="39"/>
        <v>63.005747891994311</v>
      </c>
      <c r="L309" s="55">
        <f t="shared" si="46"/>
        <v>74.924460983544364</v>
      </c>
      <c r="M309">
        <f t="shared" si="47"/>
        <v>38.291907793866272</v>
      </c>
      <c r="N309" s="76"/>
      <c r="O309" s="52"/>
      <c r="P309" s="52"/>
    </row>
    <row r="310" spans="1:16" x14ac:dyDescent="0.3">
      <c r="C310" s="13">
        <v>45498</v>
      </c>
      <c r="D310" s="53">
        <v>2.0055555555555502</v>
      </c>
      <c r="E310" s="15">
        <f t="shared" si="42"/>
        <v>55.183333333333245</v>
      </c>
      <c r="F310" s="15">
        <f t="shared" si="43"/>
        <v>25.516666666666577</v>
      </c>
      <c r="G310" s="50">
        <f t="shared" si="37"/>
        <v>3.5458424899208438</v>
      </c>
      <c r="H310" s="70">
        <f t="shared" si="36"/>
        <v>3.5458424899208438</v>
      </c>
      <c r="I310">
        <f t="shared" si="44"/>
        <v>666.60246953230876</v>
      </c>
      <c r="J310">
        <f t="shared" si="45"/>
        <v>63.30123476615438</v>
      </c>
      <c r="K310">
        <f t="shared" si="39"/>
        <v>63.30123476615438</v>
      </c>
      <c r="L310" s="55">
        <f t="shared" si="46"/>
        <v>75.209109216125313</v>
      </c>
      <c r="M310">
        <f t="shared" si="47"/>
        <v>38.353802970661924</v>
      </c>
      <c r="N310" s="76"/>
      <c r="O310" s="52"/>
      <c r="P310" s="52"/>
    </row>
    <row r="311" spans="1:16" x14ac:dyDescent="0.3">
      <c r="C311" s="13">
        <v>45498</v>
      </c>
      <c r="D311" s="53">
        <v>2.0090277777777801</v>
      </c>
      <c r="E311" s="15">
        <f t="shared" si="42"/>
        <v>55.26666666666658</v>
      </c>
      <c r="F311" s="15">
        <f t="shared" si="43"/>
        <v>25.599999999999909</v>
      </c>
      <c r="G311" s="50">
        <f t="shared" si="37"/>
        <v>3.5547181861431656</v>
      </c>
      <c r="H311" s="70">
        <f t="shared" si="36"/>
        <v>3.5547181861431656</v>
      </c>
      <c r="I311">
        <f t="shared" si="44"/>
        <v>667.19492256333263</v>
      </c>
      <c r="J311">
        <f t="shared" si="45"/>
        <v>63.597461281666313</v>
      </c>
      <c r="K311">
        <f t="shared" si="39"/>
        <v>63.597461281666313</v>
      </c>
      <c r="L311" s="55">
        <f t="shared" si="46"/>
        <v>75.493963805305313</v>
      </c>
      <c r="M311">
        <f t="shared" si="47"/>
        <v>38.41574301855362</v>
      </c>
      <c r="N311" s="76"/>
      <c r="O311" s="52"/>
      <c r="P311" s="52"/>
    </row>
    <row r="312" spans="1:16" x14ac:dyDescent="0.3">
      <c r="C312" s="13">
        <v>45498</v>
      </c>
      <c r="D312" s="53">
        <v>2.0125000000000002</v>
      </c>
      <c r="E312" s="15">
        <f t="shared" si="42"/>
        <v>55.349999999999909</v>
      </c>
      <c r="F312" s="15">
        <f t="shared" si="43"/>
        <v>25.683333333333241</v>
      </c>
      <c r="G312" s="50">
        <f t="shared" si="37"/>
        <v>3.5636160993657224</v>
      </c>
      <c r="H312" s="70">
        <f t="shared" si="36"/>
        <v>3.5636160993657224</v>
      </c>
      <c r="I312">
        <f t="shared" si="44"/>
        <v>667.7888585798936</v>
      </c>
      <c r="J312">
        <f t="shared" si="45"/>
        <v>63.894429289946792</v>
      </c>
      <c r="K312">
        <f t="shared" si="39"/>
        <v>63.894429289946792</v>
      </c>
      <c r="L312" s="55">
        <f t="shared" si="46"/>
        <v>75.779024084427121</v>
      </c>
      <c r="M312">
        <f t="shared" si="47"/>
        <v>38.477727792580438</v>
      </c>
      <c r="N312" s="76"/>
      <c r="O312" s="52"/>
      <c r="P312" s="52"/>
    </row>
    <row r="313" spans="1:16" x14ac:dyDescent="0.3">
      <c r="C313" s="13">
        <v>45498</v>
      </c>
      <c r="D313" s="53">
        <v>2.0159722222222198</v>
      </c>
      <c r="E313" s="15">
        <f t="shared" si="42"/>
        <v>55.433333333333238</v>
      </c>
      <c r="F313" s="15">
        <f t="shared" si="43"/>
        <v>25.766666666666573</v>
      </c>
      <c r="G313" s="50">
        <f t="shared" si="37"/>
        <v>3.5725362852005</v>
      </c>
      <c r="H313" s="70">
        <f t="shared" si="36"/>
        <v>3.5725362852005</v>
      </c>
      <c r="I313">
        <f t="shared" si="44"/>
        <v>668.38428129409374</v>
      </c>
      <c r="J313">
        <f t="shared" si="45"/>
        <v>64.192140647046841</v>
      </c>
      <c r="K313">
        <f t="shared" si="39"/>
        <v>64.192140647046841</v>
      </c>
      <c r="L313" s="55">
        <f t="shared" si="46"/>
        <v>76.064289384583915</v>
      </c>
      <c r="M313">
        <f t="shared" si="47"/>
        <v>38.539757147292306</v>
      </c>
      <c r="N313" s="76"/>
      <c r="O313" s="52"/>
      <c r="P313" s="52"/>
    </row>
    <row r="314" spans="1:16" x14ac:dyDescent="0.3">
      <c r="C314" s="13">
        <v>45498</v>
      </c>
      <c r="D314" s="53">
        <v>2.0194444444444399</v>
      </c>
      <c r="E314" s="15">
        <f t="shared" si="42"/>
        <v>55.516666666666573</v>
      </c>
      <c r="F314" s="15">
        <f t="shared" si="43"/>
        <v>25.849999999999905</v>
      </c>
      <c r="G314" s="50">
        <f t="shared" si="37"/>
        <v>3.5814787993986901</v>
      </c>
      <c r="H314" s="70">
        <f t="shared" si="36"/>
        <v>3.5814787993986901</v>
      </c>
      <c r="I314">
        <f t="shared" si="44"/>
        <v>668.98119442732684</v>
      </c>
      <c r="J314">
        <f t="shared" si="45"/>
        <v>64.490597213663392</v>
      </c>
      <c r="K314">
        <f t="shared" si="39"/>
        <v>64.490597213663392</v>
      </c>
      <c r="L314" s="55">
        <f t="shared" si="46"/>
        <v>76.349759034624071</v>
      </c>
      <c r="M314">
        <f t="shared" si="47"/>
        <v>38.601830936751035</v>
      </c>
      <c r="N314" s="76"/>
      <c r="O314" s="52"/>
      <c r="P314" s="52"/>
    </row>
    <row r="315" spans="1:16" x14ac:dyDescent="0.3">
      <c r="C315" s="13">
        <v>45498</v>
      </c>
      <c r="D315" s="53">
        <v>2.0229166666666698</v>
      </c>
      <c r="E315" s="15">
        <f t="shared" si="42"/>
        <v>55.599999999999909</v>
      </c>
      <c r="F315" s="15">
        <f t="shared" si="43"/>
        <v>25.933333333333238</v>
      </c>
      <c r="G315" s="50">
        <f t="shared" si="37"/>
        <v>3.5904436978510348</v>
      </c>
      <c r="H315" s="70">
        <f t="shared" si="36"/>
        <v>3.5904436978510348</v>
      </c>
      <c r="I315">
        <f t="shared" si="44"/>
        <v>669.57960171030197</v>
      </c>
      <c r="J315">
        <f t="shared" si="45"/>
        <v>64.789800855150972</v>
      </c>
      <c r="K315">
        <f t="shared" si="39"/>
        <v>64.789800855150972</v>
      </c>
      <c r="L315" s="55">
        <f t="shared" si="46"/>
        <v>76.635432361155921</v>
      </c>
      <c r="M315">
        <f t="shared" si="47"/>
        <v>38.663949014531354</v>
      </c>
      <c r="N315" s="76"/>
      <c r="O315" s="52"/>
      <c r="P315" s="52"/>
    </row>
    <row r="316" spans="1:16" x14ac:dyDescent="0.3">
      <c r="C316" s="13">
        <v>45498</v>
      </c>
      <c r="D316" s="53">
        <v>2.0263888888888899</v>
      </c>
      <c r="E316" s="15">
        <f t="shared" si="42"/>
        <v>55.683333333333238</v>
      </c>
      <c r="F316" s="15">
        <f t="shared" si="43"/>
        <v>26.01666666666657</v>
      </c>
      <c r="G316" s="50">
        <f t="shared" si="37"/>
        <v>3.5994310365881783</v>
      </c>
      <c r="H316" s="70">
        <f t="shared" si="36"/>
        <v>3.5994310365881783</v>
      </c>
      <c r="I316">
        <f t="shared" si="44"/>
        <v>670.17950688306667</v>
      </c>
      <c r="J316">
        <f t="shared" si="45"/>
        <v>65.089753441533318</v>
      </c>
      <c r="K316">
        <f t="shared" si="39"/>
        <v>65.089753441533318</v>
      </c>
      <c r="L316" s="55">
        <f t="shared" si="46"/>
        <v>76.921308688552671</v>
      </c>
      <c r="M316">
        <f t="shared" si="47"/>
        <v>38.726111233721966</v>
      </c>
      <c r="N316" s="76"/>
      <c r="O316" s="52"/>
      <c r="P316" s="52"/>
    </row>
    <row r="317" spans="1:16" x14ac:dyDescent="0.3">
      <c r="C317" s="13">
        <v>45498</v>
      </c>
      <c r="D317" s="53">
        <v>2.02986111111111</v>
      </c>
      <c r="E317" s="15">
        <f t="shared" si="42"/>
        <v>55.766666666666566</v>
      </c>
      <c r="F317" s="15">
        <f t="shared" si="43"/>
        <v>26.099999999999902</v>
      </c>
      <c r="G317" s="50">
        <f t="shared" si="37"/>
        <v>3.6084408717810179</v>
      </c>
      <c r="H317" s="70">
        <f t="shared" si="36"/>
        <v>3.6084408717810179</v>
      </c>
      <c r="I317">
        <f t="shared" si="44"/>
        <v>670.78091369503022</v>
      </c>
      <c r="J317">
        <f t="shared" si="45"/>
        <v>65.390456847515068</v>
      </c>
      <c r="K317">
        <f t="shared" si="39"/>
        <v>65.390456847515068</v>
      </c>
      <c r="L317" s="55">
        <f t="shared" si="46"/>
        <v>77.207387338957361</v>
      </c>
      <c r="M317">
        <f t="shared" si="47"/>
        <v>38.788317446926627</v>
      </c>
      <c r="N317" s="76"/>
      <c r="O317" s="52"/>
      <c r="P317" s="52"/>
    </row>
    <row r="318" spans="1:16" x14ac:dyDescent="0.3">
      <c r="C318" s="13">
        <v>45498</v>
      </c>
      <c r="D318" s="53">
        <v>2.0333333333333301</v>
      </c>
      <c r="E318" s="15">
        <f t="shared" si="42"/>
        <v>55.849999999999902</v>
      </c>
      <c r="F318" s="15">
        <f t="shared" si="43"/>
        <v>26.183333333333234</v>
      </c>
      <c r="G318" s="50">
        <f t="shared" si="37"/>
        <v>3.6174732597410517</v>
      </c>
      <c r="H318" s="70">
        <f t="shared" si="36"/>
        <v>3.6174732597410517</v>
      </c>
      <c r="I318">
        <f t="shared" si="44"/>
        <v>671.38382590498702</v>
      </c>
      <c r="J318">
        <f t="shared" si="45"/>
        <v>65.691912952493496</v>
      </c>
      <c r="K318">
        <f t="shared" si="39"/>
        <v>65.691912952493496</v>
      </c>
      <c r="L318" s="55">
        <f t="shared" si="46"/>
        <v>77.493667632287796</v>
      </c>
      <c r="M318">
        <f t="shared" si="47"/>
        <v>38.850567506265257</v>
      </c>
      <c r="N318" s="76"/>
      <c r="O318" s="52"/>
      <c r="P318" s="52"/>
    </row>
    <row r="319" spans="1:16" x14ac:dyDescent="0.3">
      <c r="C319" s="13">
        <v>45498</v>
      </c>
      <c r="D319" s="53">
        <v>2.0368055555555502</v>
      </c>
      <c r="E319" s="15">
        <f t="shared" si="42"/>
        <v>55.933333333333238</v>
      </c>
      <c r="F319" s="15">
        <f t="shared" si="43"/>
        <v>26.266666666666566</v>
      </c>
      <c r="G319" s="50">
        <f t="shared" si="37"/>
        <v>3.6265282569207349</v>
      </c>
      <c r="H319" s="70">
        <f t="shared" si="36"/>
        <v>3.6265282569207349</v>
      </c>
      <c r="I319">
        <f t="shared" si="44"/>
        <v>671.9882472811405</v>
      </c>
      <c r="J319">
        <f t="shared" si="45"/>
        <v>65.994123640570223</v>
      </c>
      <c r="K319">
        <f t="shared" si="39"/>
        <v>65.994123640570223</v>
      </c>
      <c r="L319" s="55">
        <f t="shared" si="46"/>
        <v>77.780148886241534</v>
      </c>
      <c r="M319">
        <f t="shared" si="47"/>
        <v>38.912861263374971</v>
      </c>
      <c r="N319" s="76"/>
      <c r="O319" s="52"/>
      <c r="P319" s="52"/>
    </row>
    <row r="320" spans="1:16" x14ac:dyDescent="0.3">
      <c r="C320" s="13">
        <v>45498</v>
      </c>
      <c r="D320" s="53">
        <v>2.0402777777777801</v>
      </c>
      <c r="E320" s="15">
        <f t="shared" si="42"/>
        <v>56.016666666666566</v>
      </c>
      <c r="F320" s="15">
        <f t="shared" si="43"/>
        <v>26.349999999999898</v>
      </c>
      <c r="G320" s="50">
        <f t="shared" si="37"/>
        <v>3.6356059199138291</v>
      </c>
      <c r="H320" s="70">
        <f t="shared" si="36"/>
        <v>3.6356059199138291</v>
      </c>
      <c r="I320">
        <f t="shared" si="44"/>
        <v>672.59418160112614</v>
      </c>
      <c r="J320">
        <f t="shared" si="45"/>
        <v>66.297090800563041</v>
      </c>
      <c r="K320">
        <f t="shared" si="39"/>
        <v>66.297090800563041</v>
      </c>
      <c r="L320" s="55">
        <f t="shared" si="46"/>
        <v>78.066830416301073</v>
      </c>
      <c r="M320">
        <f t="shared" si="47"/>
        <v>38.975198569411248</v>
      </c>
      <c r="N320" s="76"/>
      <c r="O320" s="52"/>
      <c r="P320" s="52"/>
    </row>
    <row r="321" spans="2:16" x14ac:dyDescent="0.3">
      <c r="C321" s="13">
        <v>45498</v>
      </c>
      <c r="D321" s="53">
        <v>2.0437500000000002</v>
      </c>
      <c r="E321" s="15">
        <f t="shared" si="42"/>
        <v>56.099999999999895</v>
      </c>
      <c r="F321" s="15">
        <f t="shared" si="43"/>
        <v>26.433333333333231</v>
      </c>
      <c r="G321" s="50">
        <f t="shared" si="37"/>
        <v>3.6447063054557578</v>
      </c>
      <c r="H321" s="70">
        <f t="shared" si="36"/>
        <v>3.6447063054557578</v>
      </c>
      <c r="I321">
        <f t="shared" si="44"/>
        <v>673.20163265203541</v>
      </c>
      <c r="J321">
        <f t="shared" si="45"/>
        <v>66.600816326017693</v>
      </c>
      <c r="K321">
        <f t="shared" si="39"/>
        <v>66.600816326017693</v>
      </c>
      <c r="L321" s="55">
        <f t="shared" si="46"/>
        <v>78.353711535738825</v>
      </c>
      <c r="M321">
        <f t="shared" si="47"/>
        <v>39.037579275048991</v>
      </c>
      <c r="N321" s="76"/>
      <c r="O321" s="52"/>
      <c r="P321" s="52"/>
    </row>
    <row r="322" spans="2:16" x14ac:dyDescent="0.3">
      <c r="C322" s="13">
        <v>45498</v>
      </c>
      <c r="D322" s="53">
        <v>2.0472222222222198</v>
      </c>
      <c r="E322" s="15">
        <f t="shared" si="42"/>
        <v>56.183333333333231</v>
      </c>
      <c r="F322" s="15">
        <f t="shared" si="43"/>
        <v>26.516666666666563</v>
      </c>
      <c r="G322" s="50">
        <f t="shared" si="37"/>
        <v>3.6538294704239593</v>
      </c>
      <c r="H322" s="70">
        <f t="shared" si="36"/>
        <v>3.6538294704239593</v>
      </c>
      <c r="I322">
        <f t="shared" si="44"/>
        <v>673.81060423043937</v>
      </c>
      <c r="J322">
        <f t="shared" si="45"/>
        <v>66.905302115219683</v>
      </c>
      <c r="K322">
        <f t="shared" si="39"/>
        <v>66.905302115219683</v>
      </c>
      <c r="L322" s="55">
        <f t="shared" si="46"/>
        <v>78.640791555622428</v>
      </c>
      <c r="M322">
        <f t="shared" si="47"/>
        <v>39.100003230483686</v>
      </c>
      <c r="N322" s="76"/>
      <c r="O322" s="52"/>
      <c r="P322" s="52"/>
    </row>
    <row r="323" spans="2:16" x14ac:dyDescent="0.3">
      <c r="C323" s="13">
        <v>45498</v>
      </c>
      <c r="D323" s="53">
        <v>2.0506944444444399</v>
      </c>
      <c r="E323" s="15">
        <f t="shared" si="42"/>
        <v>56.266666666666566</v>
      </c>
      <c r="F323" s="15">
        <f t="shared" si="43"/>
        <v>26.599999999999895</v>
      </c>
      <c r="G323" s="50">
        <f t="shared" si="37"/>
        <v>3.6629754718382448</v>
      </c>
      <c r="H323" s="70">
        <f t="shared" si="36"/>
        <v>3.6629754718382448</v>
      </c>
      <c r="I323">
        <f t="shared" si="44"/>
        <v>674.42110014241246</v>
      </c>
      <c r="J323">
        <f t="shared" si="45"/>
        <v>67.2105500712062</v>
      </c>
      <c r="K323">
        <f t="shared" si="39"/>
        <v>67.2105500712062</v>
      </c>
      <c r="L323" s="55">
        <f t="shared" si="46"/>
        <v>78.928069784819854</v>
      </c>
      <c r="M323">
        <f t="shared" si="47"/>
        <v>39.162470285432505</v>
      </c>
      <c r="N323" s="76"/>
      <c r="O323" s="52"/>
      <c r="P323" s="52"/>
    </row>
    <row r="324" spans="2:16" x14ac:dyDescent="0.3">
      <c r="C324" s="13">
        <v>45498</v>
      </c>
      <c r="D324" s="53">
        <v>2.05416666666666</v>
      </c>
      <c r="E324" s="15">
        <f t="shared" si="42"/>
        <v>56.349999999999895</v>
      </c>
      <c r="F324" s="15">
        <f t="shared" si="43"/>
        <v>26.683333333333227</v>
      </c>
      <c r="G324" s="50">
        <f t="shared" si="37"/>
        <v>3.6721443668611533</v>
      </c>
      <c r="H324" s="70">
        <f t="shared" ref="H324:H387" si="48">G324</f>
        <v>3.6721443668611533</v>
      </c>
      <c r="I324">
        <f t="shared" si="44"/>
        <v>675.03312420355599</v>
      </c>
      <c r="J324">
        <f t="shared" si="45"/>
        <v>67.516562101777964</v>
      </c>
      <c r="K324">
        <f t="shared" si="39"/>
        <v>67.516562101777964</v>
      </c>
      <c r="L324" s="55">
        <f t="shared" si="46"/>
        <v>79.215545530004761</v>
      </c>
      <c r="M324">
        <f t="shared" si="47"/>
        <v>39.224980289135488</v>
      </c>
      <c r="N324" s="76"/>
      <c r="O324" s="52"/>
      <c r="P324" s="52"/>
    </row>
    <row r="325" spans="2:16" x14ac:dyDescent="0.3">
      <c r="C325" s="13">
        <v>45498</v>
      </c>
      <c r="D325" s="53">
        <v>2.0576388888888899</v>
      </c>
      <c r="E325" s="15">
        <f t="shared" si="42"/>
        <v>56.433333333333223</v>
      </c>
      <c r="F325" s="15">
        <f t="shared" si="43"/>
        <v>26.766666666666559</v>
      </c>
      <c r="G325" s="50">
        <f t="shared" ref="G325:G388" si="49">$G$4*EXP($T$1*F325)</f>
        <v>3.6813362127983082</v>
      </c>
      <c r="H325" s="70">
        <f t="shared" si="48"/>
        <v>3.6813362127983082</v>
      </c>
      <c r="I325">
        <f t="shared" si="44"/>
        <v>675.64668023902232</v>
      </c>
      <c r="J325">
        <f t="shared" si="45"/>
        <v>67.823340119511158</v>
      </c>
      <c r="K325">
        <f t="shared" ref="K325:K388" si="50">J325</f>
        <v>67.823340119511158</v>
      </c>
      <c r="L325" s="55">
        <f t="shared" si="46"/>
        <v>79.503218095661765</v>
      </c>
      <c r="M325">
        <f t="shared" si="47"/>
        <v>39.287533090356682</v>
      </c>
      <c r="N325" s="76"/>
      <c r="O325" s="52"/>
      <c r="P325" s="52"/>
    </row>
    <row r="326" spans="2:16" x14ac:dyDescent="0.3">
      <c r="C326" s="13">
        <v>45498</v>
      </c>
      <c r="D326" s="53">
        <v>2.06111111111111</v>
      </c>
      <c r="E326" s="15">
        <f t="shared" ref="E326:E389" si="51">$E$3+F326</f>
        <v>56.516666666666559</v>
      </c>
      <c r="F326" s="15">
        <f t="shared" ref="F326:F389" si="52">F325+5/60</f>
        <v>26.849999999999891</v>
      </c>
      <c r="G326" s="50">
        <f t="shared" si="49"/>
        <v>3.6905510670987769</v>
      </c>
      <c r="H326" s="70">
        <f t="shared" si="48"/>
        <v>3.6905510670987769</v>
      </c>
      <c r="I326">
        <f t="shared" ref="I326:I389" si="53">I325+(G326+H326)*5/60</f>
        <v>676.26177208353874</v>
      </c>
      <c r="J326">
        <f t="shared" si="45"/>
        <v>68.130886041769386</v>
      </c>
      <c r="K326">
        <f t="shared" si="50"/>
        <v>68.130886041769386</v>
      </c>
      <c r="L326" s="55">
        <f t="shared" si="46"/>
        <v>79.791086784091803</v>
      </c>
      <c r="M326">
        <f t="shared" si="47"/>
        <v>39.350128537385302</v>
      </c>
      <c r="N326" s="76"/>
      <c r="O326" s="52"/>
      <c r="P326" s="52"/>
    </row>
    <row r="327" spans="2:16" x14ac:dyDescent="0.3">
      <c r="C327" s="13">
        <v>45498</v>
      </c>
      <c r="D327" s="53">
        <v>2.0645833333333301</v>
      </c>
      <c r="E327" s="15">
        <f t="shared" si="51"/>
        <v>56.599999999999895</v>
      </c>
      <c r="F327" s="15">
        <f t="shared" si="52"/>
        <v>26.933333333333223</v>
      </c>
      <c r="G327" s="50">
        <f t="shared" si="49"/>
        <v>3.6997889873554279</v>
      </c>
      <c r="H327" s="70">
        <f t="shared" si="48"/>
        <v>3.6997889873554279</v>
      </c>
      <c r="I327">
        <f t="shared" si="53"/>
        <v>676.87840358143137</v>
      </c>
      <c r="J327">
        <f t="shared" si="45"/>
        <v>68.439201790715671</v>
      </c>
      <c r="K327">
        <f t="shared" si="50"/>
        <v>68.439201790715671</v>
      </c>
      <c r="L327" s="55">
        <f t="shared" si="46"/>
        <v>80.079150895417584</v>
      </c>
      <c r="M327">
        <f t="shared" si="47"/>
        <v>39.412766478036922</v>
      </c>
      <c r="N327" s="76"/>
      <c r="O327" s="52"/>
      <c r="P327" s="52"/>
    </row>
    <row r="328" spans="2:16" x14ac:dyDescent="0.3">
      <c r="C328" s="13">
        <v>45498</v>
      </c>
      <c r="D328" s="53">
        <v>2.0680555555555502</v>
      </c>
      <c r="E328" s="15">
        <f t="shared" si="51"/>
        <v>56.683333333333223</v>
      </c>
      <c r="F328" s="15">
        <f t="shared" si="52"/>
        <v>27.016666666666556</v>
      </c>
      <c r="G328" s="50">
        <f t="shared" si="49"/>
        <v>3.7090500313052943</v>
      </c>
      <c r="H328" s="70">
        <f t="shared" si="48"/>
        <v>3.7090500313052943</v>
      </c>
      <c r="I328">
        <f t="shared" si="53"/>
        <v>677.49657858664887</v>
      </c>
      <c r="J328">
        <f t="shared" si="45"/>
        <v>68.748289293324447</v>
      </c>
      <c r="K328">
        <f t="shared" si="50"/>
        <v>68.748289293324447</v>
      </c>
      <c r="L328" s="55">
        <f t="shared" si="46"/>
        <v>80.367409727589049</v>
      </c>
      <c r="M328">
        <f t="shared" si="47"/>
        <v>39.475446759654659</v>
      </c>
      <c r="N328" s="76"/>
      <c r="O328" s="52"/>
      <c r="P328" s="52"/>
    </row>
    <row r="329" spans="2:16" x14ac:dyDescent="0.3">
      <c r="C329" s="13">
        <v>45498</v>
      </c>
      <c r="D329" s="53">
        <v>2.0715277777777801</v>
      </c>
      <c r="E329" s="15">
        <f t="shared" si="51"/>
        <v>56.766666666666552</v>
      </c>
      <c r="F329" s="15">
        <f t="shared" si="52"/>
        <v>27.099999999999888</v>
      </c>
      <c r="G329" s="50">
        <f t="shared" si="49"/>
        <v>3.7183342568299298</v>
      </c>
      <c r="H329" s="70">
        <f t="shared" si="48"/>
        <v>3.7183342568299298</v>
      </c>
      <c r="I329">
        <f t="shared" si="53"/>
        <v>678.11630096278714</v>
      </c>
      <c r="J329">
        <f t="shared" si="45"/>
        <v>69.058150481393611</v>
      </c>
      <c r="K329">
        <f t="shared" si="50"/>
        <v>69.058150481393611</v>
      </c>
      <c r="L329" s="55">
        <f t="shared" si="46"/>
        <v>80.655862576388856</v>
      </c>
      <c r="M329">
        <f t="shared" si="47"/>
        <v>39.538169229110359</v>
      </c>
      <c r="N329" s="76"/>
      <c r="O329" s="52"/>
      <c r="P329" s="52"/>
    </row>
    <row r="330" spans="2:16" x14ac:dyDescent="0.3">
      <c r="C330" s="13">
        <v>45498</v>
      </c>
      <c r="D330" s="53">
        <v>2.0750000000000002</v>
      </c>
      <c r="E330" s="15">
        <f t="shared" si="51"/>
        <v>56.849999999999888</v>
      </c>
      <c r="F330" s="15">
        <f t="shared" si="52"/>
        <v>27.18333333333322</v>
      </c>
      <c r="G330" s="50">
        <f t="shared" si="49"/>
        <v>3.7276417219557736</v>
      </c>
      <c r="H330" s="70">
        <f t="shared" si="48"/>
        <v>3.7276417219557736</v>
      </c>
      <c r="I330">
        <f t="shared" si="53"/>
        <v>678.73757458311309</v>
      </c>
      <c r="J330">
        <f t="shared" si="45"/>
        <v>69.368787291556586</v>
      </c>
      <c r="K330">
        <f t="shared" si="50"/>
        <v>69.368787291556586</v>
      </c>
      <c r="L330" s="55">
        <f t="shared" si="46"/>
        <v>80.944508735437978</v>
      </c>
      <c r="M330">
        <f t="shared" si="47"/>
        <v>39.600933732805821</v>
      </c>
      <c r="N330" s="76"/>
      <c r="O330" s="52"/>
      <c r="P330" s="52"/>
    </row>
    <row r="331" spans="2:16" x14ac:dyDescent="0.3">
      <c r="B331" s="56"/>
      <c r="C331" s="13">
        <v>45498</v>
      </c>
      <c r="D331" s="53">
        <v>2.0784722222222198</v>
      </c>
      <c r="E331" s="15">
        <f t="shared" si="51"/>
        <v>56.933333333333223</v>
      </c>
      <c r="F331" s="15">
        <f t="shared" si="52"/>
        <v>27.266666666666552</v>
      </c>
      <c r="G331" s="50">
        <f t="shared" si="49"/>
        <v>3.7369724848545145</v>
      </c>
      <c r="H331" s="70">
        <f t="shared" si="48"/>
        <v>3.7369724848545145</v>
      </c>
      <c r="I331">
        <f t="shared" si="53"/>
        <v>679.36040333058884</v>
      </c>
      <c r="J331">
        <f t="shared" si="45"/>
        <v>69.680201665294462</v>
      </c>
      <c r="K331">
        <f t="shared" si="50"/>
        <v>69.680201665294462</v>
      </c>
      <c r="L331" s="55">
        <f t="shared" si="46"/>
        <v>81.233347496201276</v>
      </c>
      <c r="M331">
        <f t="shared" si="47"/>
        <v>39.66374011667402</v>
      </c>
      <c r="N331" s="76"/>
      <c r="O331" s="52"/>
      <c r="P331" s="52"/>
    </row>
    <row r="332" spans="2:16" x14ac:dyDescent="0.3">
      <c r="C332" s="13">
        <v>45498</v>
      </c>
      <c r="D332" s="53">
        <v>2.0819444444444399</v>
      </c>
      <c r="E332" s="15">
        <f t="shared" si="51"/>
        <v>57.016666666666552</v>
      </c>
      <c r="F332" s="15">
        <f t="shared" si="52"/>
        <v>27.349999999999884</v>
      </c>
      <c r="G332" s="50">
        <f t="shared" si="49"/>
        <v>3.7463266038434502</v>
      </c>
      <c r="H332" s="70">
        <f t="shared" si="48"/>
        <v>3.7463266038434502</v>
      </c>
      <c r="I332">
        <f t="shared" si="53"/>
        <v>679.98479109789605</v>
      </c>
      <c r="J332">
        <f t="shared" si="45"/>
        <v>69.992395548948082</v>
      </c>
      <c r="K332">
        <f t="shared" si="50"/>
        <v>69.992395548948082</v>
      </c>
      <c r="L332" s="55">
        <f t="shared" si="46"/>
        <v>81.522378147993209</v>
      </c>
      <c r="M332">
        <f t="shared" si="47"/>
        <v>39.726588226180333</v>
      </c>
      <c r="N332" s="76"/>
      <c r="O332" s="52"/>
      <c r="P332" s="52"/>
    </row>
    <row r="333" spans="2:16" x14ac:dyDescent="0.3">
      <c r="C333" s="13">
        <v>45498</v>
      </c>
      <c r="D333" s="53">
        <v>2.08541666666666</v>
      </c>
      <c r="E333" s="15">
        <f t="shared" si="51"/>
        <v>57.099999999999881</v>
      </c>
      <c r="F333" s="15">
        <f t="shared" si="52"/>
        <v>27.433333333333216</v>
      </c>
      <c r="G333" s="50">
        <f t="shared" si="49"/>
        <v>3.7557041373858557</v>
      </c>
      <c r="H333" s="70">
        <f t="shared" si="48"/>
        <v>3.7557041373858557</v>
      </c>
      <c r="I333">
        <f t="shared" si="53"/>
        <v>680.61074178746037</v>
      </c>
      <c r="J333">
        <f t="shared" si="45"/>
        <v>70.305370893730242</v>
      </c>
      <c r="K333">
        <f t="shared" si="50"/>
        <v>70.305370893730242</v>
      </c>
      <c r="L333" s="55">
        <f t="shared" si="46"/>
        <v>81.811599977983477</v>
      </c>
      <c r="M333">
        <f t="shared" si="47"/>
        <v>39.789477906323775</v>
      </c>
      <c r="N333" s="76"/>
      <c r="O333" s="52"/>
      <c r="P333" s="52"/>
    </row>
    <row r="334" spans="2:16" x14ac:dyDescent="0.3">
      <c r="C334" s="13">
        <v>45498</v>
      </c>
      <c r="D334" s="53">
        <v>2.0888888888888899</v>
      </c>
      <c r="E334" s="15">
        <f t="shared" si="51"/>
        <v>57.183333333333216</v>
      </c>
      <c r="F334" s="15">
        <f t="shared" si="52"/>
        <v>27.516666666666548</v>
      </c>
      <c r="G334" s="50">
        <f t="shared" si="49"/>
        <v>3.7651051440913452</v>
      </c>
      <c r="H334" s="70">
        <f t="shared" si="48"/>
        <v>3.7651051440913452</v>
      </c>
      <c r="I334">
        <f t="shared" si="53"/>
        <v>681.23825931147564</v>
      </c>
      <c r="J334">
        <f t="shared" si="45"/>
        <v>70.619129655737851</v>
      </c>
      <c r="K334">
        <f t="shared" si="50"/>
        <v>70.619129655737851</v>
      </c>
      <c r="L334" s="55">
        <f t="shared" si="46"/>
        <v>82.101012271202862</v>
      </c>
      <c r="M334">
        <f t="shared" si="47"/>
        <v>39.852409001638257</v>
      </c>
      <c r="N334" s="76"/>
      <c r="O334" s="52"/>
      <c r="P334" s="52"/>
    </row>
    <row r="335" spans="2:16" x14ac:dyDescent="0.3">
      <c r="C335" s="13">
        <v>45498</v>
      </c>
      <c r="D335" s="53">
        <v>2.09236111111111</v>
      </c>
      <c r="E335" s="15">
        <f t="shared" si="51"/>
        <v>57.266666666666552</v>
      </c>
      <c r="F335" s="15">
        <f t="shared" si="52"/>
        <v>27.599999999999881</v>
      </c>
      <c r="G335" s="50">
        <f t="shared" si="49"/>
        <v>3.7745296827162402</v>
      </c>
      <c r="H335" s="70">
        <f t="shared" si="48"/>
        <v>3.7745296827162402</v>
      </c>
      <c r="I335">
        <f t="shared" si="53"/>
        <v>681.86734759192836</v>
      </c>
      <c r="J335">
        <f t="shared" si="45"/>
        <v>70.933673795964211</v>
      </c>
      <c r="K335">
        <f t="shared" si="50"/>
        <v>70.933673795964211</v>
      </c>
      <c r="L335" s="55">
        <f t="shared" si="46"/>
        <v>82.390614310548983</v>
      </c>
      <c r="M335">
        <f t="shared" si="47"/>
        <v>39.915381356193855</v>
      </c>
      <c r="N335" s="76"/>
      <c r="O335" s="52"/>
      <c r="P335" s="52"/>
    </row>
    <row r="336" spans="2:16" x14ac:dyDescent="0.3">
      <c r="C336" s="13">
        <v>45498</v>
      </c>
      <c r="D336" s="53">
        <v>2.0958333333333301</v>
      </c>
      <c r="E336" s="15">
        <f t="shared" si="51"/>
        <v>57.349999999999881</v>
      </c>
      <c r="F336" s="15">
        <f t="shared" si="52"/>
        <v>27.683333333333213</v>
      </c>
      <c r="G336" s="50">
        <f t="shared" si="49"/>
        <v>3.7839778121639402</v>
      </c>
      <c r="H336" s="70">
        <f t="shared" si="48"/>
        <v>3.7839778121639402</v>
      </c>
      <c r="I336">
        <f t="shared" si="53"/>
        <v>682.49801056062233</v>
      </c>
      <c r="J336">
        <f t="shared" si="45"/>
        <v>71.249005280311209</v>
      </c>
      <c r="K336">
        <f t="shared" si="50"/>
        <v>71.249005280311209</v>
      </c>
      <c r="L336" s="55">
        <f t="shared" si="46"/>
        <v>82.680405376792166</v>
      </c>
      <c r="M336">
        <f t="shared" si="47"/>
        <v>39.978394813598072</v>
      </c>
      <c r="N336" s="76"/>
      <c r="O336" s="52"/>
      <c r="P336" s="52"/>
    </row>
    <row r="337" spans="3:16" x14ac:dyDescent="0.3">
      <c r="C337" s="13">
        <v>45498</v>
      </c>
      <c r="D337" s="53">
        <v>2.0993055555555502</v>
      </c>
      <c r="E337" s="15">
        <f t="shared" si="51"/>
        <v>57.433333333333209</v>
      </c>
      <c r="F337" s="15">
        <f t="shared" si="52"/>
        <v>27.766666666666545</v>
      </c>
      <c r="G337" s="50">
        <f t="shared" si="49"/>
        <v>3.7934495914852842</v>
      </c>
      <c r="H337" s="70">
        <f t="shared" si="48"/>
        <v>3.7934495914852842</v>
      </c>
      <c r="I337">
        <f t="shared" si="53"/>
        <v>683.13025215920322</v>
      </c>
      <c r="J337">
        <f t="shared" si="45"/>
        <v>71.565126079601654</v>
      </c>
      <c r="K337">
        <f t="shared" si="50"/>
        <v>71.565126079601654</v>
      </c>
      <c r="L337" s="55">
        <f t="shared" si="46"/>
        <v>82.970384748581324</v>
      </c>
      <c r="M337">
        <f t="shared" si="47"/>
        <v>40.041449216997108</v>
      </c>
      <c r="N337" s="76"/>
      <c r="O337" s="52"/>
      <c r="P337" s="52"/>
    </row>
    <row r="338" spans="3:16" x14ac:dyDescent="0.3">
      <c r="C338" s="13">
        <v>45498</v>
      </c>
      <c r="D338" s="53">
        <v>2.1027777777777801</v>
      </c>
      <c r="E338" s="15">
        <f t="shared" si="51"/>
        <v>57.516666666666545</v>
      </c>
      <c r="F338" s="15">
        <f t="shared" si="52"/>
        <v>27.849999999999877</v>
      </c>
      <c r="G338" s="50">
        <f t="shared" si="49"/>
        <v>3.8029450798789228</v>
      </c>
      <c r="H338" s="70">
        <f t="shared" si="48"/>
        <v>3.8029450798789228</v>
      </c>
      <c r="I338">
        <f t="shared" si="53"/>
        <v>683.76407633918302</v>
      </c>
      <c r="J338">
        <f t="shared" si="45"/>
        <v>71.882038169591567</v>
      </c>
      <c r="K338">
        <f t="shared" si="50"/>
        <v>71.882038169591567</v>
      </c>
      <c r="L338" s="55">
        <f t="shared" si="46"/>
        <v>83.260551702449945</v>
      </c>
      <c r="M338">
        <f t="shared" si="47"/>
        <v>40.104544409077207</v>
      </c>
      <c r="N338" s="76"/>
      <c r="O338" s="52"/>
      <c r="P338" s="52"/>
    </row>
    <row r="339" spans="3:16" x14ac:dyDescent="0.3">
      <c r="C339" s="13">
        <v>45498</v>
      </c>
      <c r="D339" s="53">
        <v>2.1062500000000002</v>
      </c>
      <c r="E339" s="15">
        <f t="shared" si="51"/>
        <v>57.599999999999881</v>
      </c>
      <c r="F339" s="15">
        <f t="shared" si="52"/>
        <v>27.933333333333209</v>
      </c>
      <c r="G339" s="50">
        <f t="shared" si="49"/>
        <v>3.8124643366916899</v>
      </c>
      <c r="H339" s="70">
        <f t="shared" si="48"/>
        <v>3.8124643366916899</v>
      </c>
      <c r="I339">
        <f t="shared" si="53"/>
        <v>684.39948706196492</v>
      </c>
      <c r="J339">
        <f t="shared" si="45"/>
        <v>72.199743530982545</v>
      </c>
      <c r="K339">
        <f t="shared" si="50"/>
        <v>72.199743530982545</v>
      </c>
      <c r="L339" s="55">
        <f t="shared" si="46"/>
        <v>83.550905512822069</v>
      </c>
      <c r="M339">
        <f t="shared" si="47"/>
        <v>40.167680232065905</v>
      </c>
      <c r="N339" s="76"/>
      <c r="O339" s="52"/>
      <c r="P339" s="52"/>
    </row>
    <row r="340" spans="3:16" x14ac:dyDescent="0.3">
      <c r="C340" s="13">
        <v>45498</v>
      </c>
      <c r="D340" s="53">
        <v>2.1097222222222198</v>
      </c>
      <c r="E340" s="15">
        <f t="shared" si="51"/>
        <v>57.683333333333209</v>
      </c>
      <c r="F340" s="15">
        <f t="shared" si="52"/>
        <v>28.016666666666541</v>
      </c>
      <c r="G340" s="50">
        <f t="shared" si="49"/>
        <v>3.8220074214189723</v>
      </c>
      <c r="H340" s="70">
        <f t="shared" si="48"/>
        <v>3.8220074214189723</v>
      </c>
      <c r="I340">
        <f t="shared" si="53"/>
        <v>685.03648829886811</v>
      </c>
      <c r="J340">
        <f t="shared" si="45"/>
        <v>72.518244149434125</v>
      </c>
      <c r="K340">
        <f t="shared" si="50"/>
        <v>72.518244149434125</v>
      </c>
      <c r="L340" s="55">
        <f t="shared" si="46"/>
        <v>83.841445452018377</v>
      </c>
      <c r="M340">
        <f t="shared" si="47"/>
        <v>40.230856527733366</v>
      </c>
      <c r="N340" s="76"/>
      <c r="O340" s="52"/>
      <c r="P340" s="52"/>
    </row>
    <row r="341" spans="3:16" x14ac:dyDescent="0.3">
      <c r="C341" s="13">
        <v>45498</v>
      </c>
      <c r="D341" s="53">
        <v>2.1131944444444399</v>
      </c>
      <c r="E341" s="15">
        <f t="shared" si="51"/>
        <v>57.766666666666538</v>
      </c>
      <c r="F341" s="15">
        <f t="shared" si="52"/>
        <v>28.099999999999874</v>
      </c>
      <c r="G341" s="50">
        <f t="shared" si="49"/>
        <v>3.8315743937050799</v>
      </c>
      <c r="H341" s="70">
        <f t="shared" si="48"/>
        <v>3.8315743937050799</v>
      </c>
      <c r="I341">
        <f t="shared" si="53"/>
        <v>685.67508403115232</v>
      </c>
      <c r="J341">
        <f t="shared" si="45"/>
        <v>72.837542015576219</v>
      </c>
      <c r="K341">
        <f t="shared" si="50"/>
        <v>72.837542015576219</v>
      </c>
      <c r="L341" s="55">
        <f t="shared" si="46"/>
        <v>84.132170790262236</v>
      </c>
      <c r="M341">
        <f t="shared" si="47"/>
        <v>40.294073137393724</v>
      </c>
      <c r="N341" s="76"/>
      <c r="O341" s="52"/>
      <c r="P341" s="52"/>
    </row>
    <row r="342" spans="3:16" x14ac:dyDescent="0.3">
      <c r="C342" s="13">
        <v>45498</v>
      </c>
      <c r="D342" s="53">
        <v>2.11666666666666</v>
      </c>
      <c r="E342" s="15">
        <f t="shared" si="51"/>
        <v>57.849999999999874</v>
      </c>
      <c r="F342" s="15">
        <f t="shared" si="52"/>
        <v>28.183333333333206</v>
      </c>
      <c r="G342" s="50">
        <f t="shared" si="49"/>
        <v>3.8411653133436205</v>
      </c>
      <c r="H342" s="70">
        <f t="shared" si="48"/>
        <v>3.8411653133436205</v>
      </c>
      <c r="I342">
        <f t="shared" si="53"/>
        <v>686.31527825004298</v>
      </c>
      <c r="J342">
        <f t="shared" si="45"/>
        <v>73.157639125021518</v>
      </c>
      <c r="K342">
        <f t="shared" si="50"/>
        <v>73.157639125021518</v>
      </c>
      <c r="L342" s="55">
        <f t="shared" si="46"/>
        <v>84.423080795685848</v>
      </c>
      <c r="M342">
        <f t="shared" si="47"/>
        <v>40.35732990190639</v>
      </c>
      <c r="N342" s="76"/>
      <c r="O342" s="52"/>
      <c r="P342" s="52"/>
    </row>
    <row r="343" spans="3:16" x14ac:dyDescent="0.3">
      <c r="C343" s="13">
        <v>45498</v>
      </c>
      <c r="D343" s="53">
        <v>2.1201388888888899</v>
      </c>
      <c r="E343" s="15">
        <f t="shared" si="51"/>
        <v>57.933333333333209</v>
      </c>
      <c r="F343" s="15">
        <f t="shared" si="52"/>
        <v>28.266666666666538</v>
      </c>
      <c r="G343" s="50">
        <f t="shared" si="49"/>
        <v>3.850780240277873</v>
      </c>
      <c r="H343" s="70">
        <f t="shared" si="48"/>
        <v>3.850780240277873</v>
      </c>
      <c r="I343">
        <f t="shared" si="53"/>
        <v>686.95707495675595</v>
      </c>
      <c r="J343">
        <f t="shared" si="45"/>
        <v>73.478537478378001</v>
      </c>
      <c r="K343">
        <f t="shared" si="50"/>
        <v>73.478537478378001</v>
      </c>
      <c r="L343" s="55">
        <f t="shared" si="46"/>
        <v>84.71417473433651</v>
      </c>
      <c r="M343">
        <f t="shared" si="47"/>
        <v>40.420626661677431</v>
      </c>
      <c r="N343" s="76"/>
      <c r="O343" s="52"/>
      <c r="P343" s="52"/>
    </row>
    <row r="344" spans="3:16" x14ac:dyDescent="0.3">
      <c r="C344" s="13">
        <v>45498</v>
      </c>
      <c r="D344" s="53">
        <v>2.12361111111111</v>
      </c>
      <c r="E344" s="15">
        <f t="shared" si="51"/>
        <v>58.016666666666538</v>
      </c>
      <c r="F344" s="15">
        <f t="shared" si="52"/>
        <v>28.34999999999987</v>
      </c>
      <c r="G344" s="50">
        <f t="shared" si="49"/>
        <v>3.8604192346011623</v>
      </c>
      <c r="H344" s="70">
        <f t="shared" si="48"/>
        <v>3.8604192346011623</v>
      </c>
      <c r="I344">
        <f t="shared" si="53"/>
        <v>687.60047816252279</v>
      </c>
      <c r="J344">
        <f t="shared" si="45"/>
        <v>73.800239081261438</v>
      </c>
      <c r="K344">
        <f t="shared" si="50"/>
        <v>73.800239081261438</v>
      </c>
      <c r="L344" s="55">
        <f t="shared" si="46"/>
        <v>85.005451870182796</v>
      </c>
      <c r="M344">
        <f t="shared" si="47"/>
        <v>40.4839632566609</v>
      </c>
      <c r="N344" s="76"/>
      <c r="O344" s="52"/>
      <c r="P344" s="52"/>
    </row>
    <row r="345" spans="3:16" x14ac:dyDescent="0.3">
      <c r="C345" s="13">
        <v>45498</v>
      </c>
      <c r="D345" s="53">
        <v>2.1270833333333301</v>
      </c>
      <c r="E345" s="15">
        <f t="shared" si="51"/>
        <v>58.099999999999866</v>
      </c>
      <c r="F345" s="15">
        <f t="shared" si="52"/>
        <v>28.433333333333202</v>
      </c>
      <c r="G345" s="50">
        <f t="shared" si="49"/>
        <v>3.8700823565572353</v>
      </c>
      <c r="H345" s="70">
        <f t="shared" si="48"/>
        <v>3.8700823565572353</v>
      </c>
      <c r="I345">
        <f t="shared" si="53"/>
        <v>688.24549188861567</v>
      </c>
      <c r="J345">
        <f t="shared" si="45"/>
        <v>74.12274594430788</v>
      </c>
      <c r="K345">
        <f t="shared" si="50"/>
        <v>74.12274594430788</v>
      </c>
      <c r="L345" s="55">
        <f t="shared" si="46"/>
        <v>85.296911465120829</v>
      </c>
      <c r="M345">
        <f t="shared" si="47"/>
        <v>40.547339526360204</v>
      </c>
      <c r="N345" s="76"/>
      <c r="O345" s="52"/>
      <c r="P345" s="52"/>
    </row>
    <row r="346" spans="3:16" x14ac:dyDescent="0.3">
      <c r="C346" s="13">
        <v>45498</v>
      </c>
      <c r="D346" s="53">
        <v>2.1305555555555502</v>
      </c>
      <c r="E346" s="15">
        <f t="shared" si="51"/>
        <v>58.183333333333202</v>
      </c>
      <c r="F346" s="15">
        <f t="shared" si="52"/>
        <v>28.516666666666534</v>
      </c>
      <c r="G346" s="50">
        <f t="shared" si="49"/>
        <v>3.8797696665406343</v>
      </c>
      <c r="H346" s="70">
        <f t="shared" si="48"/>
        <v>3.8797696665406343</v>
      </c>
      <c r="I346">
        <f t="shared" si="53"/>
        <v>688.89212016637248</v>
      </c>
      <c r="J346">
        <f t="shared" si="45"/>
        <v>74.446060083186268</v>
      </c>
      <c r="K346">
        <f t="shared" si="50"/>
        <v>74.446060083186268</v>
      </c>
      <c r="L346" s="55">
        <f t="shared" si="46"/>
        <v>85.588552778980684</v>
      </c>
      <c r="M346">
        <f t="shared" si="47"/>
        <v>40.610755309829507</v>
      </c>
      <c r="N346" s="76"/>
      <c r="O346" s="52"/>
      <c r="P346" s="52"/>
    </row>
    <row r="347" spans="3:16" x14ac:dyDescent="0.3">
      <c r="C347" s="13">
        <v>45498</v>
      </c>
      <c r="D347" s="53">
        <v>2.1340277777777801</v>
      </c>
      <c r="E347" s="15">
        <f t="shared" si="51"/>
        <v>58.266666666666538</v>
      </c>
      <c r="F347" s="15">
        <f t="shared" si="52"/>
        <v>28.599999999999866</v>
      </c>
      <c r="G347" s="50">
        <f t="shared" si="49"/>
        <v>3.8894812250970783</v>
      </c>
      <c r="H347" s="70">
        <f t="shared" si="48"/>
        <v>3.8894812250970783</v>
      </c>
      <c r="I347">
        <f t="shared" si="53"/>
        <v>689.54036703722204</v>
      </c>
      <c r="J347">
        <f t="shared" si="45"/>
        <v>74.77018351861102</v>
      </c>
      <c r="K347">
        <f t="shared" si="50"/>
        <v>74.77018351861102</v>
      </c>
      <c r="L347" s="55">
        <f t="shared" si="46"/>
        <v>85.880375069532718</v>
      </c>
      <c r="M347">
        <f t="shared" si="47"/>
        <v>40.674210445675101</v>
      </c>
      <c r="N347" s="76"/>
      <c r="O347" s="52"/>
      <c r="P347" s="52"/>
    </row>
    <row r="348" spans="3:16" x14ac:dyDescent="0.3">
      <c r="C348" s="13">
        <v>45498</v>
      </c>
      <c r="D348" s="53">
        <v>2.1375000000000002</v>
      </c>
      <c r="E348" s="15">
        <f t="shared" si="51"/>
        <v>58.349999999999866</v>
      </c>
      <c r="F348" s="15">
        <f t="shared" si="52"/>
        <v>28.683333333333199</v>
      </c>
      <c r="G348" s="50">
        <f t="shared" si="49"/>
        <v>3.8992170929238399</v>
      </c>
      <c r="H348" s="70">
        <f t="shared" si="48"/>
        <v>3.8992170929238399</v>
      </c>
      <c r="I348">
        <f t="shared" si="53"/>
        <v>690.19023655270939</v>
      </c>
      <c r="J348">
        <f t="shared" si="45"/>
        <v>75.095118276354668</v>
      </c>
      <c r="K348">
        <f t="shared" si="50"/>
        <v>75.095118276354668</v>
      </c>
      <c r="L348" s="55">
        <f t="shared" si="46"/>
        <v>86.172377592494044</v>
      </c>
      <c r="M348">
        <f t="shared" si="47"/>
        <v>40.737704772056794</v>
      </c>
      <c r="N348" s="76"/>
      <c r="O348" s="52"/>
      <c r="P348" s="52"/>
    </row>
    <row r="349" spans="3:16" x14ac:dyDescent="0.3">
      <c r="C349" s="13">
        <v>45498</v>
      </c>
      <c r="D349" s="53">
        <v>2.1409722222222198</v>
      </c>
      <c r="E349" s="15">
        <f t="shared" si="51"/>
        <v>58.433333333333195</v>
      </c>
      <c r="F349" s="15">
        <f t="shared" si="52"/>
        <v>28.766666666666531</v>
      </c>
      <c r="G349" s="50">
        <f t="shared" si="49"/>
        <v>3.9089773308701257</v>
      </c>
      <c r="H349" s="70">
        <f t="shared" si="48"/>
        <v>3.9089773308701257</v>
      </c>
      <c r="I349">
        <f t="shared" si="53"/>
        <v>690.84173277452112</v>
      </c>
      <c r="J349">
        <f t="shared" si="45"/>
        <v>75.420866387260517</v>
      </c>
      <c r="K349">
        <f t="shared" si="50"/>
        <v>75.420866387260517</v>
      </c>
      <c r="L349" s="55">
        <f t="shared" si="46"/>
        <v>86.464559601535001</v>
      </c>
      <c r="M349">
        <f t="shared" si="47"/>
        <v>40.801238126689363</v>
      </c>
      <c r="N349" s="76"/>
      <c r="O349" s="52"/>
      <c r="P349" s="52"/>
    </row>
    <row r="350" spans="3:16" x14ac:dyDescent="0.3">
      <c r="C350" s="13">
        <v>45498</v>
      </c>
      <c r="D350" s="53">
        <v>2.1444444444444399</v>
      </c>
      <c r="E350" s="15">
        <f t="shared" si="51"/>
        <v>58.516666666666531</v>
      </c>
      <c r="F350" s="15">
        <f t="shared" si="52"/>
        <v>28.849999999999863</v>
      </c>
      <c r="G350" s="50">
        <f t="shared" si="49"/>
        <v>3.9187619999374537</v>
      </c>
      <c r="H350" s="70">
        <f t="shared" si="48"/>
        <v>3.9187619999374537</v>
      </c>
      <c r="I350">
        <f t="shared" si="53"/>
        <v>691.4948597745107</v>
      </c>
      <c r="J350">
        <f t="shared" si="45"/>
        <v>75.747429887255308</v>
      </c>
      <c r="K350">
        <f t="shared" si="50"/>
        <v>75.747429887255308</v>
      </c>
      <c r="L350" s="55">
        <f t="shared" si="46"/>
        <v>86.756920348285632</v>
      </c>
      <c r="M350">
        <f t="shared" si="47"/>
        <v>40.864810346843917</v>
      </c>
      <c r="N350" s="76"/>
      <c r="O350" s="52"/>
      <c r="P350" s="52"/>
    </row>
    <row r="351" spans="3:16" x14ac:dyDescent="0.3">
      <c r="C351" s="13">
        <v>45498</v>
      </c>
      <c r="D351" s="53">
        <v>2.14791666666666</v>
      </c>
      <c r="E351" s="15">
        <f t="shared" si="51"/>
        <v>58.599999999999866</v>
      </c>
      <c r="F351" s="15">
        <f t="shared" si="52"/>
        <v>28.933333333333195</v>
      </c>
      <c r="G351" s="50">
        <f t="shared" si="49"/>
        <v>3.9285711612800376</v>
      </c>
      <c r="H351" s="70">
        <f t="shared" si="48"/>
        <v>3.9285711612800376</v>
      </c>
      <c r="I351">
        <f t="shared" si="53"/>
        <v>692.14962163472399</v>
      </c>
      <c r="J351">
        <f t="shared" si="45"/>
        <v>76.074810817361978</v>
      </c>
      <c r="K351">
        <f t="shared" si="50"/>
        <v>76.074810817361978</v>
      </c>
      <c r="L351" s="55">
        <f t="shared" si="46"/>
        <v>87.049459082342366</v>
      </c>
      <c r="M351">
        <f t="shared" si="47"/>
        <v>40.928421269349364</v>
      </c>
      <c r="N351" s="76"/>
      <c r="O351" s="52"/>
      <c r="P351" s="52"/>
    </row>
    <row r="352" spans="3:16" x14ac:dyDescent="0.3">
      <c r="C352" s="13">
        <v>45498</v>
      </c>
      <c r="D352" s="53">
        <v>2.1513888888888899</v>
      </c>
      <c r="E352" s="15">
        <f t="shared" si="51"/>
        <v>58.683333333333195</v>
      </c>
      <c r="F352" s="15">
        <f t="shared" si="52"/>
        <v>29.016666666666527</v>
      </c>
      <c r="G352" s="50">
        <f t="shared" si="49"/>
        <v>3.9384048762051687</v>
      </c>
      <c r="H352" s="70">
        <f t="shared" si="48"/>
        <v>3.9384048762051687</v>
      </c>
      <c r="I352">
        <f t="shared" si="53"/>
        <v>692.80602244742488</v>
      </c>
      <c r="J352">
        <f t="shared" si="45"/>
        <v>76.403011223712411</v>
      </c>
      <c r="K352">
        <f t="shared" si="50"/>
        <v>76.403011223712411</v>
      </c>
      <c r="L352" s="55">
        <f t="shared" si="46"/>
        <v>87.342175051274509</v>
      </c>
      <c r="M352">
        <f t="shared" si="47"/>
        <v>40.992070730593824</v>
      </c>
      <c r="N352" s="76"/>
      <c r="O352" s="52"/>
      <c r="P352" s="52"/>
    </row>
    <row r="353" spans="2:16" x14ac:dyDescent="0.3">
      <c r="C353" s="13">
        <v>45498</v>
      </c>
      <c r="D353" s="53">
        <v>2.15486111111111</v>
      </c>
      <c r="E353" s="15">
        <f t="shared" si="51"/>
        <v>58.766666666666524</v>
      </c>
      <c r="F353" s="15">
        <f t="shared" si="52"/>
        <v>29.099999999999859</v>
      </c>
      <c r="G353" s="50">
        <f t="shared" si="49"/>
        <v>3.9482632061735954</v>
      </c>
      <c r="H353" s="70">
        <f t="shared" si="48"/>
        <v>3.9482632061735954</v>
      </c>
      <c r="I353">
        <f t="shared" si="53"/>
        <v>693.46406631512048</v>
      </c>
      <c r="J353">
        <f t="shared" si="45"/>
        <v>76.73203315756021</v>
      </c>
      <c r="K353">
        <f t="shared" si="50"/>
        <v>76.73203315756021</v>
      </c>
      <c r="L353" s="55">
        <f t="shared" si="46"/>
        <v>87.635067500631024</v>
      </c>
      <c r="M353">
        <f t="shared" si="47"/>
        <v>41.055758566526123</v>
      </c>
      <c r="N353" s="76"/>
      <c r="O353" s="52"/>
      <c r="P353" s="52"/>
    </row>
    <row r="354" spans="2:16" x14ac:dyDescent="0.3">
      <c r="C354" s="13">
        <v>45498</v>
      </c>
      <c r="D354" s="53">
        <v>2.1583333333333301</v>
      </c>
      <c r="E354" s="15">
        <f t="shared" si="51"/>
        <v>58.849999999999859</v>
      </c>
      <c r="F354" s="15">
        <f t="shared" si="52"/>
        <v>29.183333333333191</v>
      </c>
      <c r="G354" s="50">
        <f t="shared" si="49"/>
        <v>3.958146212799913</v>
      </c>
      <c r="H354" s="70">
        <f t="shared" si="48"/>
        <v>3.958146212799913</v>
      </c>
      <c r="I354">
        <f t="shared" si="53"/>
        <v>694.12375735058708</v>
      </c>
      <c r="J354">
        <f t="shared" si="45"/>
        <v>77.061878675293542</v>
      </c>
      <c r="K354">
        <f t="shared" si="50"/>
        <v>77.061878675293542</v>
      </c>
      <c r="L354" s="55">
        <f t="shared" si="46"/>
        <v>87.928135673947224</v>
      </c>
      <c r="M354">
        <f t="shared" si="47"/>
        <v>41.11948461265721</v>
      </c>
      <c r="N354" s="76"/>
      <c r="O354" s="52"/>
      <c r="P354" s="52"/>
    </row>
    <row r="355" spans="2:16" x14ac:dyDescent="0.3">
      <c r="C355" s="13">
        <v>45498</v>
      </c>
      <c r="D355" s="53">
        <v>2.1618055555555502</v>
      </c>
      <c r="E355" s="15">
        <f t="shared" si="51"/>
        <v>58.933333333333195</v>
      </c>
      <c r="F355" s="15">
        <f t="shared" si="52"/>
        <v>29.266666666666524</v>
      </c>
      <c r="G355" s="50">
        <f t="shared" si="49"/>
        <v>3.9680539578529457</v>
      </c>
      <c r="H355" s="70">
        <f t="shared" si="48"/>
        <v>3.9680539578529457</v>
      </c>
      <c r="I355">
        <f t="shared" si="53"/>
        <v>694.78509967689592</v>
      </c>
      <c r="J355">
        <f t="shared" si="45"/>
        <v>77.392549838447948</v>
      </c>
      <c r="K355">
        <f t="shared" si="50"/>
        <v>77.392549838447948</v>
      </c>
      <c r="L355" s="55">
        <f t="shared" si="46"/>
        <v>88.221378812751482</v>
      </c>
      <c r="M355">
        <f t="shared" si="47"/>
        <v>41.183248704061647</v>
      </c>
      <c r="N355" s="76"/>
      <c r="O355" s="52"/>
      <c r="P355" s="52"/>
    </row>
    <row r="356" spans="2:16" x14ac:dyDescent="0.3">
      <c r="C356" s="13">
        <v>45498</v>
      </c>
      <c r="D356" s="53">
        <v>2.1652777777777801</v>
      </c>
      <c r="E356" s="15">
        <f t="shared" si="51"/>
        <v>59.016666666666524</v>
      </c>
      <c r="F356" s="15">
        <f t="shared" si="52"/>
        <v>29.349999999999856</v>
      </c>
      <c r="G356" s="50">
        <f t="shared" si="49"/>
        <v>3.9779865032561319</v>
      </c>
      <c r="H356" s="70">
        <f t="shared" si="48"/>
        <v>3.9779865032561319</v>
      </c>
      <c r="I356">
        <f t="shared" si="53"/>
        <v>695.4480974274386</v>
      </c>
      <c r="J356">
        <f t="shared" si="45"/>
        <v>77.724048713719299</v>
      </c>
      <c r="K356">
        <f t="shared" si="50"/>
        <v>77.724048713719299</v>
      </c>
      <c r="L356" s="55">
        <f t="shared" si="46"/>
        <v>88.514796156572118</v>
      </c>
      <c r="M356">
        <f t="shared" si="47"/>
        <v>41.247050675379093</v>
      </c>
      <c r="N356" s="76"/>
      <c r="O356" s="52"/>
      <c r="P356" s="52"/>
    </row>
    <row r="357" spans="2:16" x14ac:dyDescent="0.3">
      <c r="C357" s="13">
        <v>45498</v>
      </c>
      <c r="D357" s="53">
        <v>2.1687500000000002</v>
      </c>
      <c r="E357" s="15">
        <f t="shared" si="51"/>
        <v>59.099999999999852</v>
      </c>
      <c r="F357" s="15">
        <f t="shared" si="52"/>
        <v>29.433333333333188</v>
      </c>
      <c r="G357" s="50">
        <f t="shared" si="49"/>
        <v>3.9879439110879118</v>
      </c>
      <c r="H357" s="70">
        <f t="shared" si="48"/>
        <v>3.9879439110879118</v>
      </c>
      <c r="I357">
        <f t="shared" si="53"/>
        <v>696.11275474595323</v>
      </c>
      <c r="J357">
        <f t="shared" si="45"/>
        <v>78.056377372976627</v>
      </c>
      <c r="K357">
        <f t="shared" si="50"/>
        <v>78.056377372976627</v>
      </c>
      <c r="L357" s="55">
        <f t="shared" si="46"/>
        <v>88.80838694294421</v>
      </c>
      <c r="M357">
        <f t="shared" si="47"/>
        <v>41.310890360815783</v>
      </c>
      <c r="N357" s="76"/>
      <c r="O357" s="52"/>
      <c r="P357" s="52"/>
    </row>
    <row r="358" spans="2:16" x14ac:dyDescent="0.3">
      <c r="C358" s="13">
        <v>45498</v>
      </c>
      <c r="D358" s="53">
        <v>2.1722222222222198</v>
      </c>
      <c r="E358" s="15">
        <f t="shared" si="51"/>
        <v>59.183333333333188</v>
      </c>
      <c r="F358" s="15">
        <f t="shared" si="52"/>
        <v>29.51666666666652</v>
      </c>
      <c r="G358" s="50">
        <f t="shared" si="49"/>
        <v>3.997926243582119</v>
      </c>
      <c r="H358" s="70">
        <f t="shared" si="48"/>
        <v>3.997926243582119</v>
      </c>
      <c r="I358">
        <f t="shared" si="53"/>
        <v>696.77907578655027</v>
      </c>
      <c r="J358">
        <f t="shared" si="45"/>
        <v>78.389537893275133</v>
      </c>
      <c r="K358">
        <f t="shared" si="50"/>
        <v>78.389537893275133</v>
      </c>
      <c r="L358" s="55">
        <f t="shared" si="46"/>
        <v>89.102150407416488</v>
      </c>
      <c r="M358">
        <f t="shared" si="47"/>
        <v>41.374767594146036</v>
      </c>
      <c r="N358" s="76"/>
      <c r="O358" s="52"/>
      <c r="P358" s="52"/>
    </row>
    <row r="359" spans="2:16" x14ac:dyDescent="0.3">
      <c r="C359" s="13">
        <v>45498</v>
      </c>
      <c r="D359" s="53">
        <v>2.1756944444444399</v>
      </c>
      <c r="E359" s="15">
        <f t="shared" si="51"/>
        <v>59.266666666666524</v>
      </c>
      <c r="F359" s="15">
        <f t="shared" si="52"/>
        <v>29.599999999999852</v>
      </c>
      <c r="G359" s="50">
        <f t="shared" si="49"/>
        <v>4.0079335631283621</v>
      </c>
      <c r="H359" s="70">
        <f t="shared" si="48"/>
        <v>4.0079335631283621</v>
      </c>
      <c r="I359">
        <f t="shared" si="53"/>
        <v>697.44706471373831</v>
      </c>
      <c r="J359">
        <f t="shared" si="45"/>
        <v>78.723532356869157</v>
      </c>
      <c r="K359">
        <f t="shared" si="50"/>
        <v>78.723532356869157</v>
      </c>
      <c r="L359" s="55">
        <f t="shared" si="46"/>
        <v>89.396085783558362</v>
      </c>
      <c r="M359">
        <f t="shared" si="47"/>
        <v>41.438682208713772</v>
      </c>
      <c r="N359" s="76"/>
      <c r="O359" s="52"/>
      <c r="P359" s="52"/>
    </row>
    <row r="360" spans="2:16" x14ac:dyDescent="0.3">
      <c r="C360" s="13">
        <v>45498</v>
      </c>
      <c r="D360" s="53">
        <v>2.17916666666666</v>
      </c>
      <c r="E360" s="15">
        <f t="shared" si="51"/>
        <v>59.349999999999852</v>
      </c>
      <c r="F360" s="15">
        <f t="shared" si="52"/>
        <v>29.683333333333184</v>
      </c>
      <c r="G360" s="50">
        <f t="shared" si="49"/>
        <v>4.0179659322724204</v>
      </c>
      <c r="H360" s="70">
        <f t="shared" si="48"/>
        <v>4.0179659322724204</v>
      </c>
      <c r="I360">
        <f t="shared" si="53"/>
        <v>698.11672570245037</v>
      </c>
      <c r="J360">
        <f t="shared" si="45"/>
        <v>79.058362851225198</v>
      </c>
      <c r="K360">
        <f t="shared" si="50"/>
        <v>79.058362851225198</v>
      </c>
      <c r="L360" s="55">
        <f t="shared" si="46"/>
        <v>89.690192302966821</v>
      </c>
      <c r="M360">
        <f t="shared" si="47"/>
        <v>41.502634037434035</v>
      </c>
      <c r="N360" s="76"/>
      <c r="O360" s="52"/>
      <c r="P360" s="52"/>
    </row>
    <row r="361" spans="2:16" x14ac:dyDescent="0.3">
      <c r="C361" s="13">
        <v>45498</v>
      </c>
      <c r="D361" s="53">
        <v>2.1826388888888899</v>
      </c>
      <c r="E361" s="15">
        <f t="shared" si="51"/>
        <v>59.433333333333181</v>
      </c>
      <c r="F361" s="15">
        <f t="shared" si="52"/>
        <v>29.766666666666517</v>
      </c>
      <c r="G361" s="50">
        <f t="shared" si="49"/>
        <v>4.0280234137166353</v>
      </c>
      <c r="H361" s="70">
        <f t="shared" si="48"/>
        <v>4.0280234137166353</v>
      </c>
      <c r="I361">
        <f t="shared" si="53"/>
        <v>698.78806293806986</v>
      </c>
      <c r="J361">
        <f t="shared" si="45"/>
        <v>79.394031469034914</v>
      </c>
      <c r="K361">
        <f t="shared" si="50"/>
        <v>79.394031469034914</v>
      </c>
      <c r="L361" s="55">
        <f t="shared" si="46"/>
        <v>89.984469195273533</v>
      </c>
      <c r="M361">
        <f t="shared" si="47"/>
        <v>41.566622912794507</v>
      </c>
      <c r="N361" s="76"/>
      <c r="O361" s="52"/>
      <c r="P361" s="52"/>
    </row>
    <row r="362" spans="2:16" x14ac:dyDescent="0.3">
      <c r="C362" s="13">
        <v>45498</v>
      </c>
      <c r="D362" s="53">
        <v>2.18611111111111</v>
      </c>
      <c r="E362" s="15">
        <f t="shared" si="51"/>
        <v>59.516666666666517</v>
      </c>
      <c r="F362" s="15">
        <f t="shared" si="52"/>
        <v>29.849999999999849</v>
      </c>
      <c r="G362" s="50">
        <f t="shared" si="49"/>
        <v>4.0381060703202989</v>
      </c>
      <c r="H362" s="70">
        <f t="shared" si="48"/>
        <v>4.0381060703202989</v>
      </c>
      <c r="I362">
        <f t="shared" si="53"/>
        <v>699.46108061645657</v>
      </c>
      <c r="J362">
        <f t="shared" ref="J362:J425" si="54">J361+G362*5/60</f>
        <v>79.730540308228271</v>
      </c>
      <c r="K362">
        <f t="shared" si="50"/>
        <v>79.730540308228271</v>
      </c>
      <c r="L362" s="55">
        <f t="shared" ref="L362:L425" si="55">((L361*I361/1000)+(G362*$T$7/1000*5/60))/(I362/1000)</f>
        <v>90.278915688151969</v>
      </c>
      <c r="M362">
        <f t="shared" ref="M362:M425" si="56">(M361*I361+G362*$T$7*$T$6*(5/60))/I362</f>
        <v>41.630648666857077</v>
      </c>
      <c r="N362" s="76"/>
      <c r="O362" s="52"/>
      <c r="P362" s="52"/>
    </row>
    <row r="363" spans="2:16" x14ac:dyDescent="0.3">
      <c r="C363" s="13">
        <v>45498</v>
      </c>
      <c r="D363" s="53">
        <v>2.1895833333333301</v>
      </c>
      <c r="E363" s="15">
        <f t="shared" si="51"/>
        <v>59.599999999999852</v>
      </c>
      <c r="F363" s="15">
        <f t="shared" si="52"/>
        <v>29.933333333333181</v>
      </c>
      <c r="G363" s="50">
        <f t="shared" si="49"/>
        <v>4.0482139651000457</v>
      </c>
      <c r="H363" s="70">
        <f t="shared" si="48"/>
        <v>4.0482139651000457</v>
      </c>
      <c r="I363">
        <f t="shared" si="53"/>
        <v>700.13578294397325</v>
      </c>
      <c r="J363">
        <f t="shared" si="54"/>
        <v>80.067891471986613</v>
      </c>
      <c r="K363">
        <f t="shared" si="50"/>
        <v>80.067891471986613</v>
      </c>
      <c r="L363" s="55">
        <f t="shared" si="55"/>
        <v>90.573531007324462</v>
      </c>
      <c r="M363">
        <f t="shared" si="56"/>
        <v>41.694711131259368</v>
      </c>
      <c r="N363" s="76"/>
      <c r="O363" s="52"/>
      <c r="P363" s="52"/>
    </row>
    <row r="364" spans="2:16" x14ac:dyDescent="0.3">
      <c r="B364" s="56"/>
      <c r="C364" s="13">
        <v>45498</v>
      </c>
      <c r="D364" s="53">
        <v>2.1930555555555502</v>
      </c>
      <c r="E364" s="15">
        <f t="shared" si="51"/>
        <v>59.683333333333181</v>
      </c>
      <c r="F364" s="15">
        <f t="shared" si="52"/>
        <v>30.016666666666513</v>
      </c>
      <c r="G364" s="50">
        <f t="shared" si="49"/>
        <v>4.0583471612302526</v>
      </c>
      <c r="H364" s="70">
        <f t="shared" si="48"/>
        <v>4.0583471612302526</v>
      </c>
      <c r="I364">
        <f t="shared" si="53"/>
        <v>700.81217413751165</v>
      </c>
      <c r="J364">
        <f t="shared" si="54"/>
        <v>80.406087068755795</v>
      </c>
      <c r="K364">
        <f t="shared" si="50"/>
        <v>80.406087068755795</v>
      </c>
      <c r="L364" s="55">
        <f t="shared" si="55"/>
        <v>90.868314376569458</v>
      </c>
      <c r="M364">
        <f t="shared" si="56"/>
        <v>41.758810137216308</v>
      </c>
      <c r="N364" s="76"/>
      <c r="O364" s="52"/>
      <c r="P364" s="52"/>
    </row>
    <row r="365" spans="2:16" x14ac:dyDescent="0.3">
      <c r="C365" s="13">
        <v>45498</v>
      </c>
      <c r="D365" s="53">
        <v>2.1965277777777801</v>
      </c>
      <c r="E365" s="15">
        <f t="shared" si="51"/>
        <v>59.766666666666509</v>
      </c>
      <c r="F365" s="15">
        <f t="shared" si="52"/>
        <v>30.099999999999845</v>
      </c>
      <c r="G365" s="50">
        <f t="shared" si="49"/>
        <v>4.0685057220434286</v>
      </c>
      <c r="H365" s="70">
        <f t="shared" si="48"/>
        <v>4.0685057220434286</v>
      </c>
      <c r="I365">
        <f t="shared" si="53"/>
        <v>701.49025842451886</v>
      </c>
      <c r="J365">
        <f t="shared" si="54"/>
        <v>80.745129212259414</v>
      </c>
      <c r="K365">
        <f t="shared" si="50"/>
        <v>80.745129212259414</v>
      </c>
      <c r="L365" s="55">
        <f t="shared" si="55"/>
        <v>91.163265017728719</v>
      </c>
      <c r="M365">
        <f t="shared" si="56"/>
        <v>41.822945515521717</v>
      </c>
      <c r="N365" s="76"/>
      <c r="O365" s="52"/>
      <c r="P365" s="52"/>
    </row>
    <row r="366" spans="2:16" x14ac:dyDescent="0.3">
      <c r="C366" s="13">
        <v>45498</v>
      </c>
      <c r="D366" s="53">
        <v>2.2000000000000002</v>
      </c>
      <c r="E366" s="15">
        <f t="shared" si="51"/>
        <v>59.849999999999845</v>
      </c>
      <c r="F366" s="15">
        <f t="shared" si="52"/>
        <v>30.183333333333177</v>
      </c>
      <c r="G366" s="50">
        <f t="shared" si="49"/>
        <v>4.0786897110306102</v>
      </c>
      <c r="H366" s="70">
        <f t="shared" si="48"/>
        <v>4.0786897110306102</v>
      </c>
      <c r="I366">
        <f t="shared" si="53"/>
        <v>702.17004004302396</v>
      </c>
      <c r="J366">
        <f t="shared" si="54"/>
        <v>81.085020021511966</v>
      </c>
      <c r="K366">
        <f t="shared" si="50"/>
        <v>81.085020021511966</v>
      </c>
      <c r="L366" s="55">
        <f t="shared" si="55"/>
        <v>91.45838215071457</v>
      </c>
      <c r="M366">
        <f t="shared" si="56"/>
        <v>41.887117096549865</v>
      </c>
      <c r="N366" s="76"/>
      <c r="O366" s="52"/>
      <c r="P366" s="52"/>
    </row>
    <row r="367" spans="2:16" x14ac:dyDescent="0.3">
      <c r="C367" s="13">
        <v>45498</v>
      </c>
      <c r="D367" s="53">
        <v>2.2034722222222198</v>
      </c>
      <c r="E367" s="15">
        <f t="shared" si="51"/>
        <v>59.933333333333181</v>
      </c>
      <c r="F367" s="15">
        <f t="shared" si="52"/>
        <v>30.266666666666509</v>
      </c>
      <c r="G367" s="50">
        <f t="shared" si="49"/>
        <v>4.0888991918417634</v>
      </c>
      <c r="H367" s="70">
        <f t="shared" si="48"/>
        <v>4.0888991918417634</v>
      </c>
      <c r="I367">
        <f t="shared" si="53"/>
        <v>702.85152324166427</v>
      </c>
      <c r="J367">
        <f t="shared" si="54"/>
        <v>81.42576162083212</v>
      </c>
      <c r="K367">
        <f t="shared" si="50"/>
        <v>81.42576162083212</v>
      </c>
      <c r="L367" s="55">
        <f t="shared" si="55"/>
        <v>91.75366499351729</v>
      </c>
      <c r="M367">
        <f t="shared" si="56"/>
        <v>41.951324710257083</v>
      </c>
      <c r="N367" s="76"/>
      <c r="O367" s="52"/>
      <c r="P367" s="52"/>
    </row>
    <row r="368" spans="2:16" x14ac:dyDescent="0.3">
      <c r="B368" s="56"/>
      <c r="C368" s="13">
        <v>45498</v>
      </c>
      <c r="D368" s="53">
        <v>2.2069444444444399</v>
      </c>
      <c r="E368" s="15">
        <f t="shared" si="51"/>
        <v>60.016666666666509</v>
      </c>
      <c r="F368" s="15">
        <f t="shared" si="52"/>
        <v>30.349999999999842</v>
      </c>
      <c r="G368" s="50">
        <f t="shared" si="49"/>
        <v>4.0991342282861751</v>
      </c>
      <c r="H368" s="70">
        <f t="shared" si="48"/>
        <v>4.0991342282861751</v>
      </c>
      <c r="I368">
        <f t="shared" si="53"/>
        <v>703.53471227971193</v>
      </c>
      <c r="J368">
        <f t="shared" si="54"/>
        <v>81.767356139855963</v>
      </c>
      <c r="K368">
        <f t="shared" si="50"/>
        <v>81.767356139855963</v>
      </c>
      <c r="L368" s="55">
        <f t="shared" si="55"/>
        <v>92.049112762212445</v>
      </c>
      <c r="M368">
        <f t="shared" si="56"/>
        <v>42.015568186183351</v>
      </c>
      <c r="N368" s="76"/>
      <c r="O368" s="52"/>
      <c r="P368" s="52"/>
    </row>
    <row r="369" spans="3:16" x14ac:dyDescent="0.3">
      <c r="C369" s="13">
        <v>45498</v>
      </c>
      <c r="D369" s="53">
        <v>2.21041666666666</v>
      </c>
      <c r="E369" s="15">
        <f t="shared" si="51"/>
        <v>60.099999999999838</v>
      </c>
      <c r="F369" s="15">
        <f t="shared" si="52"/>
        <v>30.433333333333174</v>
      </c>
      <c r="G369" s="50">
        <f t="shared" si="49"/>
        <v>4.1093948843328585</v>
      </c>
      <c r="H369" s="70">
        <f t="shared" si="48"/>
        <v>4.1093948843328585</v>
      </c>
      <c r="I369">
        <f t="shared" si="53"/>
        <v>704.21961142710074</v>
      </c>
      <c r="J369">
        <f t="shared" si="54"/>
        <v>82.109805713550372</v>
      </c>
      <c r="K369">
        <f t="shared" si="50"/>
        <v>82.109805713550372</v>
      </c>
      <c r="L369" s="55">
        <f t="shared" si="55"/>
        <v>92.344724670968247</v>
      </c>
      <c r="M369">
        <f t="shared" si="56"/>
        <v>42.079847353453914</v>
      </c>
      <c r="N369" s="76"/>
      <c r="O369" s="52"/>
      <c r="P369" s="52"/>
    </row>
    <row r="370" spans="3:16" x14ac:dyDescent="0.3">
      <c r="C370" s="13">
        <v>45498</v>
      </c>
      <c r="D370" s="53">
        <v>2.2138888888888899</v>
      </c>
      <c r="E370" s="15">
        <f t="shared" si="51"/>
        <v>60.183333333333174</v>
      </c>
      <c r="F370" s="15">
        <f t="shared" si="52"/>
        <v>30.516666666666506</v>
      </c>
      <c r="G370" s="50">
        <f t="shared" si="49"/>
        <v>4.1196812241109448</v>
      </c>
      <c r="H370" s="70">
        <f t="shared" si="48"/>
        <v>4.1196812241109448</v>
      </c>
      <c r="I370">
        <f t="shared" si="53"/>
        <v>704.90622496445258</v>
      </c>
      <c r="J370">
        <f t="shared" si="54"/>
        <v>82.453112482226288</v>
      </c>
      <c r="K370">
        <f t="shared" si="50"/>
        <v>82.453112482226288</v>
      </c>
      <c r="L370" s="55">
        <f t="shared" si="55"/>
        <v>92.640499932053103</v>
      </c>
      <c r="M370">
        <f t="shared" si="56"/>
        <v>42.144162040780927</v>
      </c>
      <c r="N370" s="76"/>
      <c r="O370" s="52"/>
      <c r="P370" s="52"/>
    </row>
    <row r="371" spans="3:16" x14ac:dyDescent="0.3">
      <c r="C371" s="13">
        <v>45498</v>
      </c>
      <c r="D371" s="53">
        <v>2.21736111111111</v>
      </c>
      <c r="E371" s="15">
        <f t="shared" si="51"/>
        <v>60.266666666666509</v>
      </c>
      <c r="F371" s="15">
        <f t="shared" si="52"/>
        <v>30.599999999999838</v>
      </c>
      <c r="G371" s="50">
        <f t="shared" si="49"/>
        <v>4.1299933119100922</v>
      </c>
      <c r="H371" s="70">
        <f t="shared" si="48"/>
        <v>4.1299933119100922</v>
      </c>
      <c r="I371">
        <f t="shared" si="53"/>
        <v>705.59455718310426</v>
      </c>
      <c r="J371">
        <f t="shared" si="54"/>
        <v>82.797278591552129</v>
      </c>
      <c r="K371">
        <f t="shared" si="50"/>
        <v>82.797278591552129</v>
      </c>
      <c r="L371" s="55">
        <f t="shared" si="55"/>
        <v>92.936437755843087</v>
      </c>
      <c r="M371">
        <f t="shared" si="56"/>
        <v>42.208512076465041</v>
      </c>
      <c r="N371" s="76"/>
      <c r="O371" s="52"/>
      <c r="P371" s="52"/>
    </row>
    <row r="372" spans="3:16" x14ac:dyDescent="0.3">
      <c r="C372" s="13">
        <v>45498</v>
      </c>
      <c r="D372" s="53">
        <v>2.2208333333333301</v>
      </c>
      <c r="E372" s="15">
        <f t="shared" si="51"/>
        <v>60.349999999999838</v>
      </c>
      <c r="F372" s="15">
        <f t="shared" si="52"/>
        <v>30.68333333333317</v>
      </c>
      <c r="G372" s="50">
        <f t="shared" si="49"/>
        <v>4.1403312121808833</v>
      </c>
      <c r="H372" s="70">
        <f t="shared" si="48"/>
        <v>4.1403312121808833</v>
      </c>
      <c r="I372">
        <f t="shared" si="53"/>
        <v>706.28461238513444</v>
      </c>
      <c r="J372">
        <f t="shared" si="54"/>
        <v>83.142306192567204</v>
      </c>
      <c r="K372">
        <f t="shared" si="50"/>
        <v>83.142306192567204</v>
      </c>
      <c r="L372" s="55">
        <f t="shared" si="55"/>
        <v>93.232537350829489</v>
      </c>
      <c r="M372">
        <f t="shared" si="56"/>
        <v>42.272897288397083</v>
      </c>
      <c r="N372" s="76"/>
      <c r="O372" s="52"/>
      <c r="P372" s="52"/>
    </row>
    <row r="373" spans="3:16" x14ac:dyDescent="0.3">
      <c r="C373" s="13">
        <v>45498</v>
      </c>
      <c r="D373" s="53">
        <v>2.2243055555555502</v>
      </c>
      <c r="E373" s="15">
        <f t="shared" si="51"/>
        <v>60.433333333333167</v>
      </c>
      <c r="F373" s="15">
        <f t="shared" si="52"/>
        <v>30.766666666666502</v>
      </c>
      <c r="G373" s="50">
        <f t="shared" si="49"/>
        <v>4.1506949895352285</v>
      </c>
      <c r="H373" s="70">
        <f t="shared" si="48"/>
        <v>4.1506949895352285</v>
      </c>
      <c r="I373">
        <f t="shared" si="53"/>
        <v>706.9763948833903</v>
      </c>
      <c r="J373">
        <f t="shared" si="54"/>
        <v>83.488197441695135</v>
      </c>
      <c r="K373">
        <f t="shared" si="50"/>
        <v>83.488197441695135</v>
      </c>
      <c r="L373" s="55">
        <f t="shared" si="55"/>
        <v>93.528797923626399</v>
      </c>
      <c r="M373">
        <f t="shared" si="56"/>
        <v>42.337317504059698</v>
      </c>
      <c r="N373" s="76"/>
      <c r="O373" s="52"/>
      <c r="P373" s="52"/>
    </row>
    <row r="374" spans="3:16" x14ac:dyDescent="0.3">
      <c r="C374" s="13">
        <v>45498</v>
      </c>
      <c r="D374" s="53">
        <v>2.2277777777777801</v>
      </c>
      <c r="E374" s="15">
        <f t="shared" si="51"/>
        <v>60.516666666666502</v>
      </c>
      <c r="F374" s="15">
        <f t="shared" si="52"/>
        <v>30.849999999999834</v>
      </c>
      <c r="G374" s="50">
        <f t="shared" si="49"/>
        <v>4.1610847087467686</v>
      </c>
      <c r="H374" s="70">
        <f t="shared" si="48"/>
        <v>4.1610847087467686</v>
      </c>
      <c r="I374">
        <f t="shared" si="53"/>
        <v>707.66990900151472</v>
      </c>
      <c r="J374">
        <f t="shared" si="54"/>
        <v>83.834954500757362</v>
      </c>
      <c r="K374">
        <f t="shared" si="50"/>
        <v>83.834954500757362</v>
      </c>
      <c r="L374" s="55">
        <f t="shared" si="55"/>
        <v>93.825218678978302</v>
      </c>
      <c r="M374">
        <f t="shared" si="56"/>
        <v>42.401772550528996</v>
      </c>
      <c r="N374" s="76"/>
      <c r="O374" s="52"/>
      <c r="P374" s="52"/>
    </row>
    <row r="375" spans="3:16" x14ac:dyDescent="0.3">
      <c r="C375" s="13">
        <v>45498</v>
      </c>
      <c r="D375" s="53">
        <v>2.2312500000000002</v>
      </c>
      <c r="E375" s="15">
        <f t="shared" si="51"/>
        <v>60.599999999999838</v>
      </c>
      <c r="F375" s="15">
        <f t="shared" si="52"/>
        <v>30.933333333333167</v>
      </c>
      <c r="G375" s="50">
        <f t="shared" si="49"/>
        <v>4.1715004347512847</v>
      </c>
      <c r="H375" s="70">
        <f t="shared" si="48"/>
        <v>4.1715004347512847</v>
      </c>
      <c r="I375">
        <f t="shared" si="53"/>
        <v>708.36515907397325</v>
      </c>
      <c r="J375">
        <f t="shared" si="54"/>
        <v>84.182579536986637</v>
      </c>
      <c r="K375">
        <f t="shared" si="50"/>
        <v>84.182579536986637</v>
      </c>
      <c r="L375" s="55">
        <f t="shared" si="55"/>
        <v>94.121798819767875</v>
      </c>
      <c r="M375">
        <f t="shared" si="56"/>
        <v>42.466262254476241</v>
      </c>
      <c r="N375" s="76"/>
      <c r="O375" s="52"/>
      <c r="P375" s="52"/>
    </row>
    <row r="376" spans="3:16" x14ac:dyDescent="0.3">
      <c r="C376" s="13">
        <v>45498</v>
      </c>
      <c r="D376" s="53">
        <v>2.2347222222222198</v>
      </c>
      <c r="E376" s="15">
        <f t="shared" si="51"/>
        <v>60.683333333333167</v>
      </c>
      <c r="F376" s="15">
        <f t="shared" si="52"/>
        <v>31.016666666666499</v>
      </c>
      <c r="G376" s="50">
        <f t="shared" si="49"/>
        <v>4.1819422326470965</v>
      </c>
      <c r="H376" s="70">
        <f t="shared" si="48"/>
        <v>4.1819422326470965</v>
      </c>
      <c r="I376">
        <f t="shared" si="53"/>
        <v>709.06214944608109</v>
      </c>
      <c r="J376">
        <f t="shared" si="54"/>
        <v>84.531074723040561</v>
      </c>
      <c r="K376">
        <f t="shared" si="50"/>
        <v>84.531074723040561</v>
      </c>
      <c r="L376" s="55">
        <f t="shared" si="55"/>
        <v>94.418537547023618</v>
      </c>
      <c r="M376">
        <f t="shared" si="56"/>
        <v>42.530786442169521</v>
      </c>
      <c r="N376" s="76"/>
      <c r="O376" s="52"/>
      <c r="P376" s="52"/>
    </row>
    <row r="377" spans="3:16" x14ac:dyDescent="0.3">
      <c r="C377" s="13">
        <v>45498</v>
      </c>
      <c r="D377" s="53">
        <v>2.2381944444444399</v>
      </c>
      <c r="E377" s="15">
        <f t="shared" si="51"/>
        <v>60.766666666666495</v>
      </c>
      <c r="F377" s="15">
        <f t="shared" si="52"/>
        <v>31.099999999999831</v>
      </c>
      <c r="G377" s="50">
        <f t="shared" si="49"/>
        <v>4.1924101676954759</v>
      </c>
      <c r="H377" s="70">
        <f t="shared" si="48"/>
        <v>4.1924101676954759</v>
      </c>
      <c r="I377">
        <f t="shared" si="53"/>
        <v>709.76088447403038</v>
      </c>
      <c r="J377">
        <f t="shared" si="54"/>
        <v>84.880442237015188</v>
      </c>
      <c r="K377">
        <f t="shared" si="50"/>
        <v>84.880442237015188</v>
      </c>
      <c r="L377" s="55">
        <f t="shared" si="55"/>
        <v>94.715434059927674</v>
      </c>
      <c r="M377">
        <f t="shared" si="56"/>
        <v>42.595344939475439</v>
      </c>
      <c r="N377" s="76"/>
      <c r="O377" s="52"/>
      <c r="P377" s="52"/>
    </row>
    <row r="378" spans="3:16" x14ac:dyDescent="0.3">
      <c r="C378" s="13">
        <v>45498</v>
      </c>
      <c r="D378" s="53">
        <v>2.24166666666666</v>
      </c>
      <c r="E378" s="15">
        <f t="shared" si="51"/>
        <v>60.849999999999831</v>
      </c>
      <c r="F378" s="15">
        <f t="shared" si="52"/>
        <v>31.183333333333163</v>
      </c>
      <c r="G378" s="50">
        <f t="shared" si="49"/>
        <v>4.2029043053210504</v>
      </c>
      <c r="H378" s="70">
        <f t="shared" si="48"/>
        <v>4.2029043053210504</v>
      </c>
      <c r="I378">
        <f t="shared" si="53"/>
        <v>710.46136852491725</v>
      </c>
      <c r="J378">
        <f t="shared" si="54"/>
        <v>85.23068426245861</v>
      </c>
      <c r="K378">
        <f t="shared" si="50"/>
        <v>85.23068426245861</v>
      </c>
      <c r="L378" s="55">
        <f t="shared" si="55"/>
        <v>95.012487555823668</v>
      </c>
      <c r="M378">
        <f t="shared" si="56"/>
        <v>42.659937571860823</v>
      </c>
      <c r="N378" s="76"/>
      <c r="O378" s="52"/>
      <c r="P378" s="52"/>
    </row>
    <row r="379" spans="3:16" x14ac:dyDescent="0.3">
      <c r="C379" s="13">
        <v>45498</v>
      </c>
      <c r="D379" s="53">
        <v>2.2451388888888899</v>
      </c>
      <c r="E379" s="15">
        <f t="shared" si="51"/>
        <v>60.933333333333167</v>
      </c>
      <c r="F379" s="15">
        <f t="shared" si="52"/>
        <v>31.266666666666495</v>
      </c>
      <c r="G379" s="50">
        <f t="shared" si="49"/>
        <v>4.2134247111122143</v>
      </c>
      <c r="H379" s="70">
        <f t="shared" si="48"/>
        <v>4.2134247111122143</v>
      </c>
      <c r="I379">
        <f t="shared" si="53"/>
        <v>711.1636059767693</v>
      </c>
      <c r="J379">
        <f t="shared" si="54"/>
        <v>85.581802988384624</v>
      </c>
      <c r="K379">
        <f t="shared" si="50"/>
        <v>85.581802988384624</v>
      </c>
      <c r="L379" s="55">
        <f t="shared" si="55"/>
        <v>95.309697230224501</v>
      </c>
      <c r="M379">
        <f t="shared" si="56"/>
        <v>42.72456416439443</v>
      </c>
      <c r="N379" s="76"/>
      <c r="O379" s="52"/>
      <c r="P379" s="52"/>
    </row>
    <row r="380" spans="3:16" x14ac:dyDescent="0.3">
      <c r="C380" s="13">
        <v>45498</v>
      </c>
      <c r="D380" s="53">
        <v>2.24861111111111</v>
      </c>
      <c r="E380" s="15">
        <f t="shared" si="51"/>
        <v>61.016666666666495</v>
      </c>
      <c r="F380" s="15">
        <f t="shared" si="52"/>
        <v>31.349999999999827</v>
      </c>
      <c r="G380" s="50">
        <f t="shared" si="49"/>
        <v>4.223971450821538</v>
      </c>
      <c r="H380" s="70">
        <f t="shared" si="48"/>
        <v>4.223971450821538</v>
      </c>
      <c r="I380">
        <f t="shared" si="53"/>
        <v>711.86760121857287</v>
      </c>
      <c r="J380">
        <f t="shared" si="54"/>
        <v>85.933800609286422</v>
      </c>
      <c r="K380">
        <f t="shared" si="50"/>
        <v>85.933800609286422</v>
      </c>
      <c r="L380" s="55">
        <f t="shared" si="55"/>
        <v>95.607062276820315</v>
      </c>
      <c r="M380">
        <f t="shared" si="56"/>
        <v>42.789224541748652</v>
      </c>
      <c r="N380" s="76"/>
      <c r="O380" s="52"/>
      <c r="P380" s="52"/>
    </row>
    <row r="381" spans="3:16" x14ac:dyDescent="0.3">
      <c r="C381" s="13">
        <v>45498</v>
      </c>
      <c r="D381" s="53">
        <v>2.2520833333333301</v>
      </c>
      <c r="E381" s="15">
        <f t="shared" si="51"/>
        <v>61.099999999999824</v>
      </c>
      <c r="F381" s="15">
        <f t="shared" si="52"/>
        <v>31.433333333333159</v>
      </c>
      <c r="G381" s="50">
        <f t="shared" si="49"/>
        <v>4.2345445903661796</v>
      </c>
      <c r="H381" s="70">
        <f t="shared" si="48"/>
        <v>4.2345445903661796</v>
      </c>
      <c r="I381">
        <f t="shared" si="53"/>
        <v>712.57335865030052</v>
      </c>
      <c r="J381">
        <f t="shared" si="54"/>
        <v>86.286679325150274</v>
      </c>
      <c r="K381">
        <f t="shared" si="50"/>
        <v>86.286679325150274</v>
      </c>
      <c r="L381" s="55">
        <f t="shared" si="55"/>
        <v>95.904581887486401</v>
      </c>
      <c r="M381">
        <f t="shared" si="56"/>
        <v>42.85391852820127</v>
      </c>
      <c r="N381" s="76"/>
      <c r="O381" s="52"/>
      <c r="P381" s="52"/>
    </row>
    <row r="382" spans="3:16" x14ac:dyDescent="0.3">
      <c r="C382" s="13">
        <v>45498</v>
      </c>
      <c r="D382" s="53">
        <v>2.2555555555555502</v>
      </c>
      <c r="E382" s="15">
        <f t="shared" si="51"/>
        <v>61.183333333333159</v>
      </c>
      <c r="F382" s="15">
        <f t="shared" si="52"/>
        <v>31.516666666666492</v>
      </c>
      <c r="G382" s="50">
        <f t="shared" si="49"/>
        <v>4.2451441958282947</v>
      </c>
      <c r="H382" s="70">
        <f t="shared" si="48"/>
        <v>4.2451441958282947</v>
      </c>
      <c r="I382">
        <f t="shared" si="53"/>
        <v>713.28088268293857</v>
      </c>
      <c r="J382">
        <f t="shared" si="54"/>
        <v>86.640441341469298</v>
      </c>
      <c r="K382">
        <f t="shared" si="50"/>
        <v>86.640441341469298</v>
      </c>
      <c r="L382" s="55">
        <f t="shared" si="55"/>
        <v>96.202255252291209</v>
      </c>
      <c r="M382">
        <f t="shared" si="56"/>
        <v>42.91864594763716</v>
      </c>
      <c r="N382" s="76"/>
      <c r="O382" s="52"/>
      <c r="P382" s="52"/>
    </row>
    <row r="383" spans="3:16" x14ac:dyDescent="0.3">
      <c r="C383" s="13">
        <v>45498</v>
      </c>
      <c r="D383" s="53">
        <v>2.2590277777777801</v>
      </c>
      <c r="E383" s="15">
        <f t="shared" si="51"/>
        <v>61.266666666666495</v>
      </c>
      <c r="F383" s="15">
        <f t="shared" si="52"/>
        <v>31.599999999999824</v>
      </c>
      <c r="G383" s="50">
        <f t="shared" si="49"/>
        <v>4.2557703334554535</v>
      </c>
      <c r="H383" s="70">
        <f t="shared" si="48"/>
        <v>4.2557703334554535</v>
      </c>
      <c r="I383">
        <f t="shared" si="53"/>
        <v>713.99017773851449</v>
      </c>
      <c r="J383">
        <f t="shared" si="54"/>
        <v>86.995088869257259</v>
      </c>
      <c r="K383">
        <f t="shared" si="50"/>
        <v>86.995088869257259</v>
      </c>
      <c r="L383" s="55">
        <f t="shared" si="55"/>
        <v>96.500081559504409</v>
      </c>
      <c r="M383">
        <f t="shared" si="56"/>
        <v>42.983406623550074</v>
      </c>
      <c r="N383" s="76"/>
      <c r="O383" s="52"/>
      <c r="P383" s="52"/>
    </row>
    <row r="384" spans="3:16" x14ac:dyDescent="0.3">
      <c r="C384" s="13">
        <v>45498</v>
      </c>
      <c r="D384" s="53">
        <v>2.2625000000000002</v>
      </c>
      <c r="E384" s="15">
        <f t="shared" si="51"/>
        <v>61.349999999999824</v>
      </c>
      <c r="F384" s="15">
        <f t="shared" si="52"/>
        <v>31.683333333333156</v>
      </c>
      <c r="G384" s="50">
        <f t="shared" si="49"/>
        <v>4.2664230696610499</v>
      </c>
      <c r="H384" s="70">
        <f t="shared" si="48"/>
        <v>4.2664230696610499</v>
      </c>
      <c r="I384">
        <f t="shared" si="53"/>
        <v>714.70124825012465</v>
      </c>
      <c r="J384">
        <f t="shared" si="54"/>
        <v>87.350624125062353</v>
      </c>
      <c r="K384">
        <f t="shared" si="50"/>
        <v>87.350624125062353</v>
      </c>
      <c r="L384" s="55">
        <f t="shared" si="55"/>
        <v>96.798059995604973</v>
      </c>
      <c r="M384">
        <f t="shared" si="56"/>
        <v>43.048200379044388</v>
      </c>
      <c r="N384" s="76"/>
      <c r="O384" s="52"/>
      <c r="P384" s="52"/>
    </row>
    <row r="385" spans="2:16" x14ac:dyDescent="0.3">
      <c r="C385" s="13">
        <v>45498</v>
      </c>
      <c r="D385" s="53">
        <v>2.2659722222222198</v>
      </c>
      <c r="E385" s="15">
        <f t="shared" si="51"/>
        <v>61.433333333333152</v>
      </c>
      <c r="F385" s="15">
        <f t="shared" si="52"/>
        <v>31.766666666666488</v>
      </c>
      <c r="G385" s="50">
        <f t="shared" si="49"/>
        <v>4.277102471024719</v>
      </c>
      <c r="H385" s="70">
        <f t="shared" si="48"/>
        <v>4.277102471024719</v>
      </c>
      <c r="I385">
        <f t="shared" si="53"/>
        <v>715.41409866196216</v>
      </c>
      <c r="J385">
        <f t="shared" si="54"/>
        <v>87.707049330981079</v>
      </c>
      <c r="K385">
        <f t="shared" si="50"/>
        <v>87.707049330981079</v>
      </c>
      <c r="L385" s="55">
        <f t="shared" si="55"/>
        <v>97.096189745289252</v>
      </c>
      <c r="M385">
        <f t="shared" si="56"/>
        <v>43.113027036836847</v>
      </c>
      <c r="N385" s="76"/>
      <c r="O385" s="52"/>
      <c r="P385" s="52"/>
    </row>
    <row r="386" spans="2:16" x14ac:dyDescent="0.3">
      <c r="C386" s="13">
        <v>45498</v>
      </c>
      <c r="D386" s="53">
        <v>2.2694444444444399</v>
      </c>
      <c r="E386" s="15">
        <f t="shared" si="51"/>
        <v>61.516666666666488</v>
      </c>
      <c r="F386" s="15">
        <f t="shared" si="52"/>
        <v>31.84999999999982</v>
      </c>
      <c r="G386" s="50">
        <f t="shared" si="49"/>
        <v>4.2878086042927555</v>
      </c>
      <c r="H386" s="70">
        <f t="shared" si="48"/>
        <v>4.2878086042927555</v>
      </c>
      <c r="I386">
        <f t="shared" si="53"/>
        <v>716.12873342934427</v>
      </c>
      <c r="J386">
        <f t="shared" si="54"/>
        <v>88.064366714672147</v>
      </c>
      <c r="K386">
        <f t="shared" si="50"/>
        <v>88.064366714672147</v>
      </c>
      <c r="L386" s="55">
        <f t="shared" si="55"/>
        <v>97.394469991479198</v>
      </c>
      <c r="M386">
        <f t="shared" si="56"/>
        <v>43.177886419258378</v>
      </c>
      <c r="N386" s="76"/>
      <c r="O386" s="52"/>
      <c r="P386" s="52"/>
    </row>
    <row r="387" spans="2:16" x14ac:dyDescent="0.3">
      <c r="C387" s="13">
        <v>45498</v>
      </c>
      <c r="D387" s="53">
        <v>2.27291666666666</v>
      </c>
      <c r="E387" s="15">
        <f t="shared" si="51"/>
        <v>61.599999999999824</v>
      </c>
      <c r="F387" s="15">
        <f t="shared" si="52"/>
        <v>31.933333333333152</v>
      </c>
      <c r="G387" s="50">
        <f t="shared" si="49"/>
        <v>4.2985415363785258</v>
      </c>
      <c r="H387" s="70">
        <f t="shared" si="48"/>
        <v>4.2985415363785258</v>
      </c>
      <c r="I387">
        <f t="shared" si="53"/>
        <v>716.84515701874068</v>
      </c>
      <c r="J387">
        <f t="shared" si="54"/>
        <v>88.422578509370354</v>
      </c>
      <c r="K387">
        <f t="shared" si="50"/>
        <v>88.422578509370354</v>
      </c>
      <c r="L387" s="55">
        <f t="shared" si="55"/>
        <v>97.692899915330585</v>
      </c>
      <c r="M387">
        <f t="shared" si="56"/>
        <v>43.242778348255833</v>
      </c>
      <c r="N387" s="76"/>
      <c r="O387" s="52"/>
      <c r="P387" s="52"/>
    </row>
    <row r="388" spans="2:16" x14ac:dyDescent="0.3">
      <c r="B388" s="56"/>
      <c r="C388" s="13">
        <v>45498</v>
      </c>
      <c r="D388" s="53">
        <v>2.2763888888888899</v>
      </c>
      <c r="E388" s="15">
        <f t="shared" si="51"/>
        <v>61.683333333333152</v>
      </c>
      <c r="F388" s="15">
        <f t="shared" si="52"/>
        <v>32.016666666666488</v>
      </c>
      <c r="G388" s="50">
        <f t="shared" si="49"/>
        <v>4.3093013343628925</v>
      </c>
      <c r="H388" s="70">
        <f t="shared" ref="H388:H451" si="57">G388</f>
        <v>4.3093013343628925</v>
      </c>
      <c r="I388">
        <f t="shared" si="53"/>
        <v>717.56337390780118</v>
      </c>
      <c r="J388">
        <f t="shared" si="54"/>
        <v>88.781686953900589</v>
      </c>
      <c r="K388">
        <f t="shared" si="50"/>
        <v>88.781686953900589</v>
      </c>
      <c r="L388" s="55">
        <f t="shared" si="55"/>
        <v>97.991478696241145</v>
      </c>
      <c r="M388">
        <f t="shared" si="56"/>
        <v>43.307702645393832</v>
      </c>
      <c r="N388" s="76"/>
      <c r="O388" s="52"/>
      <c r="P388" s="52"/>
    </row>
    <row r="389" spans="2:16" x14ac:dyDescent="0.3">
      <c r="C389" s="13">
        <v>45498</v>
      </c>
      <c r="D389" s="53">
        <v>2.27986111111111</v>
      </c>
      <c r="E389" s="15">
        <f t="shared" si="51"/>
        <v>61.766666666666495</v>
      </c>
      <c r="F389" s="15">
        <f t="shared" si="52"/>
        <v>32.099999999999824</v>
      </c>
      <c r="G389" s="50">
        <f t="shared" ref="G389:G452" si="58">$G$4*EXP($T$1*F389)</f>
        <v>4.3200880654946259</v>
      </c>
      <c r="H389" s="70">
        <f t="shared" si="57"/>
        <v>4.3200880654946259</v>
      </c>
      <c r="I389">
        <f t="shared" si="53"/>
        <v>718.28338858538359</v>
      </c>
      <c r="J389">
        <f t="shared" si="54"/>
        <v>89.14169429269181</v>
      </c>
      <c r="K389">
        <f t="shared" ref="K389:K452" si="59">J389</f>
        <v>89.14169429269181</v>
      </c>
      <c r="L389" s="55">
        <f t="shared" si="55"/>
        <v>98.290205511859043</v>
      </c>
      <c r="M389">
        <f t="shared" si="56"/>
        <v>43.372659131856523</v>
      </c>
      <c r="N389" s="76"/>
      <c r="O389" s="52"/>
      <c r="P389" s="52"/>
    </row>
    <row r="390" spans="2:16" x14ac:dyDescent="0.3">
      <c r="C390" s="13">
        <v>45498</v>
      </c>
      <c r="D390" s="53">
        <v>2.2833333333333301</v>
      </c>
      <c r="E390" s="15">
        <f t="shared" ref="E390:E453" si="60">$E$3+F390</f>
        <v>61.849999999999824</v>
      </c>
      <c r="F390" s="15">
        <f t="shared" ref="F390:F453" si="61">F389+5/60</f>
        <v>32.183333333333159</v>
      </c>
      <c r="G390" s="50">
        <f t="shared" si="58"/>
        <v>4.3309017971908315</v>
      </c>
      <c r="H390" s="70">
        <f t="shared" si="57"/>
        <v>4.3309017971908315</v>
      </c>
      <c r="I390">
        <f t="shared" ref="I390:I453" si="62">I389+(G390+H390)*5/60</f>
        <v>719.00520555158209</v>
      </c>
      <c r="J390">
        <f t="shared" si="54"/>
        <v>89.502602775791047</v>
      </c>
      <c r="K390">
        <f t="shared" si="59"/>
        <v>89.502602775791047</v>
      </c>
      <c r="L390" s="55">
        <f t="shared" si="55"/>
        <v>98.58907953809107</v>
      </c>
      <c r="M390">
        <f t="shared" si="56"/>
        <v>43.437647628449419</v>
      </c>
      <c r="N390" s="76"/>
      <c r="O390" s="52"/>
      <c r="P390" s="52"/>
    </row>
    <row r="391" spans="2:16" x14ac:dyDescent="0.3">
      <c r="C391" s="13">
        <v>45498</v>
      </c>
      <c r="D391" s="53">
        <v>2.2868055555555502</v>
      </c>
      <c r="E391" s="15">
        <f t="shared" si="60"/>
        <v>61.933333333333167</v>
      </c>
      <c r="F391" s="15">
        <f t="shared" si="61"/>
        <v>32.266666666666495</v>
      </c>
      <c r="G391" s="50">
        <f t="shared" si="58"/>
        <v>4.341742597037368</v>
      </c>
      <c r="H391" s="70">
        <f t="shared" si="57"/>
        <v>4.341742597037368</v>
      </c>
      <c r="I391">
        <f t="shared" si="62"/>
        <v>719.72882931775496</v>
      </c>
      <c r="J391">
        <f t="shared" si="54"/>
        <v>89.864414658877493</v>
      </c>
      <c r="K391">
        <f t="shared" si="59"/>
        <v>89.864414658877493</v>
      </c>
      <c r="L391" s="55">
        <f t="shared" si="55"/>
        <v>98.888099949111151</v>
      </c>
      <c r="M391">
        <f t="shared" si="56"/>
        <v>43.502667955601225</v>
      </c>
      <c r="N391" s="76"/>
      <c r="O391" s="52"/>
      <c r="P391" s="52"/>
    </row>
    <row r="392" spans="2:16" x14ac:dyDescent="0.3">
      <c r="C392" s="13">
        <v>45498</v>
      </c>
      <c r="D392" s="53">
        <v>2.2902777777777801</v>
      </c>
      <c r="E392" s="15">
        <f t="shared" si="60"/>
        <v>62.016666666666495</v>
      </c>
      <c r="F392" s="15">
        <f t="shared" si="61"/>
        <v>32.349999999999831</v>
      </c>
      <c r="G392" s="50">
        <f t="shared" si="58"/>
        <v>4.352610532789269</v>
      </c>
      <c r="H392" s="70">
        <f t="shared" si="57"/>
        <v>4.352610532789269</v>
      </c>
      <c r="I392">
        <f t="shared" si="62"/>
        <v>720.45426440655319</v>
      </c>
      <c r="J392">
        <f t="shared" si="54"/>
        <v>90.227132203276597</v>
      </c>
      <c r="K392">
        <f t="shared" si="59"/>
        <v>90.227132203276597</v>
      </c>
      <c r="L392" s="55">
        <f t="shared" si="55"/>
        <v>99.18726591736862</v>
      </c>
      <c r="M392">
        <f t="shared" si="56"/>
        <v>43.567719933365659</v>
      </c>
      <c r="N392" s="76"/>
      <c r="O392" s="52"/>
      <c r="P392" s="52"/>
    </row>
    <row r="393" spans="2:16" x14ac:dyDescent="0.3">
      <c r="C393" s="13">
        <v>45498</v>
      </c>
      <c r="D393" s="53">
        <v>2.2937500000000002</v>
      </c>
      <c r="E393" s="15">
        <f t="shared" si="60"/>
        <v>62.099999999999838</v>
      </c>
      <c r="F393" s="15">
        <f t="shared" si="61"/>
        <v>32.433333333333167</v>
      </c>
      <c r="G393" s="50">
        <f t="shared" si="58"/>
        <v>4.3635056723711685</v>
      </c>
      <c r="H393" s="70">
        <f t="shared" si="57"/>
        <v>4.3635056723711685</v>
      </c>
      <c r="I393">
        <f t="shared" si="62"/>
        <v>721.18151535194841</v>
      </c>
      <c r="J393">
        <f t="shared" si="54"/>
        <v>90.590757675974189</v>
      </c>
      <c r="K393">
        <f t="shared" si="59"/>
        <v>90.590757675974189</v>
      </c>
      <c r="L393" s="55">
        <f t="shared" si="55"/>
        <v>99.486576613596867</v>
      </c>
      <c r="M393">
        <f t="shared" si="56"/>
        <v>43.632803381423287</v>
      </c>
      <c r="N393" s="76"/>
      <c r="O393" s="52"/>
      <c r="P393" s="52"/>
    </row>
    <row r="394" spans="2:16" x14ac:dyDescent="0.3">
      <c r="C394" s="13">
        <v>45498</v>
      </c>
      <c r="D394" s="53">
        <v>2.2972222222222198</v>
      </c>
      <c r="E394" s="15">
        <f t="shared" si="60"/>
        <v>62.183333333333167</v>
      </c>
      <c r="F394" s="15">
        <f t="shared" si="61"/>
        <v>32.516666666666502</v>
      </c>
      <c r="G394" s="50">
        <f t="shared" si="58"/>
        <v>4.3744280838777252</v>
      </c>
      <c r="H394" s="70">
        <f t="shared" si="57"/>
        <v>4.3744280838777252</v>
      </c>
      <c r="I394">
        <f t="shared" si="62"/>
        <v>721.91058669926133</v>
      </c>
      <c r="J394">
        <f t="shared" si="54"/>
        <v>90.955293349630665</v>
      </c>
      <c r="K394">
        <f t="shared" si="59"/>
        <v>90.955293349630665</v>
      </c>
      <c r="L394" s="55">
        <f t="shared" si="55"/>
        <v>99.78603120682169</v>
      </c>
      <c r="M394">
        <f t="shared" si="56"/>
        <v>43.69791811908339</v>
      </c>
      <c r="N394" s="76"/>
      <c r="O394" s="52"/>
      <c r="P394" s="52"/>
    </row>
    <row r="395" spans="2:16" x14ac:dyDescent="0.3">
      <c r="C395" s="13">
        <v>45498</v>
      </c>
      <c r="D395" s="53">
        <v>2.3006944444444399</v>
      </c>
      <c r="E395" s="15">
        <f t="shared" si="60"/>
        <v>62.266666666666509</v>
      </c>
      <c r="F395" s="15">
        <f t="shared" si="61"/>
        <v>32.599999999999838</v>
      </c>
      <c r="G395" s="50">
        <f t="shared" si="58"/>
        <v>4.3853778355740447</v>
      </c>
      <c r="H395" s="70">
        <f t="shared" si="57"/>
        <v>4.3853778355740447</v>
      </c>
      <c r="I395">
        <f t="shared" si="62"/>
        <v>722.64148300519037</v>
      </c>
      <c r="J395">
        <f t="shared" si="54"/>
        <v>91.320741502595169</v>
      </c>
      <c r="K395">
        <f t="shared" si="59"/>
        <v>91.320741502595169</v>
      </c>
      <c r="L395" s="55">
        <f t="shared" si="55"/>
        <v>100.08562886436988</v>
      </c>
      <c r="M395">
        <f t="shared" si="56"/>
        <v>43.763063965285809</v>
      </c>
      <c r="N395" s="76"/>
      <c r="O395" s="52"/>
      <c r="P395" s="52"/>
    </row>
    <row r="396" spans="2:16" x14ac:dyDescent="0.3">
      <c r="C396" s="13">
        <v>45498</v>
      </c>
      <c r="D396" s="53">
        <v>2.30416666666666</v>
      </c>
      <c r="E396" s="15">
        <f t="shared" si="60"/>
        <v>62.349999999999838</v>
      </c>
      <c r="F396" s="15">
        <f t="shared" si="61"/>
        <v>32.683333333333174</v>
      </c>
      <c r="G396" s="50">
        <f t="shared" si="58"/>
        <v>4.3963549958961128</v>
      </c>
      <c r="H396" s="70">
        <f t="shared" si="57"/>
        <v>4.3963549958961128</v>
      </c>
      <c r="I396">
        <f t="shared" si="62"/>
        <v>723.37420883783977</v>
      </c>
      <c r="J396">
        <f t="shared" si="54"/>
        <v>91.687104418919844</v>
      </c>
      <c r="K396">
        <f t="shared" si="59"/>
        <v>91.687104418919844</v>
      </c>
      <c r="L396" s="55">
        <f t="shared" si="55"/>
        <v>100.38536875187791</v>
      </c>
      <c r="M396">
        <f t="shared" si="56"/>
        <v>43.82824073860283</v>
      </c>
      <c r="N396" s="76"/>
      <c r="O396" s="52"/>
      <c r="P396" s="52"/>
    </row>
    <row r="397" spans="2:16" x14ac:dyDescent="0.3">
      <c r="C397" s="13">
        <v>45498</v>
      </c>
      <c r="D397" s="53">
        <v>2.3076388888888899</v>
      </c>
      <c r="E397" s="15">
        <f t="shared" si="60"/>
        <v>62.433333333333181</v>
      </c>
      <c r="F397" s="15">
        <f t="shared" si="61"/>
        <v>32.766666666666509</v>
      </c>
      <c r="G397" s="50">
        <f t="shared" si="58"/>
        <v>4.4073596334512146</v>
      </c>
      <c r="H397" s="70">
        <f t="shared" si="57"/>
        <v>4.4073596334512146</v>
      </c>
      <c r="I397">
        <f t="shared" si="62"/>
        <v>724.10876877674832</v>
      </c>
      <c r="J397">
        <f t="shared" si="54"/>
        <v>92.054384388374118</v>
      </c>
      <c r="K397">
        <f t="shared" si="59"/>
        <v>92.054384388374118</v>
      </c>
      <c r="L397" s="55">
        <f t="shared" si="55"/>
        <v>100.68525003330046</v>
      </c>
      <c r="M397">
        <f t="shared" si="56"/>
        <v>43.893448257241047</v>
      </c>
      <c r="N397" s="76"/>
      <c r="O397" s="52"/>
      <c r="P397" s="52"/>
    </row>
    <row r="398" spans="2:16" x14ac:dyDescent="0.3">
      <c r="C398" s="13">
        <v>45498</v>
      </c>
      <c r="D398" s="53">
        <v>2.31111111111111</v>
      </c>
      <c r="E398" s="15">
        <f t="shared" si="60"/>
        <v>62.516666666666509</v>
      </c>
      <c r="F398" s="15">
        <f t="shared" si="61"/>
        <v>32.849999999999845</v>
      </c>
      <c r="G398" s="50">
        <f t="shared" si="58"/>
        <v>4.4183918170183736</v>
      </c>
      <c r="H398" s="70">
        <f t="shared" si="57"/>
        <v>4.4183918170183736</v>
      </c>
      <c r="I398">
        <f t="shared" si="62"/>
        <v>724.84516741291804</v>
      </c>
      <c r="J398">
        <f t="shared" si="54"/>
        <v>92.42258370645898</v>
      </c>
      <c r="K398">
        <f t="shared" si="59"/>
        <v>92.42258370645898</v>
      </c>
      <c r="L398" s="55">
        <f t="shared" si="55"/>
        <v>100.98527187091921</v>
      </c>
      <c r="M398">
        <f t="shared" si="56"/>
        <v>43.958686339043254</v>
      </c>
      <c r="N398" s="76"/>
      <c r="O398" s="52"/>
      <c r="P398" s="52"/>
    </row>
    <row r="399" spans="2:16" x14ac:dyDescent="0.3">
      <c r="C399" s="13">
        <v>45498</v>
      </c>
      <c r="D399" s="53">
        <v>2.3145833333333301</v>
      </c>
      <c r="E399" s="15">
        <f t="shared" si="60"/>
        <v>62.599999999999852</v>
      </c>
      <c r="F399" s="15">
        <f t="shared" si="61"/>
        <v>32.933333333333181</v>
      </c>
      <c r="G399" s="50">
        <f t="shared" si="58"/>
        <v>4.4294516155487731</v>
      </c>
      <c r="H399" s="70">
        <f t="shared" si="57"/>
        <v>4.4294516155487731</v>
      </c>
      <c r="I399">
        <f t="shared" si="62"/>
        <v>725.58340934884279</v>
      </c>
      <c r="J399">
        <f t="shared" si="54"/>
        <v>92.791704674421382</v>
      </c>
      <c r="K399">
        <f t="shared" si="59"/>
        <v>92.791704674421382</v>
      </c>
      <c r="L399" s="55">
        <f t="shared" si="55"/>
        <v>101.2854334253514</v>
      </c>
      <c r="M399">
        <f t="shared" si="56"/>
        <v>44.023954801490341</v>
      </c>
      <c r="N399" s="76"/>
      <c r="O399" s="52"/>
      <c r="P399" s="52"/>
    </row>
    <row r="400" spans="2:16" x14ac:dyDescent="0.3">
      <c r="C400" s="13">
        <v>45498</v>
      </c>
      <c r="D400" s="53">
        <v>2.3180555555555502</v>
      </c>
      <c r="E400" s="15">
        <f t="shared" si="60"/>
        <v>62.683333333333181</v>
      </c>
      <c r="F400" s="15">
        <f t="shared" si="61"/>
        <v>33.016666666666517</v>
      </c>
      <c r="G400" s="50">
        <f t="shared" si="58"/>
        <v>4.4405390981661865</v>
      </c>
      <c r="H400" s="70">
        <f t="shared" si="57"/>
        <v>4.4405390981661865</v>
      </c>
      <c r="I400">
        <f t="shared" si="62"/>
        <v>726.32349919853721</v>
      </c>
      <c r="J400">
        <f t="shared" si="54"/>
        <v>93.16174959926856</v>
      </c>
      <c r="K400">
        <f t="shared" si="59"/>
        <v>93.16174959926856</v>
      </c>
      <c r="L400" s="55">
        <f t="shared" si="55"/>
        <v>101.58573385555866</v>
      </c>
      <c r="M400">
        <f t="shared" si="56"/>
        <v>44.089253461703187</v>
      </c>
      <c r="N400" s="76"/>
      <c r="O400" s="52"/>
      <c r="P400" s="52"/>
    </row>
    <row r="401" spans="1:16" x14ac:dyDescent="0.3">
      <c r="C401" s="13">
        <v>45498</v>
      </c>
      <c r="D401" s="53">
        <v>2.3215277777777801</v>
      </c>
      <c r="E401" s="15">
        <f t="shared" si="60"/>
        <v>62.766666666666524</v>
      </c>
      <c r="F401" s="15">
        <f t="shared" si="61"/>
        <v>33.099999999999852</v>
      </c>
      <c r="G401" s="50">
        <f t="shared" si="58"/>
        <v>4.4516543341674186</v>
      </c>
      <c r="H401" s="70">
        <f t="shared" si="57"/>
        <v>4.4516543341674186</v>
      </c>
      <c r="I401">
        <f t="shared" si="62"/>
        <v>727.06544158756515</v>
      </c>
      <c r="J401">
        <f t="shared" si="54"/>
        <v>93.532720793782516</v>
      </c>
      <c r="K401">
        <f t="shared" si="59"/>
        <v>93.532720793782516</v>
      </c>
      <c r="L401" s="55">
        <f t="shared" si="55"/>
        <v>101.8861723188559</v>
      </c>
      <c r="M401">
        <f t="shared" si="56"/>
        <v>44.154582136444603</v>
      </c>
      <c r="N401" s="76"/>
      <c r="O401" s="52"/>
      <c r="P401" s="52"/>
    </row>
    <row r="402" spans="1:16" x14ac:dyDescent="0.3">
      <c r="C402" s="13">
        <v>45498</v>
      </c>
      <c r="D402" s="53">
        <v>2.3250000000000002</v>
      </c>
      <c r="E402" s="15">
        <f t="shared" si="60"/>
        <v>62.849999999999852</v>
      </c>
      <c r="F402" s="15">
        <f t="shared" si="61"/>
        <v>33.183333333333188</v>
      </c>
      <c r="G402" s="50">
        <f t="shared" si="58"/>
        <v>4.4627973930227309</v>
      </c>
      <c r="H402" s="70">
        <f t="shared" si="57"/>
        <v>4.4627973930227309</v>
      </c>
      <c r="I402">
        <f t="shared" si="62"/>
        <v>727.80924115306891</v>
      </c>
      <c r="J402">
        <f t="shared" si="54"/>
        <v>93.904620576534413</v>
      </c>
      <c r="K402">
        <f t="shared" si="59"/>
        <v>93.904620576534413</v>
      </c>
      <c r="L402" s="55">
        <f t="shared" si="55"/>
        <v>102.18674797092005</v>
      </c>
      <c r="M402">
        <f t="shared" si="56"/>
        <v>44.219940642121216</v>
      </c>
      <c r="N402" s="76"/>
      <c r="O402" s="52"/>
      <c r="P402" s="52"/>
    </row>
    <row r="403" spans="1:16" x14ac:dyDescent="0.3">
      <c r="C403" s="13">
        <v>45498</v>
      </c>
      <c r="D403" s="53">
        <v>2.3284722222222198</v>
      </c>
      <c r="E403" s="15">
        <f t="shared" si="60"/>
        <v>62.933333333333195</v>
      </c>
      <c r="F403" s="15">
        <f t="shared" si="61"/>
        <v>33.266666666666524</v>
      </c>
      <c r="G403" s="50">
        <f t="shared" si="58"/>
        <v>4.473968344376277</v>
      </c>
      <c r="H403" s="70">
        <f t="shared" si="57"/>
        <v>4.473968344376277</v>
      </c>
      <c r="I403">
        <f t="shared" si="62"/>
        <v>728.55490254379833</v>
      </c>
      <c r="J403">
        <f t="shared" si="54"/>
        <v>94.277451271899096</v>
      </c>
      <c r="K403">
        <f t="shared" si="59"/>
        <v>94.277451271899096</v>
      </c>
      <c r="L403" s="55">
        <f t="shared" si="55"/>
        <v>102.48745996579891</v>
      </c>
      <c r="M403">
        <f t="shared" si="56"/>
        <v>44.285328794785428</v>
      </c>
      <c r="N403" s="76"/>
      <c r="O403" s="52"/>
      <c r="P403" s="52"/>
    </row>
    <row r="404" spans="1:16" x14ac:dyDescent="0.3">
      <c r="C404" s="13">
        <v>45498</v>
      </c>
      <c r="D404" s="53">
        <v>2.3319444444444399</v>
      </c>
      <c r="E404" s="15">
        <f t="shared" si="60"/>
        <v>63.016666666666524</v>
      </c>
      <c r="F404" s="15">
        <f t="shared" si="61"/>
        <v>33.349999999999859</v>
      </c>
      <c r="G404" s="50">
        <f t="shared" si="58"/>
        <v>4.4851672580465385</v>
      </c>
      <c r="H404" s="70">
        <f t="shared" si="57"/>
        <v>4.4851672580465385</v>
      </c>
      <c r="I404">
        <f t="shared" si="62"/>
        <v>729.30243042013944</v>
      </c>
      <c r="J404">
        <f t="shared" si="54"/>
        <v>94.651215210069637</v>
      </c>
      <c r="K404">
        <f t="shared" si="59"/>
        <v>94.651215210069637</v>
      </c>
      <c r="L404" s="55">
        <f t="shared" si="55"/>
        <v>102.78830745592019</v>
      </c>
      <c r="M404">
        <f t="shared" si="56"/>
        <v>44.350746410137354</v>
      </c>
      <c r="N404" s="76"/>
      <c r="O404" s="52"/>
      <c r="P404" s="52"/>
    </row>
    <row r="405" spans="1:16" x14ac:dyDescent="0.3">
      <c r="C405" s="13">
        <v>45498</v>
      </c>
      <c r="D405" s="53">
        <v>2.33541666666666</v>
      </c>
      <c r="E405" s="15">
        <f t="shared" si="60"/>
        <v>63.099999999999866</v>
      </c>
      <c r="F405" s="15">
        <f t="shared" si="61"/>
        <v>33.433333333333195</v>
      </c>
      <c r="G405" s="50">
        <f t="shared" si="58"/>
        <v>4.4963942040267639</v>
      </c>
      <c r="H405" s="70">
        <f t="shared" si="57"/>
        <v>4.4963942040267639</v>
      </c>
      <c r="I405">
        <f t="shared" si="62"/>
        <v>730.0518294541439</v>
      </c>
      <c r="J405">
        <f t="shared" si="54"/>
        <v>95.025914727071864</v>
      </c>
      <c r="K405">
        <f t="shared" si="59"/>
        <v>95.025914727071864</v>
      </c>
      <c r="L405" s="55">
        <f t="shared" si="55"/>
        <v>103.08928959210036</v>
      </c>
      <c r="M405">
        <f t="shared" si="56"/>
        <v>44.416193303526754</v>
      </c>
      <c r="N405" s="76"/>
      <c r="O405" s="52"/>
      <c r="P405" s="52"/>
    </row>
    <row r="406" spans="1:16" x14ac:dyDescent="0.3">
      <c r="C406" s="13">
        <v>45498</v>
      </c>
      <c r="D406" s="53">
        <v>2.3388888888888899</v>
      </c>
      <c r="E406" s="15">
        <f t="shared" si="60"/>
        <v>63.183333333333195</v>
      </c>
      <c r="F406" s="15">
        <f t="shared" si="61"/>
        <v>33.516666666666531</v>
      </c>
      <c r="G406" s="50">
        <f t="shared" si="58"/>
        <v>4.5076492524854004</v>
      </c>
      <c r="H406" s="70">
        <f t="shared" si="57"/>
        <v>4.5076492524854004</v>
      </c>
      <c r="I406">
        <f t="shared" si="62"/>
        <v>730.8031043295581</v>
      </c>
      <c r="J406">
        <f t="shared" si="54"/>
        <v>95.401552164778977</v>
      </c>
      <c r="K406">
        <f t="shared" si="59"/>
        <v>95.401552164778977</v>
      </c>
      <c r="L406" s="55">
        <f t="shared" si="55"/>
        <v>103.39040552355372</v>
      </c>
      <c r="M406">
        <f t="shared" si="56"/>
        <v>44.481669289954993</v>
      </c>
      <c r="N406" s="76"/>
      <c r="O406" s="52"/>
      <c r="P406" s="52"/>
    </row>
    <row r="407" spans="1:16" x14ac:dyDescent="0.3">
      <c r="C407" s="13">
        <v>45498</v>
      </c>
      <c r="D407" s="53">
        <v>2.34236111111111</v>
      </c>
      <c r="E407" s="15">
        <f t="shared" si="60"/>
        <v>63.266666666666538</v>
      </c>
      <c r="F407" s="15">
        <f t="shared" si="61"/>
        <v>33.599999999999866</v>
      </c>
      <c r="G407" s="50">
        <f t="shared" si="58"/>
        <v>4.5189324737665384</v>
      </c>
      <c r="H407" s="70">
        <f t="shared" si="57"/>
        <v>4.5189324737665384</v>
      </c>
      <c r="I407">
        <f t="shared" si="62"/>
        <v>731.5562597418525</v>
      </c>
      <c r="J407">
        <f t="shared" si="54"/>
        <v>95.778129870926193</v>
      </c>
      <c r="K407">
        <f t="shared" si="59"/>
        <v>95.778129870926193</v>
      </c>
      <c r="L407" s="55">
        <f t="shared" si="55"/>
        <v>103.69165439790139</v>
      </c>
      <c r="M407">
        <f t="shared" si="56"/>
        <v>44.547174184077036</v>
      </c>
      <c r="N407" s="76"/>
      <c r="O407" s="52"/>
      <c r="P407" s="52"/>
    </row>
    <row r="408" spans="1:16" x14ac:dyDescent="0.3">
      <c r="A408" s="56" t="s">
        <v>108</v>
      </c>
      <c r="B408" s="56" t="s">
        <v>55</v>
      </c>
      <c r="C408" s="13">
        <v>45498</v>
      </c>
      <c r="D408" s="53">
        <v>2.3458333333333301</v>
      </c>
      <c r="E408" s="15">
        <f t="shared" si="60"/>
        <v>63.349999999999866</v>
      </c>
      <c r="F408" s="15">
        <f t="shared" si="61"/>
        <v>33.683333333333202</v>
      </c>
      <c r="G408" s="50">
        <f t="shared" si="58"/>
        <v>4.5302439383903472</v>
      </c>
      <c r="H408" s="70">
        <f t="shared" si="57"/>
        <v>4.5302439383903472</v>
      </c>
      <c r="I408">
        <f t="shared" si="62"/>
        <v>732.31130039825086</v>
      </c>
      <c r="J408">
        <f t="shared" si="54"/>
        <v>96.15565019912539</v>
      </c>
      <c r="K408">
        <f t="shared" si="59"/>
        <v>96.15565019912539</v>
      </c>
      <c r="L408" s="55">
        <f t="shared" si="55"/>
        <v>103.9930353611804</v>
      </c>
      <c r="M408">
        <f t="shared" si="56"/>
        <v>44.612707800203374</v>
      </c>
      <c r="N408" s="76"/>
      <c r="O408" s="52"/>
      <c r="P408" s="52"/>
    </row>
    <row r="409" spans="1:16" x14ac:dyDescent="0.3">
      <c r="C409" s="13">
        <v>45498</v>
      </c>
      <c r="D409" s="53">
        <v>2.3493055555555502</v>
      </c>
      <c r="E409" s="15">
        <f t="shared" si="60"/>
        <v>63.433333333333209</v>
      </c>
      <c r="F409" s="15">
        <f t="shared" si="61"/>
        <v>33.766666666666538</v>
      </c>
      <c r="G409" s="50">
        <f t="shared" si="58"/>
        <v>4.5415837170535189</v>
      </c>
      <c r="H409" s="70">
        <f t="shared" si="57"/>
        <v>4.5415837170535189</v>
      </c>
      <c r="I409">
        <f t="shared" si="62"/>
        <v>733.06823101775979</v>
      </c>
      <c r="J409">
        <f t="shared" si="54"/>
        <v>96.53411550887985</v>
      </c>
      <c r="K409">
        <f t="shared" si="59"/>
        <v>96.53411550887985</v>
      </c>
      <c r="L409" s="55">
        <f t="shared" si="55"/>
        <v>104.29454755785291</v>
      </c>
      <c r="M409">
        <f t="shared" si="56"/>
        <v>44.678269952302053</v>
      </c>
      <c r="N409" s="76"/>
      <c r="O409" s="52"/>
      <c r="P409" s="52"/>
    </row>
    <row r="410" spans="1:16" x14ac:dyDescent="0.3">
      <c r="C410" s="13">
        <v>45498</v>
      </c>
      <c r="D410" s="53">
        <v>2.3527777777777801</v>
      </c>
      <c r="E410" s="15">
        <f t="shared" si="60"/>
        <v>63.516666666666538</v>
      </c>
      <c r="F410" s="15">
        <f t="shared" si="61"/>
        <v>33.849999999999874</v>
      </c>
      <c r="G410" s="50">
        <f t="shared" si="58"/>
        <v>4.5529518806297045</v>
      </c>
      <c r="H410" s="70">
        <f t="shared" si="57"/>
        <v>4.5529518806297045</v>
      </c>
      <c r="I410">
        <f t="shared" si="62"/>
        <v>733.82705633119804</v>
      </c>
      <c r="J410">
        <f t="shared" si="54"/>
        <v>96.91352816559899</v>
      </c>
      <c r="K410">
        <f t="shared" si="59"/>
        <v>96.91352816559899</v>
      </c>
      <c r="L410" s="55">
        <f t="shared" si="55"/>
        <v>104.59619013081519</v>
      </c>
      <c r="M410">
        <f t="shared" si="56"/>
        <v>44.743860454000625</v>
      </c>
      <c r="N410" s="76"/>
      <c r="O410" s="52"/>
      <c r="P410" s="52"/>
    </row>
    <row r="411" spans="1:16" x14ac:dyDescent="0.3">
      <c r="C411" s="13">
        <v>45498</v>
      </c>
      <c r="D411" s="53">
        <v>2.3562500000000002</v>
      </c>
      <c r="E411" s="15">
        <f t="shared" si="60"/>
        <v>63.599999999999881</v>
      </c>
      <c r="F411" s="15">
        <f t="shared" si="61"/>
        <v>33.933333333333209</v>
      </c>
      <c r="G411" s="50">
        <f t="shared" si="58"/>
        <v>4.5643485001699657</v>
      </c>
      <c r="H411" s="70">
        <f t="shared" si="57"/>
        <v>4.5643485001699657</v>
      </c>
      <c r="I411">
        <f t="shared" si="62"/>
        <v>734.58778108122635</v>
      </c>
      <c r="J411">
        <f t="shared" si="54"/>
        <v>97.293890540613148</v>
      </c>
      <c r="K411">
        <f t="shared" si="59"/>
        <v>97.293890540613148</v>
      </c>
      <c r="L411" s="55">
        <f t="shared" si="55"/>
        <v>104.89796222140694</v>
      </c>
      <c r="M411">
        <f t="shared" si="56"/>
        <v>44.809479118588193</v>
      </c>
      <c r="N411" s="76"/>
      <c r="O411" s="52"/>
      <c r="P411" s="52"/>
    </row>
    <row r="412" spans="1:16" x14ac:dyDescent="0.3">
      <c r="C412" s="13">
        <v>45498</v>
      </c>
      <c r="D412" s="53">
        <v>2.3597222222222198</v>
      </c>
      <c r="E412" s="15">
        <f t="shared" si="60"/>
        <v>63.683333333333209</v>
      </c>
      <c r="F412" s="15">
        <f t="shared" si="61"/>
        <v>34.016666666666545</v>
      </c>
      <c r="G412" s="50">
        <f t="shared" si="58"/>
        <v>4.5757736469032118</v>
      </c>
      <c r="H412" s="70">
        <f t="shared" si="57"/>
        <v>4.5757736469032118</v>
      </c>
      <c r="I412">
        <f t="shared" si="62"/>
        <v>735.35041002237688</v>
      </c>
      <c r="J412">
        <f t="shared" si="54"/>
        <v>97.67520501118841</v>
      </c>
      <c r="K412">
        <f t="shared" si="59"/>
        <v>97.67520501118841</v>
      </c>
      <c r="L412" s="55">
        <f t="shared" si="55"/>
        <v>105.19986296942054</v>
      </c>
      <c r="M412">
        <f t="shared" si="56"/>
        <v>44.875125759017372</v>
      </c>
      <c r="N412" s="76"/>
      <c r="O412" s="52"/>
      <c r="P412" s="52"/>
    </row>
    <row r="413" spans="1:16" x14ac:dyDescent="0.3">
      <c r="C413" s="13">
        <v>45498</v>
      </c>
      <c r="D413" s="53">
        <v>2.3631944444444399</v>
      </c>
      <c r="E413" s="15">
        <f t="shared" si="60"/>
        <v>63.766666666666552</v>
      </c>
      <c r="F413" s="15">
        <f t="shared" si="61"/>
        <v>34.099999999999881</v>
      </c>
      <c r="G413" s="50">
        <f t="shared" si="58"/>
        <v>4.5872273922366444</v>
      </c>
      <c r="H413" s="70">
        <f t="shared" si="57"/>
        <v>4.5872273922366444</v>
      </c>
      <c r="I413">
        <f t="shared" si="62"/>
        <v>736.11494792108294</v>
      </c>
      <c r="J413">
        <f t="shared" si="54"/>
        <v>98.057473960541458</v>
      </c>
      <c r="K413">
        <f t="shared" si="59"/>
        <v>98.057473960541458</v>
      </c>
      <c r="L413" s="55">
        <f t="shared" si="55"/>
        <v>105.50189151311022</v>
      </c>
      <c r="M413">
        <f t="shared" si="56"/>
        <v>44.940800187906341</v>
      </c>
      <c r="N413" s="76"/>
      <c r="O413" s="52"/>
      <c r="P413" s="52"/>
    </row>
    <row r="414" spans="1:16" x14ac:dyDescent="0.3">
      <c r="C414" s="13">
        <v>45498</v>
      </c>
      <c r="D414" s="53">
        <v>2.36666666666666</v>
      </c>
      <c r="E414" s="15">
        <f t="shared" si="60"/>
        <v>63.849999999999881</v>
      </c>
      <c r="F414" s="15">
        <f t="shared" si="61"/>
        <v>34.183333333333216</v>
      </c>
      <c r="G414" s="50">
        <f t="shared" si="58"/>
        <v>4.5987098077562125</v>
      </c>
      <c r="H414" s="70">
        <f t="shared" si="57"/>
        <v>4.5987098077562125</v>
      </c>
      <c r="I414">
        <f t="shared" si="62"/>
        <v>736.88139955570898</v>
      </c>
      <c r="J414">
        <f t="shared" si="54"/>
        <v>98.440699777854476</v>
      </c>
      <c r="K414">
        <f t="shared" si="59"/>
        <v>98.440699777854476</v>
      </c>
      <c r="L414" s="55">
        <f t="shared" si="55"/>
        <v>105.80404698920151</v>
      </c>
      <c r="M414">
        <f t="shared" si="56"/>
        <v>45.006502217540849</v>
      </c>
      <c r="N414" s="76"/>
      <c r="O414" s="52"/>
      <c r="P414" s="52"/>
    </row>
    <row r="415" spans="1:16" x14ac:dyDescent="0.3">
      <c r="C415" s="13">
        <v>45498</v>
      </c>
      <c r="D415" s="53">
        <v>2.3701388888888899</v>
      </c>
      <c r="E415" s="15">
        <f t="shared" si="60"/>
        <v>63.933333333333223</v>
      </c>
      <c r="F415" s="15">
        <f t="shared" si="61"/>
        <v>34.266666666666552</v>
      </c>
      <c r="G415" s="50">
        <f t="shared" si="58"/>
        <v>4.6102209652270476</v>
      </c>
      <c r="H415" s="70">
        <f t="shared" si="57"/>
        <v>4.6102209652270476</v>
      </c>
      <c r="I415">
        <f t="shared" si="62"/>
        <v>737.64976971658018</v>
      </c>
      <c r="J415">
        <f t="shared" si="54"/>
        <v>98.824884858290062</v>
      </c>
      <c r="K415">
        <f t="shared" si="59"/>
        <v>98.824884858290062</v>
      </c>
      <c r="L415" s="55">
        <f t="shared" si="55"/>
        <v>106.10632853290041</v>
      </c>
      <c r="M415">
        <f t="shared" si="56"/>
        <v>45.072231659876266</v>
      </c>
      <c r="N415" s="76"/>
      <c r="O415" s="52"/>
      <c r="P415" s="52"/>
    </row>
    <row r="416" spans="1:16" x14ac:dyDescent="0.3">
      <c r="B416" s="56"/>
      <c r="C416" s="13">
        <v>45498</v>
      </c>
      <c r="D416" s="53">
        <v>2.37361111111111</v>
      </c>
      <c r="E416" s="15">
        <f t="shared" si="60"/>
        <v>64.016666666666552</v>
      </c>
      <c r="F416" s="15">
        <f t="shared" si="61"/>
        <v>34.349999999999888</v>
      </c>
      <c r="G416" s="50">
        <f t="shared" si="58"/>
        <v>4.6217609365939234</v>
      </c>
      <c r="H416" s="70">
        <f t="shared" si="57"/>
        <v>4.6217609365939234</v>
      </c>
      <c r="I416">
        <f t="shared" si="62"/>
        <v>738.42006320601251</v>
      </c>
      <c r="J416">
        <f t="shared" si="54"/>
        <v>99.210031603006229</v>
      </c>
      <c r="K416">
        <f t="shared" si="59"/>
        <v>99.210031603006229</v>
      </c>
      <c r="L416" s="55">
        <f t="shared" si="55"/>
        <v>106.40873527790299</v>
      </c>
      <c r="M416">
        <f t="shared" si="56"/>
        <v>45.137988326539599</v>
      </c>
      <c r="N416" s="76"/>
      <c r="O416" s="52"/>
      <c r="P416" s="52"/>
    </row>
    <row r="417" spans="3:16" x14ac:dyDescent="0.3">
      <c r="C417" s="13">
        <v>45498</v>
      </c>
      <c r="D417" s="53">
        <v>2.3770833333333301</v>
      </c>
      <c r="E417" s="15">
        <f t="shared" si="60"/>
        <v>64.099999999999895</v>
      </c>
      <c r="F417" s="15">
        <f t="shared" si="61"/>
        <v>34.433333333333223</v>
      </c>
      <c r="G417" s="50">
        <f t="shared" si="58"/>
        <v>4.6333297939816962</v>
      </c>
      <c r="H417" s="70">
        <f t="shared" si="57"/>
        <v>4.6333297939816962</v>
      </c>
      <c r="I417">
        <f t="shared" si="62"/>
        <v>739.19228483834274</v>
      </c>
      <c r="J417">
        <f t="shared" si="54"/>
        <v>99.596142419171372</v>
      </c>
      <c r="K417">
        <f t="shared" si="59"/>
        <v>99.596142419171372</v>
      </c>
      <c r="L417" s="55">
        <f t="shared" si="55"/>
        <v>106.71126635640468</v>
      </c>
      <c r="M417">
        <f t="shared" si="56"/>
        <v>45.203772028831587</v>
      </c>
      <c r="N417" s="76"/>
      <c r="O417" s="52"/>
      <c r="P417" s="52"/>
    </row>
    <row r="418" spans="3:16" x14ac:dyDescent="0.3">
      <c r="C418" s="13">
        <v>45498</v>
      </c>
      <c r="D418" s="53">
        <v>2.3805555555555502</v>
      </c>
      <c r="E418" s="15">
        <f t="shared" si="60"/>
        <v>64.183333333333223</v>
      </c>
      <c r="F418" s="15">
        <f t="shared" si="61"/>
        <v>34.516666666666559</v>
      </c>
      <c r="G418" s="50">
        <f t="shared" si="58"/>
        <v>4.6449276096957659</v>
      </c>
      <c r="H418" s="70">
        <f t="shared" si="57"/>
        <v>4.6449276096957659</v>
      </c>
      <c r="I418">
        <f t="shared" si="62"/>
        <v>739.96643943995866</v>
      </c>
      <c r="J418">
        <f t="shared" si="54"/>
        <v>99.983219719979346</v>
      </c>
      <c r="K418">
        <f t="shared" si="59"/>
        <v>99.983219719979346</v>
      </c>
      <c r="L418" s="55">
        <f t="shared" si="55"/>
        <v>107.01392089910983</v>
      </c>
      <c r="M418">
        <f t="shared" si="56"/>
        <v>45.269582577728691</v>
      </c>
      <c r="N418" s="76"/>
      <c r="O418" s="52"/>
      <c r="P418" s="52"/>
    </row>
    <row r="419" spans="3:16" x14ac:dyDescent="0.3">
      <c r="C419" s="13">
        <v>45498</v>
      </c>
      <c r="D419" s="53">
        <v>2.3840277777777699</v>
      </c>
      <c r="E419" s="15">
        <f t="shared" si="60"/>
        <v>64.266666666666566</v>
      </c>
      <c r="F419" s="15">
        <f t="shared" si="61"/>
        <v>34.599999999999895</v>
      </c>
      <c r="G419" s="50">
        <f t="shared" si="58"/>
        <v>4.6565544562225147</v>
      </c>
      <c r="H419" s="70">
        <f t="shared" si="57"/>
        <v>4.6565544562225147</v>
      </c>
      <c r="I419">
        <f t="shared" si="62"/>
        <v>740.74253184932911</v>
      </c>
      <c r="J419">
        <f t="shared" si="54"/>
        <v>100.37126592466456</v>
      </c>
      <c r="K419">
        <f t="shared" si="59"/>
        <v>100.37126592466456</v>
      </c>
      <c r="L419" s="55">
        <f t="shared" si="55"/>
        <v>107.31669803524105</v>
      </c>
      <c r="M419">
        <f t="shared" si="56"/>
        <v>45.335419783885214</v>
      </c>
      <c r="N419" s="76"/>
      <c r="O419" s="52"/>
      <c r="P419" s="52"/>
    </row>
    <row r="420" spans="3:16" x14ac:dyDescent="0.3">
      <c r="C420" s="13">
        <v>45498</v>
      </c>
      <c r="D420" s="53">
        <v>2.3875000000000002</v>
      </c>
      <c r="E420" s="15">
        <f t="shared" si="60"/>
        <v>64.349999999999895</v>
      </c>
      <c r="F420" s="15">
        <f t="shared" si="61"/>
        <v>34.683333333333231</v>
      </c>
      <c r="G420" s="50">
        <f t="shared" si="58"/>
        <v>4.6682104062297745</v>
      </c>
      <c r="H420" s="70">
        <f t="shared" si="57"/>
        <v>4.6682104062297745</v>
      </c>
      <c r="I420">
        <f t="shared" si="62"/>
        <v>741.5205669170341</v>
      </c>
      <c r="J420">
        <f t="shared" si="54"/>
        <v>100.76028345851704</v>
      </c>
      <c r="K420">
        <f t="shared" si="59"/>
        <v>100.76028345851704</v>
      </c>
      <c r="L420" s="55">
        <f t="shared" si="55"/>
        <v>107.61959689254891</v>
      </c>
      <c r="M420">
        <f t="shared" si="56"/>
        <v>45.40128345763538</v>
      </c>
      <c r="N420" s="76"/>
      <c r="O420" s="52"/>
      <c r="P420" s="52"/>
    </row>
    <row r="421" spans="3:16" x14ac:dyDescent="0.3">
      <c r="C421" s="13">
        <v>45498</v>
      </c>
      <c r="D421" s="53">
        <v>2.3909722222222198</v>
      </c>
      <c r="E421" s="15">
        <f t="shared" si="60"/>
        <v>64.433333333333238</v>
      </c>
      <c r="F421" s="15">
        <f t="shared" si="61"/>
        <v>34.766666666666566</v>
      </c>
      <c r="G421" s="50">
        <f t="shared" si="58"/>
        <v>4.6798955325672686</v>
      </c>
      <c r="H421" s="70">
        <f t="shared" si="57"/>
        <v>4.6798955325672686</v>
      </c>
      <c r="I421">
        <f t="shared" si="62"/>
        <v>742.30054950579529</v>
      </c>
      <c r="J421">
        <f t="shared" si="54"/>
        <v>101.15027475289764</v>
      </c>
      <c r="K421">
        <f t="shared" si="59"/>
        <v>101.15027475289764</v>
      </c>
      <c r="L421" s="55">
        <f t="shared" si="55"/>
        <v>107.92261659732148</v>
      </c>
      <c r="M421">
        <f t="shared" si="56"/>
        <v>45.467173408995365</v>
      </c>
      <c r="N421" s="76"/>
      <c r="O421" s="52"/>
      <c r="P421" s="52"/>
    </row>
    <row r="422" spans="3:16" x14ac:dyDescent="0.3">
      <c r="C422" s="13">
        <v>45498</v>
      </c>
      <c r="D422" s="53">
        <v>2.3944444444444399</v>
      </c>
      <c r="E422" s="15">
        <f t="shared" si="60"/>
        <v>64.516666666666566</v>
      </c>
      <c r="F422" s="15">
        <f t="shared" si="61"/>
        <v>34.849999999999902</v>
      </c>
      <c r="G422" s="50">
        <f t="shared" si="58"/>
        <v>4.6916099082670746</v>
      </c>
      <c r="H422" s="70">
        <f t="shared" si="57"/>
        <v>4.6916099082670746</v>
      </c>
      <c r="I422">
        <f t="shared" si="62"/>
        <v>743.08248449050643</v>
      </c>
      <c r="J422">
        <f t="shared" si="54"/>
        <v>101.54124224525323</v>
      </c>
      <c r="K422">
        <f t="shared" si="59"/>
        <v>101.54124224525323</v>
      </c>
      <c r="L422" s="55">
        <f t="shared" si="55"/>
        <v>108.22575627439387</v>
      </c>
      <c r="M422">
        <f t="shared" si="56"/>
        <v>45.533089447665446</v>
      </c>
      <c r="N422" s="76"/>
      <c r="O422" s="52"/>
      <c r="P422" s="52"/>
    </row>
    <row r="423" spans="3:16" x14ac:dyDescent="0.3">
      <c r="C423" s="13">
        <v>45498</v>
      </c>
      <c r="D423" s="53">
        <v>2.39791666666666</v>
      </c>
      <c r="E423" s="15">
        <f t="shared" si="60"/>
        <v>64.599999999999909</v>
      </c>
      <c r="F423" s="15">
        <f t="shared" si="61"/>
        <v>34.933333333333238</v>
      </c>
      <c r="G423" s="50">
        <f t="shared" si="58"/>
        <v>4.7033536065440806</v>
      </c>
      <c r="H423" s="70">
        <f t="shared" si="57"/>
        <v>4.7033536065440806</v>
      </c>
      <c r="I423">
        <f t="shared" si="62"/>
        <v>743.86637675826375</v>
      </c>
      <c r="J423">
        <f t="shared" si="54"/>
        <v>101.93318837913191</v>
      </c>
      <c r="K423">
        <f t="shared" si="59"/>
        <v>101.93318837913191</v>
      </c>
      <c r="L423" s="55">
        <f t="shared" si="55"/>
        <v>108.52901504715804</v>
      </c>
      <c r="M423">
        <f t="shared" si="56"/>
        <v>45.599031383032056</v>
      </c>
      <c r="N423" s="76"/>
      <c r="O423" s="52"/>
      <c r="P423" s="52"/>
    </row>
    <row r="424" spans="3:16" x14ac:dyDescent="0.3">
      <c r="C424" s="13">
        <v>45498</v>
      </c>
      <c r="D424" s="53">
        <v>2.4013888888888899</v>
      </c>
      <c r="E424" s="15">
        <f t="shared" si="60"/>
        <v>64.683333333333238</v>
      </c>
      <c r="F424" s="15">
        <f t="shared" si="61"/>
        <v>35.016666666666573</v>
      </c>
      <c r="G424" s="50">
        <f t="shared" si="58"/>
        <v>4.7151267007964366</v>
      </c>
      <c r="H424" s="70">
        <f t="shared" si="57"/>
        <v>4.7151267007964366</v>
      </c>
      <c r="I424">
        <f t="shared" si="62"/>
        <v>744.65223120839653</v>
      </c>
      <c r="J424">
        <f t="shared" si="54"/>
        <v>102.32611560419828</v>
      </c>
      <c r="K424">
        <f t="shared" si="59"/>
        <v>102.32611560419828</v>
      </c>
      <c r="L424" s="55">
        <f t="shared" si="55"/>
        <v>108.83239203757226</v>
      </c>
      <c r="M424">
        <f t="shared" si="56"/>
        <v>45.664999024169902</v>
      </c>
      <c r="N424" s="76"/>
      <c r="O424" s="52"/>
      <c r="P424" s="52"/>
    </row>
    <row r="425" spans="3:16" x14ac:dyDescent="0.3">
      <c r="C425" s="13">
        <v>45498</v>
      </c>
      <c r="D425" s="53">
        <v>2.40486111111111</v>
      </c>
      <c r="E425" s="15">
        <f t="shared" si="60"/>
        <v>64.76666666666658</v>
      </c>
      <c r="F425" s="15">
        <f t="shared" si="61"/>
        <v>35.099999999999909</v>
      </c>
      <c r="G425" s="50">
        <f t="shared" si="58"/>
        <v>4.7269292646060226</v>
      </c>
      <c r="H425" s="70">
        <f t="shared" si="57"/>
        <v>4.7269292646060226</v>
      </c>
      <c r="I425">
        <f t="shared" si="62"/>
        <v>745.44005275249754</v>
      </c>
      <c r="J425">
        <f t="shared" si="54"/>
        <v>102.72002637624878</v>
      </c>
      <c r="K425">
        <f t="shared" si="59"/>
        <v>102.72002637624878</v>
      </c>
      <c r="L425" s="55">
        <f t="shared" si="55"/>
        <v>109.13588636617102</v>
      </c>
      <c r="M425">
        <f t="shared" si="56"/>
        <v>45.730992179844101</v>
      </c>
      <c r="N425" s="76"/>
      <c r="O425" s="52"/>
      <c r="P425" s="52"/>
    </row>
    <row r="426" spans="3:16" x14ac:dyDescent="0.3">
      <c r="C426" s="13">
        <v>45498</v>
      </c>
      <c r="D426" s="53">
        <v>2.4083333333333301</v>
      </c>
      <c r="E426" s="15">
        <f t="shared" si="60"/>
        <v>64.849999999999909</v>
      </c>
      <c r="F426" s="15">
        <f t="shared" si="61"/>
        <v>35.183333333333245</v>
      </c>
      <c r="G426" s="50">
        <f t="shared" si="58"/>
        <v>4.7387613717388986</v>
      </c>
      <c r="H426" s="70">
        <f t="shared" si="57"/>
        <v>4.7387613717388986</v>
      </c>
      <c r="I426">
        <f t="shared" si="62"/>
        <v>746.22984631445399</v>
      </c>
      <c r="J426">
        <f t="shared" ref="J426:J482" si="63">J425+G426*5/60</f>
        <v>103.11492315722703</v>
      </c>
      <c r="K426">
        <f t="shared" si="59"/>
        <v>103.11492315722703</v>
      </c>
      <c r="L426" s="55">
        <f t="shared" ref="L426:L482" si="64">((L425*I425/1000)+(G426*$T$7/1000*5/60))/(I426/1000)</f>
        <v>109.43949715207476</v>
      </c>
      <c r="M426">
        <f t="shared" ref="M426:M482" si="65">(M425*I425+G426*$T$7*$T$6*(5/60))/I426</f>
        <v>45.797010658512278</v>
      </c>
      <c r="N426" s="76"/>
      <c r="O426" s="52"/>
      <c r="P426" s="52"/>
    </row>
    <row r="427" spans="3:16" x14ac:dyDescent="0.3">
      <c r="C427" s="13">
        <v>45498</v>
      </c>
      <c r="D427" s="53">
        <v>2.4118055555555502</v>
      </c>
      <c r="E427" s="15">
        <f t="shared" si="60"/>
        <v>64.933333333333252</v>
      </c>
      <c r="F427" s="15">
        <f t="shared" si="61"/>
        <v>35.26666666666658</v>
      </c>
      <c r="G427" s="50">
        <f t="shared" si="58"/>
        <v>4.750623096145774</v>
      </c>
      <c r="H427" s="70">
        <f t="shared" si="57"/>
        <v>4.750623096145774</v>
      </c>
      <c r="I427">
        <f t="shared" si="62"/>
        <v>747.02161683047825</v>
      </c>
      <c r="J427">
        <f t="shared" si="63"/>
        <v>103.51080841523917</v>
      </c>
      <c r="K427">
        <f t="shared" si="59"/>
        <v>103.51080841523917</v>
      </c>
      <c r="L427" s="55">
        <f t="shared" si="64"/>
        <v>109.74322351299956</v>
      </c>
      <c r="M427">
        <f t="shared" si="65"/>
        <v>45.863054268326714</v>
      </c>
      <c r="N427" s="76"/>
      <c r="O427" s="52"/>
      <c r="P427" s="52"/>
    </row>
    <row r="428" spans="3:16" x14ac:dyDescent="0.3">
      <c r="C428" s="13">
        <v>45498</v>
      </c>
      <c r="D428" s="53">
        <v>2.4152777777777699</v>
      </c>
      <c r="E428" s="15">
        <f t="shared" si="60"/>
        <v>65.01666666666658</v>
      </c>
      <c r="F428" s="15">
        <f t="shared" si="61"/>
        <v>35.349999999999916</v>
      </c>
      <c r="G428" s="50">
        <f t="shared" si="58"/>
        <v>4.7625145119624648</v>
      </c>
      <c r="H428" s="70">
        <f t="shared" si="57"/>
        <v>4.7625145119624648</v>
      </c>
      <c r="I428">
        <f t="shared" si="62"/>
        <v>747.81536924913871</v>
      </c>
      <c r="J428">
        <f t="shared" si="63"/>
        <v>103.90768462456937</v>
      </c>
      <c r="K428">
        <f t="shared" si="59"/>
        <v>103.90768462456937</v>
      </c>
      <c r="L428" s="55">
        <f t="shared" si="64"/>
        <v>110.04706456526709</v>
      </c>
      <c r="M428">
        <f t="shared" si="65"/>
        <v>45.929122817136438</v>
      </c>
      <c r="N428" s="76"/>
      <c r="O428" s="52"/>
      <c r="P428" s="52"/>
    </row>
    <row r="429" spans="3:16" x14ac:dyDescent="0.3">
      <c r="C429" s="13">
        <v>45498</v>
      </c>
      <c r="D429" s="53">
        <v>2.4187500000000002</v>
      </c>
      <c r="E429" s="15">
        <f t="shared" si="60"/>
        <v>65.099999999999923</v>
      </c>
      <c r="F429" s="15">
        <f t="shared" si="61"/>
        <v>35.433333333333252</v>
      </c>
      <c r="G429" s="50">
        <f t="shared" si="58"/>
        <v>4.774435693510358</v>
      </c>
      <c r="H429" s="70">
        <f t="shared" si="57"/>
        <v>4.774435693510358</v>
      </c>
      <c r="I429">
        <f t="shared" si="62"/>
        <v>748.61110853139041</v>
      </c>
      <c r="J429">
        <f t="shared" si="63"/>
        <v>104.30555426569524</v>
      </c>
      <c r="K429">
        <f t="shared" si="59"/>
        <v>104.30555426569524</v>
      </c>
      <c r="L429" s="55">
        <f t="shared" si="64"/>
        <v>110.35101942381439</v>
      </c>
      <c r="M429">
        <f t="shared" si="65"/>
        <v>45.995216112489452</v>
      </c>
      <c r="N429" s="76"/>
      <c r="O429" s="52"/>
      <c r="P429" s="52"/>
    </row>
    <row r="430" spans="3:16" x14ac:dyDescent="0.3">
      <c r="C430" s="13">
        <v>45498</v>
      </c>
      <c r="D430" s="53">
        <v>2.4222222222222198</v>
      </c>
      <c r="E430" s="15">
        <f t="shared" si="60"/>
        <v>65.183333333333252</v>
      </c>
      <c r="F430" s="15">
        <f t="shared" si="61"/>
        <v>35.516666666666588</v>
      </c>
      <c r="G430" s="50">
        <f t="shared" si="58"/>
        <v>4.786386715296878</v>
      </c>
      <c r="H430" s="70">
        <f t="shared" si="57"/>
        <v>4.786386715296878</v>
      </c>
      <c r="I430">
        <f t="shared" si="62"/>
        <v>749.40883965060652</v>
      </c>
      <c r="J430">
        <f t="shared" si="63"/>
        <v>104.7044198253033</v>
      </c>
      <c r="K430">
        <f t="shared" si="59"/>
        <v>104.7044198253033</v>
      </c>
      <c r="L430" s="55">
        <f t="shared" si="64"/>
        <v>110.65508720220384</v>
      </c>
      <c r="M430">
        <f t="shared" si="65"/>
        <v>46.061333961634801</v>
      </c>
      <c r="N430" s="76"/>
      <c r="O430" s="52"/>
      <c r="P430" s="52"/>
    </row>
    <row r="431" spans="3:16" x14ac:dyDescent="0.3">
      <c r="C431" s="13">
        <v>45498</v>
      </c>
      <c r="D431" s="53">
        <v>2.4256944444444399</v>
      </c>
      <c r="E431" s="15">
        <f t="shared" si="60"/>
        <v>65.266666666666595</v>
      </c>
      <c r="F431" s="15">
        <f t="shared" si="61"/>
        <v>35.599999999999923</v>
      </c>
      <c r="G431" s="50">
        <f t="shared" si="58"/>
        <v>4.7983676520159477</v>
      </c>
      <c r="H431" s="70">
        <f t="shared" si="57"/>
        <v>4.7983676520159477</v>
      </c>
      <c r="I431">
        <f t="shared" si="62"/>
        <v>750.20856759260914</v>
      </c>
      <c r="J431">
        <f t="shared" si="63"/>
        <v>105.10428379630463</v>
      </c>
      <c r="K431">
        <f t="shared" si="59"/>
        <v>105.10428379630463</v>
      </c>
      <c r="L431" s="55">
        <f t="shared" si="64"/>
        <v>110.95926701263311</v>
      </c>
      <c r="M431">
        <f t="shared" si="65"/>
        <v>46.127476171524812</v>
      </c>
      <c r="N431" s="76"/>
      <c r="O431" s="52"/>
      <c r="P431" s="52"/>
    </row>
    <row r="432" spans="3:16" x14ac:dyDescent="0.3">
      <c r="C432" s="13">
        <v>45498</v>
      </c>
      <c r="D432" s="53">
        <v>2.42916666666666</v>
      </c>
      <c r="E432" s="15">
        <f t="shared" si="60"/>
        <v>65.349999999999923</v>
      </c>
      <c r="F432" s="15">
        <f t="shared" si="61"/>
        <v>35.683333333333259</v>
      </c>
      <c r="G432" s="50">
        <f t="shared" si="58"/>
        <v>4.8103785785484643</v>
      </c>
      <c r="H432" s="70">
        <f t="shared" si="57"/>
        <v>4.8103785785484643</v>
      </c>
      <c r="I432">
        <f t="shared" si="62"/>
        <v>751.01029735570057</v>
      </c>
      <c r="J432">
        <f t="shared" si="63"/>
        <v>105.50514867785033</v>
      </c>
      <c r="K432">
        <f t="shared" si="59"/>
        <v>105.50514867785033</v>
      </c>
      <c r="L432" s="55">
        <f t="shared" si="64"/>
        <v>111.26355796594494</v>
      </c>
      <c r="M432">
        <f t="shared" si="65"/>
        <v>46.193642548817166</v>
      </c>
      <c r="N432" s="76"/>
      <c r="O432" s="52"/>
      <c r="P432" s="52"/>
    </row>
    <row r="433" spans="2:16" x14ac:dyDescent="0.3">
      <c r="C433" s="13">
        <v>45498</v>
      </c>
      <c r="D433" s="53">
        <v>2.4326388888888899</v>
      </c>
      <c r="E433" s="15">
        <f t="shared" si="60"/>
        <v>65.433333333333266</v>
      </c>
      <c r="F433" s="15">
        <f t="shared" si="61"/>
        <v>35.766666666666595</v>
      </c>
      <c r="G433" s="50">
        <f t="shared" si="58"/>
        <v>4.8224195699627543</v>
      </c>
      <c r="H433" s="70">
        <f t="shared" si="57"/>
        <v>4.8224195699627543</v>
      </c>
      <c r="I433">
        <f t="shared" si="62"/>
        <v>751.81403395069435</v>
      </c>
      <c r="J433">
        <f t="shared" si="63"/>
        <v>105.90701697534722</v>
      </c>
      <c r="K433">
        <f t="shared" si="59"/>
        <v>105.90701697534722</v>
      </c>
      <c r="L433" s="55">
        <f t="shared" si="64"/>
        <v>111.56795917163741</v>
      </c>
      <c r="M433">
        <f t="shared" si="65"/>
        <v>46.259832899877175</v>
      </c>
      <c r="N433" s="76"/>
      <c r="O433" s="52"/>
      <c r="P433" s="52"/>
    </row>
    <row r="434" spans="2:16" x14ac:dyDescent="0.3">
      <c r="C434" s="13">
        <v>45498</v>
      </c>
      <c r="D434" s="53">
        <v>2.43611111111111</v>
      </c>
      <c r="E434" s="15">
        <f t="shared" si="60"/>
        <v>65.516666666666595</v>
      </c>
      <c r="F434" s="15">
        <f t="shared" si="61"/>
        <v>35.84999999999993</v>
      </c>
      <c r="G434" s="50">
        <f t="shared" si="58"/>
        <v>4.8344907015150547</v>
      </c>
      <c r="H434" s="70">
        <f t="shared" si="57"/>
        <v>4.8344907015150547</v>
      </c>
      <c r="I434">
        <f t="shared" si="62"/>
        <v>752.61978240094686</v>
      </c>
      <c r="J434">
        <f t="shared" si="63"/>
        <v>106.30989120047347</v>
      </c>
      <c r="K434">
        <f t="shared" si="59"/>
        <v>106.30989120047347</v>
      </c>
      <c r="L434" s="55">
        <f t="shared" si="64"/>
        <v>111.87246973787379</v>
      </c>
      <c r="M434">
        <f t="shared" si="65"/>
        <v>46.326047030779911</v>
      </c>
      <c r="N434" s="76"/>
      <c r="O434" s="52"/>
      <c r="P434" s="52"/>
    </row>
    <row r="435" spans="2:16" x14ac:dyDescent="0.3">
      <c r="C435" s="13">
        <v>45498</v>
      </c>
      <c r="D435" s="53">
        <v>2.4395833333333301</v>
      </c>
      <c r="E435" s="15">
        <f t="shared" si="60"/>
        <v>65.599999999999937</v>
      </c>
      <c r="F435" s="15">
        <f t="shared" si="61"/>
        <v>35.933333333333266</v>
      </c>
      <c r="G435" s="50">
        <f t="shared" si="58"/>
        <v>4.8465920486499767</v>
      </c>
      <c r="H435" s="70">
        <f t="shared" si="57"/>
        <v>4.8465920486499767</v>
      </c>
      <c r="I435">
        <f t="shared" si="62"/>
        <v>753.42754774238847</v>
      </c>
      <c r="J435">
        <f t="shared" si="63"/>
        <v>106.71377387119431</v>
      </c>
      <c r="K435">
        <f t="shared" si="59"/>
        <v>106.71377387119431</v>
      </c>
      <c r="L435" s="55">
        <f t="shared" si="64"/>
        <v>112.17708877149272</v>
      </c>
      <c r="M435">
        <f t="shared" si="65"/>
        <v>46.392284747312381</v>
      </c>
      <c r="N435" s="76"/>
      <c r="O435" s="52"/>
      <c r="P435" s="52"/>
    </row>
    <row r="436" spans="2:16" x14ac:dyDescent="0.3">
      <c r="C436" s="13">
        <v>45498</v>
      </c>
      <c r="D436" s="53">
        <v>2.4430555555555502</v>
      </c>
      <c r="E436" s="15">
        <f t="shared" si="60"/>
        <v>65.683333333333266</v>
      </c>
      <c r="F436" s="15">
        <f t="shared" si="61"/>
        <v>36.016666666666602</v>
      </c>
      <c r="G436" s="50">
        <f t="shared" si="58"/>
        <v>4.85872368700098</v>
      </c>
      <c r="H436" s="70">
        <f t="shared" si="57"/>
        <v>4.85872368700098</v>
      </c>
      <c r="I436">
        <f t="shared" si="62"/>
        <v>754.23733502355526</v>
      </c>
      <c r="J436">
        <f t="shared" si="63"/>
        <v>107.11866751177772</v>
      </c>
      <c r="K436">
        <f t="shared" si="59"/>
        <v>107.11866751177772</v>
      </c>
      <c r="L436" s="55">
        <f t="shared" si="64"/>
        <v>112.48181537801824</v>
      </c>
      <c r="M436">
        <f t="shared" si="65"/>
        <v>46.458545854975767</v>
      </c>
      <c r="N436" s="76"/>
      <c r="O436" s="52"/>
      <c r="P436" s="52"/>
    </row>
    <row r="437" spans="2:16" x14ac:dyDescent="0.3">
      <c r="C437" s="13">
        <v>45498</v>
      </c>
      <c r="D437" s="53">
        <v>2.4465277777777699</v>
      </c>
      <c r="E437" s="15">
        <f t="shared" si="60"/>
        <v>65.766666666666609</v>
      </c>
      <c r="F437" s="15">
        <f t="shared" si="61"/>
        <v>36.099999999999937</v>
      </c>
      <c r="G437" s="50">
        <f t="shared" si="58"/>
        <v>4.8708856923908437</v>
      </c>
      <c r="H437" s="70">
        <f t="shared" si="57"/>
        <v>4.8708856923908437</v>
      </c>
      <c r="I437">
        <f t="shared" si="62"/>
        <v>755.0491493056204</v>
      </c>
      <c r="J437">
        <f t="shared" si="63"/>
        <v>107.52457465281029</v>
      </c>
      <c r="K437">
        <f t="shared" si="59"/>
        <v>107.52457465281029</v>
      </c>
      <c r="L437" s="55">
        <f t="shared" si="64"/>
        <v>112.78664866167</v>
      </c>
      <c r="M437">
        <f t="shared" si="65"/>
        <v>46.524830158987605</v>
      </c>
      <c r="N437" s="76"/>
      <c r="O437" s="52"/>
      <c r="P437" s="52"/>
    </row>
    <row r="438" spans="2:16" x14ac:dyDescent="0.3">
      <c r="C438" s="13">
        <v>45498</v>
      </c>
      <c r="D438" s="53">
        <v>2.4500000000000002</v>
      </c>
      <c r="E438" s="15">
        <f t="shared" si="60"/>
        <v>65.849999999999937</v>
      </c>
      <c r="F438" s="15">
        <f t="shared" si="61"/>
        <v>36.183333333333273</v>
      </c>
      <c r="G438" s="50">
        <f t="shared" si="58"/>
        <v>4.8830781408321391</v>
      </c>
      <c r="H438" s="70">
        <f t="shared" si="57"/>
        <v>4.8830781408321391</v>
      </c>
      <c r="I438">
        <f t="shared" si="62"/>
        <v>755.86299566242576</v>
      </c>
      <c r="J438">
        <f t="shared" si="63"/>
        <v>107.93149783121297</v>
      </c>
      <c r="K438">
        <f t="shared" si="59"/>
        <v>107.93149783121297</v>
      </c>
      <c r="L438" s="55">
        <f t="shared" si="64"/>
        <v>113.09158772537339</v>
      </c>
      <c r="M438">
        <f t="shared" si="65"/>
        <v>46.591137464284003</v>
      </c>
      <c r="N438" s="76"/>
      <c r="O438" s="52"/>
      <c r="P438" s="52"/>
    </row>
    <row r="439" spans="2:16" x14ac:dyDescent="0.3">
      <c r="C439" s="13">
        <v>45498</v>
      </c>
      <c r="D439" s="53">
        <v>2.4534722222222198</v>
      </c>
      <c r="E439" s="15">
        <f t="shared" si="60"/>
        <v>65.93333333333328</v>
      </c>
      <c r="F439" s="15">
        <f t="shared" si="61"/>
        <v>36.266666666666609</v>
      </c>
      <c r="G439" s="50">
        <f t="shared" si="58"/>
        <v>4.8953011085277121</v>
      </c>
      <c r="H439" s="70">
        <f t="shared" si="57"/>
        <v>4.8953011085277121</v>
      </c>
      <c r="I439">
        <f t="shared" si="62"/>
        <v>756.67887918051372</v>
      </c>
      <c r="J439">
        <f t="shared" si="63"/>
        <v>108.33943959025694</v>
      </c>
      <c r="K439">
        <f t="shared" si="59"/>
        <v>108.33943959025694</v>
      </c>
      <c r="L439" s="55">
        <f t="shared" si="64"/>
        <v>113.39663167076972</v>
      </c>
      <c r="M439">
        <f t="shared" si="65"/>
        <v>46.657467575521849</v>
      </c>
      <c r="N439" s="76"/>
      <c r="O439" s="52"/>
      <c r="P439" s="52"/>
    </row>
    <row r="440" spans="2:16" x14ac:dyDescent="0.3">
      <c r="C440" s="13">
        <v>45498</v>
      </c>
      <c r="D440" s="53">
        <v>2.4569444444444399</v>
      </c>
      <c r="E440" s="15">
        <f t="shared" si="60"/>
        <v>66.016666666666609</v>
      </c>
      <c r="F440" s="15">
        <f t="shared" si="61"/>
        <v>36.349999999999945</v>
      </c>
      <c r="G440" s="50">
        <f t="shared" si="58"/>
        <v>4.9075546718711465</v>
      </c>
      <c r="H440" s="70">
        <f t="shared" si="57"/>
        <v>4.9075546718711465</v>
      </c>
      <c r="I440">
        <f t="shared" si="62"/>
        <v>757.49680495915891</v>
      </c>
      <c r="J440">
        <f t="shared" si="63"/>
        <v>108.74840247957954</v>
      </c>
      <c r="K440">
        <f t="shared" si="59"/>
        <v>108.74840247957954</v>
      </c>
      <c r="L440" s="55">
        <f t="shared" si="64"/>
        <v>113.70177959822652</v>
      </c>
      <c r="M440">
        <f t="shared" si="65"/>
        <v>46.723820297081062</v>
      </c>
      <c r="N440" s="76"/>
      <c r="O440" s="52"/>
      <c r="P440" s="52"/>
    </row>
    <row r="441" spans="2:16" x14ac:dyDescent="0.3">
      <c r="C441" s="13">
        <v>45498</v>
      </c>
      <c r="D441" s="53">
        <v>2.46041666666666</v>
      </c>
      <c r="E441" s="15">
        <f t="shared" si="60"/>
        <v>66.099999999999952</v>
      </c>
      <c r="F441" s="15">
        <f t="shared" si="61"/>
        <v>36.43333333333328</v>
      </c>
      <c r="G441" s="50">
        <f t="shared" si="58"/>
        <v>4.9198389074472564</v>
      </c>
      <c r="H441" s="70">
        <f t="shared" si="57"/>
        <v>4.9198389074472564</v>
      </c>
      <c r="I441">
        <f t="shared" si="62"/>
        <v>758.31677811040015</v>
      </c>
      <c r="J441">
        <f t="shared" si="63"/>
        <v>109.15838905520015</v>
      </c>
      <c r="K441">
        <f t="shared" si="59"/>
        <v>109.15838905520015</v>
      </c>
      <c r="L441" s="55">
        <f t="shared" si="64"/>
        <v>114.00703060684778</v>
      </c>
      <c r="M441">
        <f t="shared" si="65"/>
        <v>46.790195433066813</v>
      </c>
      <c r="N441" s="76"/>
      <c r="O441" s="52"/>
      <c r="P441" s="52"/>
    </row>
    <row r="442" spans="2:16" x14ac:dyDescent="0.3">
      <c r="B442" s="56" t="s">
        <v>56</v>
      </c>
      <c r="C442" s="13">
        <v>45498</v>
      </c>
      <c r="D442" s="53">
        <v>2.4638888888888899</v>
      </c>
      <c r="E442" s="15">
        <f t="shared" si="60"/>
        <v>66.18333333333328</v>
      </c>
      <c r="F442" s="15">
        <f t="shared" si="61"/>
        <v>36.516666666666616</v>
      </c>
      <c r="G442" s="50">
        <f t="shared" si="58"/>
        <v>4.9321538920325514</v>
      </c>
      <c r="H442" s="70">
        <f t="shared" si="57"/>
        <v>4.9321538920325514</v>
      </c>
      <c r="I442">
        <f t="shared" si="62"/>
        <v>759.13880375907229</v>
      </c>
      <c r="J442">
        <f t="shared" si="63"/>
        <v>109.56940187953619</v>
      </c>
      <c r="K442">
        <f t="shared" si="59"/>
        <v>109.56940187953619</v>
      </c>
      <c r="L442" s="55">
        <f t="shared" si="64"/>
        <v>114.31238379448425</v>
      </c>
      <c r="M442">
        <f t="shared" si="65"/>
        <v>46.856592787311769</v>
      </c>
      <c r="N442" s="76"/>
      <c r="O442" s="52"/>
      <c r="P442" s="52"/>
    </row>
    <row r="443" spans="2:16" x14ac:dyDescent="0.3">
      <c r="C443" s="13">
        <v>45498</v>
      </c>
      <c r="D443" s="53">
        <v>2.46736111111111</v>
      </c>
      <c r="E443" s="15">
        <f t="shared" si="60"/>
        <v>66.266666666666623</v>
      </c>
      <c r="F443" s="15">
        <f t="shared" si="61"/>
        <v>36.599999999999952</v>
      </c>
      <c r="G443" s="50">
        <f t="shared" si="58"/>
        <v>4.9444997025957296</v>
      </c>
      <c r="H443" s="70">
        <f t="shared" si="57"/>
        <v>4.9444997025957296</v>
      </c>
      <c r="I443">
        <f t="shared" si="62"/>
        <v>759.96288704283825</v>
      </c>
      <c r="J443">
        <f t="shared" si="63"/>
        <v>109.98144352141917</v>
      </c>
      <c r="K443">
        <f t="shared" si="59"/>
        <v>109.98144352141917</v>
      </c>
      <c r="L443" s="55">
        <f t="shared" si="64"/>
        <v>114.61783825774381</v>
      </c>
      <c r="M443">
        <f t="shared" si="65"/>
        <v>46.923012163378317</v>
      </c>
      <c r="N443" s="76"/>
      <c r="O443" s="52"/>
      <c r="P443" s="52"/>
    </row>
    <row r="444" spans="2:16" x14ac:dyDescent="0.3">
      <c r="C444" s="13">
        <v>45498</v>
      </c>
      <c r="D444" s="53">
        <v>2.4708333333333301</v>
      </c>
      <c r="E444" s="15">
        <f t="shared" si="60"/>
        <v>66.349999999999952</v>
      </c>
      <c r="F444" s="15">
        <f t="shared" si="61"/>
        <v>36.683333333333287</v>
      </c>
      <c r="G444" s="50">
        <f t="shared" si="58"/>
        <v>4.956876416298142</v>
      </c>
      <c r="H444" s="70">
        <f t="shared" si="57"/>
        <v>4.956876416298142</v>
      </c>
      <c r="I444">
        <f t="shared" si="62"/>
        <v>760.78903311222132</v>
      </c>
      <c r="J444">
        <f t="shared" si="63"/>
        <v>110.39451655611067</v>
      </c>
      <c r="K444">
        <f t="shared" si="59"/>
        <v>110.39451655611067</v>
      </c>
      <c r="L444" s="55">
        <f t="shared" si="64"/>
        <v>114.92339309200173</v>
      </c>
      <c r="M444">
        <f t="shared" si="65"/>
        <v>46.989453364560852</v>
      </c>
      <c r="N444" s="76"/>
      <c r="O444" s="52"/>
      <c r="P444" s="52"/>
    </row>
    <row r="445" spans="2:16" x14ac:dyDescent="0.3">
      <c r="C445" s="13">
        <v>45498</v>
      </c>
      <c r="D445" s="53">
        <v>2.4743055555555502</v>
      </c>
      <c r="E445" s="15">
        <f t="shared" si="60"/>
        <v>66.433333333333294</v>
      </c>
      <c r="F445" s="15">
        <f t="shared" si="61"/>
        <v>36.766666666666623</v>
      </c>
      <c r="G445" s="50">
        <f t="shared" si="58"/>
        <v>4.9692841104942929</v>
      </c>
      <c r="H445" s="70">
        <f t="shared" si="57"/>
        <v>4.9692841104942929</v>
      </c>
      <c r="I445">
        <f t="shared" si="62"/>
        <v>761.617247130637</v>
      </c>
      <c r="J445">
        <f t="shared" si="63"/>
        <v>110.80862356531853</v>
      </c>
      <c r="K445">
        <f t="shared" si="59"/>
        <v>110.80862356531853</v>
      </c>
      <c r="L445" s="55">
        <f t="shared" si="64"/>
        <v>115.22904739141127</v>
      </c>
      <c r="M445">
        <f t="shared" si="65"/>
        <v>47.05591619388801</v>
      </c>
      <c r="N445" s="76"/>
      <c r="O445" s="52"/>
      <c r="P445" s="52"/>
    </row>
    <row r="446" spans="2:16" x14ac:dyDescent="0.3">
      <c r="C446" s="13">
        <v>45498</v>
      </c>
      <c r="D446" s="53">
        <v>2.4777777777777699</v>
      </c>
      <c r="E446" s="15">
        <f t="shared" si="60"/>
        <v>66.516666666666623</v>
      </c>
      <c r="F446" s="15">
        <f t="shared" si="61"/>
        <v>36.849999999999959</v>
      </c>
      <c r="G446" s="50">
        <f t="shared" si="58"/>
        <v>4.9817228627323109</v>
      </c>
      <c r="H446" s="70">
        <f t="shared" si="57"/>
        <v>4.9817228627323109</v>
      </c>
      <c r="I446">
        <f t="shared" si="62"/>
        <v>762.44753427442572</v>
      </c>
      <c r="J446">
        <f t="shared" si="63"/>
        <v>111.22376713721289</v>
      </c>
      <c r="K446">
        <f t="shared" si="59"/>
        <v>111.22376713721289</v>
      </c>
      <c r="L446" s="55">
        <f t="shared" si="64"/>
        <v>115.5348002489139</v>
      </c>
      <c r="M446">
        <f t="shared" si="65"/>
        <v>47.122400454124971</v>
      </c>
      <c r="N446" s="76"/>
      <c r="O446" s="52"/>
      <c r="P446" s="52"/>
    </row>
    <row r="447" spans="2:16" x14ac:dyDescent="0.3">
      <c r="C447" s="13">
        <v>45498</v>
      </c>
      <c r="D447" s="53">
        <v>2.4812500000000002</v>
      </c>
      <c r="E447" s="15">
        <f t="shared" si="60"/>
        <v>66.599999999999966</v>
      </c>
      <c r="F447" s="15">
        <f t="shared" si="61"/>
        <v>36.933333333333294</v>
      </c>
      <c r="G447" s="50">
        <f t="shared" si="58"/>
        <v>4.9941927507544364</v>
      </c>
      <c r="H447" s="70">
        <f t="shared" si="57"/>
        <v>4.9941927507544364</v>
      </c>
      <c r="I447">
        <f t="shared" si="62"/>
        <v>763.27989973288481</v>
      </c>
      <c r="J447">
        <f t="shared" si="63"/>
        <v>111.63994986644242</v>
      </c>
      <c r="K447">
        <f t="shared" si="59"/>
        <v>111.63994986644242</v>
      </c>
      <c r="L447" s="55">
        <f t="shared" si="64"/>
        <v>115.84065075624984</v>
      </c>
      <c r="M447">
        <f t="shared" si="65"/>
        <v>47.18890594777568</v>
      </c>
      <c r="N447" s="76"/>
      <c r="O447" s="52"/>
      <c r="P447" s="52"/>
    </row>
    <row r="448" spans="2:16" x14ac:dyDescent="0.3">
      <c r="C448" s="13">
        <v>45498</v>
      </c>
      <c r="D448" s="53">
        <v>2.4847222222222198</v>
      </c>
      <c r="E448" s="15">
        <f t="shared" si="60"/>
        <v>66.683333333333294</v>
      </c>
      <c r="F448" s="15">
        <f t="shared" si="61"/>
        <v>37.01666666666663</v>
      </c>
      <c r="G448" s="50">
        <f t="shared" si="58"/>
        <v>5.0066938524975129</v>
      </c>
      <c r="H448" s="70">
        <f t="shared" si="57"/>
        <v>5.0066938524975129</v>
      </c>
      <c r="I448">
        <f t="shared" si="62"/>
        <v>764.11434870830112</v>
      </c>
      <c r="J448">
        <f t="shared" si="63"/>
        <v>112.05717435415055</v>
      </c>
      <c r="K448">
        <f t="shared" si="59"/>
        <v>112.05717435415055</v>
      </c>
      <c r="L448" s="55">
        <f t="shared" si="64"/>
        <v>116.14659800396862</v>
      </c>
      <c r="M448">
        <f t="shared" si="65"/>
        <v>47.255432477085193</v>
      </c>
      <c r="N448" s="76"/>
      <c r="O448" s="52"/>
      <c r="P448" s="52"/>
    </row>
    <row r="449" spans="1:16" x14ac:dyDescent="0.3">
      <c r="C449" s="13">
        <v>45498</v>
      </c>
      <c r="D449" s="53">
        <v>2.4881944444444399</v>
      </c>
      <c r="E449" s="15">
        <f t="shared" si="60"/>
        <v>66.766666666666637</v>
      </c>
      <c r="F449" s="15">
        <f t="shared" si="61"/>
        <v>37.099999999999966</v>
      </c>
      <c r="G449" s="50">
        <f t="shared" si="58"/>
        <v>5.0192262460934636</v>
      </c>
      <c r="H449" s="70">
        <f t="shared" si="57"/>
        <v>5.0192262460934636</v>
      </c>
      <c r="I449">
        <f t="shared" si="62"/>
        <v>764.9508864159834</v>
      </c>
      <c r="J449">
        <f t="shared" si="63"/>
        <v>112.47544320799167</v>
      </c>
      <c r="K449">
        <f t="shared" si="59"/>
        <v>112.47544320799167</v>
      </c>
      <c r="L449" s="55">
        <f t="shared" si="64"/>
        <v>116.45264108143951</v>
      </c>
      <c r="M449">
        <f t="shared" si="65"/>
        <v>47.321979844041913</v>
      </c>
      <c r="N449" s="76"/>
      <c r="O449" s="52"/>
      <c r="P449" s="52"/>
    </row>
    <row r="450" spans="1:16" x14ac:dyDescent="0.3">
      <c r="C450" s="13">
        <v>45498</v>
      </c>
      <c r="D450" s="53">
        <v>2.49166666666666</v>
      </c>
      <c r="E450" s="15">
        <f t="shared" si="60"/>
        <v>66.849999999999966</v>
      </c>
      <c r="F450" s="15">
        <f t="shared" si="61"/>
        <v>37.183333333333302</v>
      </c>
      <c r="G450" s="50">
        <f t="shared" si="58"/>
        <v>5.0317900098697921</v>
      </c>
      <c r="H450" s="70">
        <f t="shared" si="57"/>
        <v>5.0317900098697921</v>
      </c>
      <c r="I450">
        <f t="shared" si="62"/>
        <v>765.78951808429508</v>
      </c>
      <c r="J450">
        <f t="shared" si="63"/>
        <v>112.89475904214748</v>
      </c>
      <c r="K450">
        <f t="shared" si="59"/>
        <v>112.89475904214748</v>
      </c>
      <c r="L450" s="55">
        <f t="shared" si="64"/>
        <v>116.75877907686213</v>
      </c>
      <c r="M450">
        <f t="shared" si="65"/>
        <v>47.388547850379915</v>
      </c>
      <c r="N450" s="76"/>
      <c r="O450" s="52"/>
      <c r="P450" s="52"/>
    </row>
    <row r="451" spans="1:16" x14ac:dyDescent="0.3">
      <c r="C451" s="13">
        <v>45498</v>
      </c>
      <c r="D451" s="53">
        <v>2.4951388888888899</v>
      </c>
      <c r="E451" s="15">
        <f t="shared" si="60"/>
        <v>66.933333333333309</v>
      </c>
      <c r="F451" s="15">
        <f t="shared" si="61"/>
        <v>37.266666666666637</v>
      </c>
      <c r="G451" s="50">
        <f t="shared" si="58"/>
        <v>5.0443852223500611</v>
      </c>
      <c r="H451" s="70">
        <f t="shared" si="57"/>
        <v>5.0443852223500611</v>
      </c>
      <c r="I451">
        <f t="shared" si="62"/>
        <v>766.63024895468675</v>
      </c>
      <c r="J451">
        <f t="shared" si="63"/>
        <v>113.31512447734332</v>
      </c>
      <c r="K451">
        <f t="shared" si="59"/>
        <v>113.31512447734332</v>
      </c>
      <c r="L451" s="55">
        <f t="shared" si="64"/>
        <v>117.06501107727699</v>
      </c>
      <c r="M451">
        <f t="shared" si="65"/>
        <v>47.455136297581241</v>
      </c>
      <c r="N451" s="76"/>
      <c r="O451" s="52"/>
      <c r="P451" s="52"/>
    </row>
    <row r="452" spans="1:16" x14ac:dyDescent="0.3">
      <c r="C452" s="13">
        <v>45498</v>
      </c>
      <c r="D452" s="53">
        <v>2.49861111111111</v>
      </c>
      <c r="E452" s="15">
        <f t="shared" si="60"/>
        <v>67.016666666666637</v>
      </c>
      <c r="F452" s="15">
        <f t="shared" si="61"/>
        <v>37.349999999999973</v>
      </c>
      <c r="G452" s="50">
        <f t="shared" si="58"/>
        <v>5.057011962254391</v>
      </c>
      <c r="H452" s="70">
        <f t="shared" ref="H452:H482" si="66">G452</f>
        <v>5.057011962254391</v>
      </c>
      <c r="I452">
        <f t="shared" si="62"/>
        <v>767.47308428172914</v>
      </c>
      <c r="J452">
        <f t="shared" si="63"/>
        <v>113.73654214086451</v>
      </c>
      <c r="K452">
        <f t="shared" si="59"/>
        <v>113.73654214086451</v>
      </c>
      <c r="L452" s="55">
        <f t="shared" si="64"/>
        <v>117.37133616857618</v>
      </c>
      <c r="M452">
        <f t="shared" si="65"/>
        <v>47.521744986878176</v>
      </c>
      <c r="N452" s="76"/>
      <c r="O452" s="52"/>
      <c r="P452" s="52"/>
    </row>
    <row r="453" spans="1:16" x14ac:dyDescent="0.3">
      <c r="C453" s="13">
        <v>45498</v>
      </c>
      <c r="D453" s="53">
        <v>2.5020833333333301</v>
      </c>
      <c r="E453" s="15">
        <f t="shared" si="60"/>
        <v>67.09999999999998</v>
      </c>
      <c r="F453" s="15">
        <f t="shared" si="61"/>
        <v>37.433333333333309</v>
      </c>
      <c r="G453" s="50">
        <f t="shared" ref="G453:G482" si="67">$G$4*EXP($T$1*F453)</f>
        <v>5.0696703084999459</v>
      </c>
      <c r="H453" s="70">
        <f t="shared" si="66"/>
        <v>5.0696703084999459</v>
      </c>
      <c r="I453">
        <f t="shared" si="62"/>
        <v>768.31802933314577</v>
      </c>
      <c r="J453">
        <f t="shared" si="63"/>
        <v>114.15901466657284</v>
      </c>
      <c r="K453">
        <f t="shared" ref="K453:K482" si="68">J453</f>
        <v>114.15901466657284</v>
      </c>
      <c r="L453" s="55">
        <f t="shared" si="64"/>
        <v>117.67775343551385</v>
      </c>
      <c r="M453">
        <f t="shared" si="65"/>
        <v>47.588373719255621</v>
      </c>
      <c r="N453" s="76"/>
      <c r="O453" s="52"/>
      <c r="P453" s="52"/>
    </row>
    <row r="454" spans="1:16" x14ac:dyDescent="0.3">
      <c r="C454" s="13">
        <v>45498</v>
      </c>
      <c r="D454" s="53">
        <v>2.5055555555555502</v>
      </c>
      <c r="E454" s="15">
        <f t="shared" ref="E454:E482" si="69">$E$3+F454</f>
        <v>67.183333333333309</v>
      </c>
      <c r="F454" s="15">
        <f t="shared" ref="F454:F482" si="70">F453+5/60</f>
        <v>37.516666666666644</v>
      </c>
      <c r="G454" s="50">
        <f t="shared" si="67"/>
        <v>5.0823603402014328</v>
      </c>
      <c r="H454" s="70">
        <f t="shared" si="66"/>
        <v>5.0823603402014328</v>
      </c>
      <c r="I454">
        <f t="shared" ref="I454:I482" si="71">I453+(G454+H454)*5/60</f>
        <v>769.165089389846</v>
      </c>
      <c r="J454">
        <f t="shared" si="63"/>
        <v>114.58254469492296</v>
      </c>
      <c r="K454">
        <f t="shared" si="68"/>
        <v>114.58254469492296</v>
      </c>
      <c r="L454" s="55">
        <f t="shared" si="64"/>
        <v>117.98426196171707</v>
      </c>
      <c r="M454">
        <f t="shared" si="65"/>
        <v>47.655022295453371</v>
      </c>
      <c r="N454" s="76"/>
      <c r="O454" s="52"/>
      <c r="P454" s="52"/>
    </row>
    <row r="455" spans="1:16" x14ac:dyDescent="0.3">
      <c r="C455" s="13">
        <v>45498</v>
      </c>
      <c r="D455" s="53">
        <v>2.5090277777777699</v>
      </c>
      <c r="E455" s="15">
        <f t="shared" si="69"/>
        <v>67.266666666666652</v>
      </c>
      <c r="F455" s="15">
        <f t="shared" si="70"/>
        <v>37.59999999999998</v>
      </c>
      <c r="G455" s="50">
        <f t="shared" si="67"/>
        <v>5.0950821366715893</v>
      </c>
      <c r="H455" s="70">
        <f t="shared" si="66"/>
        <v>5.0950821366715893</v>
      </c>
      <c r="I455">
        <f t="shared" si="71"/>
        <v>770.0142697459579</v>
      </c>
      <c r="J455">
        <f t="shared" si="63"/>
        <v>115.00713487297892</v>
      </c>
      <c r="K455">
        <f t="shared" si="68"/>
        <v>115.00713487297892</v>
      </c>
      <c r="L455" s="55">
        <f t="shared" si="64"/>
        <v>118.29086082969643</v>
      </c>
      <c r="M455">
        <f t="shared" si="65"/>
        <v>47.721690515968433</v>
      </c>
      <c r="N455" s="76"/>
      <c r="O455" s="52"/>
      <c r="P455" s="52"/>
    </row>
    <row r="456" spans="1:16" x14ac:dyDescent="0.3">
      <c r="C456" s="13">
        <v>45498</v>
      </c>
      <c r="D456" s="53">
        <v>2.5125000000000002</v>
      </c>
      <c r="E456" s="15">
        <f t="shared" si="69"/>
        <v>67.34999999999998</v>
      </c>
      <c r="F456" s="15">
        <f t="shared" si="70"/>
        <v>37.683333333333316</v>
      </c>
      <c r="G456" s="50">
        <f t="shared" si="67"/>
        <v>5.1078357774216858</v>
      </c>
      <c r="H456" s="70">
        <f t="shared" si="66"/>
        <v>5.1078357774216858</v>
      </c>
      <c r="I456">
        <f t="shared" si="71"/>
        <v>770.86557570886157</v>
      </c>
      <c r="J456">
        <f t="shared" si="63"/>
        <v>115.43278785443073</v>
      </c>
      <c r="K456">
        <f t="shared" si="68"/>
        <v>115.43278785443073</v>
      </c>
      <c r="L456" s="55">
        <f t="shared" si="64"/>
        <v>118.5975491208568</v>
      </c>
      <c r="M456">
        <f t="shared" si="65"/>
        <v>47.788378181057418</v>
      </c>
      <c r="N456" s="76"/>
      <c r="O456" s="52"/>
      <c r="P456" s="52"/>
    </row>
    <row r="457" spans="1:16" x14ac:dyDescent="0.3">
      <c r="C457" s="13">
        <v>45498</v>
      </c>
      <c r="D457" s="53">
        <v>2.5159722222222198</v>
      </c>
      <c r="E457" s="15">
        <f t="shared" si="69"/>
        <v>67.433333333333323</v>
      </c>
      <c r="F457" s="15">
        <f t="shared" si="70"/>
        <v>37.766666666666652</v>
      </c>
      <c r="G457" s="50">
        <f t="shared" si="67"/>
        <v>5.1206213421620177</v>
      </c>
      <c r="H457" s="70">
        <f t="shared" si="66"/>
        <v>5.1206213421620177</v>
      </c>
      <c r="I457">
        <f t="shared" si="71"/>
        <v>771.71901259922186</v>
      </c>
      <c r="J457">
        <f t="shared" si="63"/>
        <v>115.8595062996109</v>
      </c>
      <c r="K457">
        <f t="shared" si="68"/>
        <v>115.8595062996109</v>
      </c>
      <c r="L457" s="55">
        <f t="shared" si="64"/>
        <v>118.90432591550808</v>
      </c>
      <c r="M457">
        <f t="shared" si="65"/>
        <v>47.855085090738818</v>
      </c>
      <c r="N457" s="76"/>
      <c r="O457" s="52"/>
      <c r="P457" s="52"/>
    </row>
    <row r="458" spans="1:16" x14ac:dyDescent="0.3">
      <c r="C458" s="13">
        <v>45498</v>
      </c>
      <c r="D458" s="53">
        <v>2.5194444444444399</v>
      </c>
      <c r="E458" s="15">
        <f t="shared" si="69"/>
        <v>67.516666666666652</v>
      </c>
      <c r="F458" s="15">
        <f t="shared" si="70"/>
        <v>37.849999999999987</v>
      </c>
      <c r="G458" s="50">
        <f t="shared" si="67"/>
        <v>5.1334389108024068</v>
      </c>
      <c r="H458" s="70">
        <f t="shared" si="66"/>
        <v>5.1334389108024068</v>
      </c>
      <c r="I458">
        <f t="shared" si="71"/>
        <v>772.57458575102225</v>
      </c>
      <c r="J458">
        <f t="shared" si="63"/>
        <v>116.2872928755111</v>
      </c>
      <c r="K458">
        <f t="shared" si="68"/>
        <v>116.2872928755111</v>
      </c>
      <c r="L458" s="55">
        <f t="shared" si="64"/>
        <v>119.21119029287595</v>
      </c>
      <c r="M458">
        <f t="shared" si="65"/>
        <v>47.921811044795362</v>
      </c>
      <c r="N458" s="76"/>
      <c r="O458" s="52"/>
      <c r="P458" s="52"/>
    </row>
    <row r="459" spans="1:16" x14ac:dyDescent="0.3">
      <c r="C459" s="13">
        <v>45498</v>
      </c>
      <c r="D459" s="53">
        <v>2.52291666666666</v>
      </c>
      <c r="E459" s="15">
        <f t="shared" si="69"/>
        <v>67.599999999999994</v>
      </c>
      <c r="F459" s="15">
        <f t="shared" si="70"/>
        <v>37.933333333333323</v>
      </c>
      <c r="G459" s="50">
        <f t="shared" si="67"/>
        <v>5.1462885634526998</v>
      </c>
      <c r="H459" s="70">
        <f t="shared" si="66"/>
        <v>5.1462885634526998</v>
      </c>
      <c r="I459">
        <f t="shared" si="71"/>
        <v>773.43230051159776</v>
      </c>
      <c r="J459">
        <f t="shared" si="63"/>
        <v>116.71615025579882</v>
      </c>
      <c r="K459">
        <f t="shared" si="68"/>
        <v>116.71615025579882</v>
      </c>
      <c r="L459" s="55">
        <f t="shared" si="64"/>
        <v>119.51814133111276</v>
      </c>
      <c r="M459">
        <f t="shared" si="65"/>
        <v>47.9885558427764</v>
      </c>
      <c r="N459" s="76"/>
      <c r="O459" s="52"/>
      <c r="P459" s="52"/>
    </row>
    <row r="460" spans="1:16" x14ac:dyDescent="0.3">
      <c r="C460" s="13">
        <v>45498</v>
      </c>
      <c r="D460" s="53">
        <v>2.5263888888888899</v>
      </c>
      <c r="E460" s="15">
        <f t="shared" si="69"/>
        <v>67.683333333333323</v>
      </c>
      <c r="F460" s="15">
        <f t="shared" si="70"/>
        <v>38.016666666666659</v>
      </c>
      <c r="G460" s="50">
        <f t="shared" si="67"/>
        <v>5.1591703804232658</v>
      </c>
      <c r="H460" s="70">
        <f t="shared" si="66"/>
        <v>5.1591703804232658</v>
      </c>
      <c r="I460">
        <f t="shared" si="71"/>
        <v>774.29216224166828</v>
      </c>
      <c r="J460">
        <f t="shared" si="63"/>
        <v>117.1460811208341</v>
      </c>
      <c r="K460">
        <f t="shared" si="68"/>
        <v>117.1460811208341</v>
      </c>
      <c r="L460" s="55">
        <f t="shared" si="64"/>
        <v>119.82517810730829</v>
      </c>
      <c r="M460">
        <f t="shared" si="65"/>
        <v>48.055319284000255</v>
      </c>
      <c r="N460" s="76"/>
      <c r="O460" s="52"/>
      <c r="P460" s="52"/>
    </row>
    <row r="461" spans="1:16" x14ac:dyDescent="0.3">
      <c r="C461" s="13">
        <v>45498</v>
      </c>
      <c r="D461" s="53">
        <v>2.52986111111111</v>
      </c>
      <c r="E461" s="15">
        <f t="shared" si="69"/>
        <v>67.766666666666666</v>
      </c>
      <c r="F461" s="15">
        <f t="shared" si="70"/>
        <v>38.099999999999994</v>
      </c>
      <c r="G461" s="50">
        <f t="shared" si="67"/>
        <v>5.172084442225505</v>
      </c>
      <c r="H461" s="70">
        <f t="shared" si="66"/>
        <v>5.172084442225505</v>
      </c>
      <c r="I461">
        <f t="shared" si="71"/>
        <v>775.15417631537252</v>
      </c>
      <c r="J461">
        <f t="shared" si="63"/>
        <v>117.57708815768622</v>
      </c>
      <c r="K461">
        <f t="shared" si="68"/>
        <v>117.57708815768622</v>
      </c>
      <c r="L461" s="55">
        <f t="shared" si="64"/>
        <v>120.13229969750068</v>
      </c>
      <c r="M461">
        <f t="shared" si="65"/>
        <v>48.122101167556536</v>
      </c>
      <c r="N461" s="76"/>
      <c r="O461" s="52"/>
      <c r="P461" s="52"/>
    </row>
    <row r="462" spans="1:16" x14ac:dyDescent="0.3">
      <c r="C462" s="13">
        <v>45498</v>
      </c>
      <c r="D462" s="53">
        <v>2.5333333333333301</v>
      </c>
      <c r="E462" s="15">
        <f t="shared" si="69"/>
        <v>67.849999999999994</v>
      </c>
      <c r="F462" s="15">
        <f t="shared" si="70"/>
        <v>38.18333333333333</v>
      </c>
      <c r="G462" s="50">
        <f t="shared" si="67"/>
        <v>5.1850308295723435</v>
      </c>
      <c r="H462" s="70">
        <f t="shared" si="66"/>
        <v>5.1850308295723435</v>
      </c>
      <c r="I462">
        <f t="shared" si="71"/>
        <v>776.0183481203012</v>
      </c>
      <c r="J462">
        <f t="shared" si="63"/>
        <v>118.00917406015058</v>
      </c>
      <c r="K462">
        <f t="shared" si="68"/>
        <v>118.00917406015058</v>
      </c>
      <c r="L462" s="55">
        <f t="shared" si="64"/>
        <v>120.43950517668736</v>
      </c>
      <c r="M462">
        <f t="shared" si="65"/>
        <v>48.188901292308572</v>
      </c>
      <c r="N462" s="76"/>
      <c r="O462" s="52"/>
      <c r="P462" s="52"/>
    </row>
    <row r="463" spans="1:16" x14ac:dyDescent="0.3">
      <c r="C463" s="13">
        <v>45498</v>
      </c>
      <c r="D463" s="53">
        <v>2.5368055555555502</v>
      </c>
      <c r="E463" s="15">
        <f t="shared" si="69"/>
        <v>67.933333333333337</v>
      </c>
      <c r="F463" s="15">
        <f t="shared" si="70"/>
        <v>38.266666666666666</v>
      </c>
      <c r="G463" s="50">
        <f t="shared" si="67"/>
        <v>5.1980096233787441</v>
      </c>
      <c r="H463" s="70">
        <f t="shared" si="66"/>
        <v>5.1980096233787441</v>
      </c>
      <c r="I463">
        <f t="shared" si="71"/>
        <v>776.88468305753099</v>
      </c>
      <c r="J463">
        <f t="shared" si="63"/>
        <v>118.44234152876548</v>
      </c>
      <c r="K463">
        <f t="shared" si="68"/>
        <v>118.44234152876548</v>
      </c>
      <c r="L463" s="55">
        <f t="shared" si="64"/>
        <v>120.74679361883584</v>
      </c>
      <c r="M463">
        <f t="shared" si="65"/>
        <v>48.255719456895747</v>
      </c>
      <c r="N463" s="76"/>
      <c r="O463" s="52"/>
      <c r="P463" s="52"/>
    </row>
    <row r="464" spans="1:16" x14ac:dyDescent="0.3">
      <c r="A464" s="56"/>
      <c r="B464" s="56"/>
      <c r="C464" s="13">
        <v>45498</v>
      </c>
      <c r="D464" s="53">
        <v>2.5402777777777699</v>
      </c>
      <c r="E464" s="15">
        <f t="shared" si="69"/>
        <v>68.016666666666666</v>
      </c>
      <c r="F464" s="15">
        <f t="shared" si="70"/>
        <v>38.35</v>
      </c>
      <c r="G464" s="50">
        <f t="shared" si="67"/>
        <v>5.2110209047622131</v>
      </c>
      <c r="H464" s="70">
        <f t="shared" si="66"/>
        <v>5.2110209047622131</v>
      </c>
      <c r="I464">
        <f t="shared" si="71"/>
        <v>777.75318654165801</v>
      </c>
      <c r="J464">
        <f t="shared" si="63"/>
        <v>118.87659327082901</v>
      </c>
      <c r="K464">
        <f t="shared" si="68"/>
        <v>118.87659327082901</v>
      </c>
      <c r="L464" s="55">
        <f t="shared" si="64"/>
        <v>121.05416409689478</v>
      </c>
      <c r="M464">
        <f t="shared" si="65"/>
        <v>48.322555459735895</v>
      </c>
      <c r="N464" s="76"/>
      <c r="O464" s="52"/>
      <c r="P464" s="52"/>
    </row>
    <row r="465" spans="1:16" x14ac:dyDescent="0.3">
      <c r="C465" s="13">
        <v>45498</v>
      </c>
      <c r="D465" s="53">
        <v>2.5437500000000002</v>
      </c>
      <c r="E465" s="15">
        <f t="shared" si="69"/>
        <v>68.100000000000009</v>
      </c>
      <c r="F465" s="15">
        <f t="shared" si="70"/>
        <v>38.433333333333337</v>
      </c>
      <c r="G465" s="50">
        <f t="shared" si="67"/>
        <v>5.2240647550432984</v>
      </c>
      <c r="H465" s="70">
        <f t="shared" si="66"/>
        <v>5.2240647550432984</v>
      </c>
      <c r="I465">
        <f t="shared" si="71"/>
        <v>778.62386400083187</v>
      </c>
      <c r="J465">
        <f t="shared" si="63"/>
        <v>119.31193200041595</v>
      </c>
      <c r="K465">
        <f t="shared" si="68"/>
        <v>119.31193200041595</v>
      </c>
      <c r="L465" s="55">
        <f t="shared" si="64"/>
        <v>121.36161568280497</v>
      </c>
      <c r="M465">
        <f t="shared" si="65"/>
        <v>48.389409099027695</v>
      </c>
      <c r="N465" s="76"/>
      <c r="O465" s="52"/>
      <c r="P465" s="52"/>
    </row>
    <row r="466" spans="1:16" x14ac:dyDescent="0.3">
      <c r="C466" s="13">
        <v>45498</v>
      </c>
      <c r="D466" s="53">
        <v>2.5472222222222198</v>
      </c>
      <c r="E466" s="15">
        <f t="shared" si="69"/>
        <v>68.183333333333337</v>
      </c>
      <c r="F466" s="15">
        <f t="shared" si="70"/>
        <v>38.516666666666673</v>
      </c>
      <c r="G466" s="50">
        <f t="shared" si="67"/>
        <v>5.237141255746109</v>
      </c>
      <c r="H466" s="70">
        <f t="shared" si="66"/>
        <v>5.237141255746109</v>
      </c>
      <c r="I466">
        <f t="shared" si="71"/>
        <v>779.4967208767896</v>
      </c>
      <c r="J466">
        <f t="shared" si="63"/>
        <v>119.7483604383948</v>
      </c>
      <c r="K466">
        <f t="shared" si="68"/>
        <v>119.7483604383948</v>
      </c>
      <c r="L466" s="55">
        <f t="shared" si="64"/>
        <v>121.66914744751021</v>
      </c>
      <c r="M466">
        <f t="shared" si="65"/>
        <v>48.45628017275304</v>
      </c>
      <c r="N466" s="76"/>
      <c r="O466" s="52"/>
      <c r="P466" s="52"/>
    </row>
    <row r="467" spans="1:16" x14ac:dyDescent="0.3">
      <c r="C467" s="13">
        <v>45498</v>
      </c>
      <c r="D467" s="53">
        <v>2.5506944444444399</v>
      </c>
      <c r="E467" s="15">
        <f t="shared" si="69"/>
        <v>68.26666666666668</v>
      </c>
      <c r="F467" s="15">
        <f t="shared" si="70"/>
        <v>38.600000000000009</v>
      </c>
      <c r="G467" s="50">
        <f t="shared" si="67"/>
        <v>5.250250488598815</v>
      </c>
      <c r="H467" s="70">
        <f t="shared" si="66"/>
        <v>5.250250488598815</v>
      </c>
      <c r="I467">
        <f t="shared" si="71"/>
        <v>780.37176262488936</v>
      </c>
      <c r="J467">
        <f t="shared" si="63"/>
        <v>120.18588131244469</v>
      </c>
      <c r="K467">
        <f t="shared" si="68"/>
        <v>120.18588131244469</v>
      </c>
      <c r="L467" s="55">
        <f t="shared" si="64"/>
        <v>121.97675846096847</v>
      </c>
      <c r="M467">
        <f t="shared" si="65"/>
        <v>48.523168478679466</v>
      </c>
      <c r="N467" s="76"/>
      <c r="O467" s="52"/>
      <c r="P467" s="52"/>
    </row>
    <row r="468" spans="1:16" x14ac:dyDescent="0.3">
      <c r="C468" s="13">
        <v>45498</v>
      </c>
      <c r="D468" s="53">
        <v>2.55416666666666</v>
      </c>
      <c r="E468" s="15">
        <f t="shared" si="69"/>
        <v>68.350000000000009</v>
      </c>
      <c r="F468" s="15">
        <f t="shared" si="70"/>
        <v>38.683333333333344</v>
      </c>
      <c r="G468" s="50">
        <f t="shared" si="67"/>
        <v>5.2633925355341669</v>
      </c>
      <c r="H468" s="70">
        <f t="shared" si="66"/>
        <v>5.2633925355341669</v>
      </c>
      <c r="I468">
        <f t="shared" si="71"/>
        <v>781.24899471414506</v>
      </c>
      <c r="J468">
        <f t="shared" si="63"/>
        <v>120.62449735707254</v>
      </c>
      <c r="K468">
        <f t="shared" si="68"/>
        <v>120.62449735707254</v>
      </c>
      <c r="L468" s="55">
        <f t="shared" si="64"/>
        <v>122.28444779216288</v>
      </c>
      <c r="M468">
        <f t="shared" si="65"/>
        <v>48.590073814362512</v>
      </c>
      <c r="N468" s="76"/>
      <c r="O468" s="52"/>
      <c r="P468" s="52"/>
    </row>
    <row r="469" spans="1:16" x14ac:dyDescent="0.3">
      <c r="C469" s="13">
        <v>45498</v>
      </c>
      <c r="D469" s="53">
        <v>2.5576388888888899</v>
      </c>
      <c r="E469" s="15">
        <f t="shared" si="69"/>
        <v>68.433333333333351</v>
      </c>
      <c r="F469" s="15">
        <f t="shared" si="70"/>
        <v>38.76666666666668</v>
      </c>
      <c r="G469" s="50">
        <f t="shared" si="67"/>
        <v>5.2765674786899979</v>
      </c>
      <c r="H469" s="70">
        <f t="shared" si="66"/>
        <v>5.2765674786899979</v>
      </c>
      <c r="I469">
        <f t="shared" si="71"/>
        <v>782.12842262726008</v>
      </c>
      <c r="J469">
        <f t="shared" si="63"/>
        <v>121.06421131363004</v>
      </c>
      <c r="K469">
        <f t="shared" si="68"/>
        <v>121.06421131363004</v>
      </c>
      <c r="L469" s="55">
        <f t="shared" si="64"/>
        <v>122.59221450911285</v>
      </c>
      <c r="M469">
        <f t="shared" si="65"/>
        <v>48.656995977148185</v>
      </c>
      <c r="N469" s="76"/>
      <c r="O469" s="52"/>
      <c r="P469" s="52"/>
    </row>
    <row r="470" spans="1:16" x14ac:dyDescent="0.3">
      <c r="C470" s="13">
        <v>45498</v>
      </c>
      <c r="D470" s="53">
        <v>2.56111111111111</v>
      </c>
      <c r="E470" s="15">
        <f t="shared" si="69"/>
        <v>68.51666666666668</v>
      </c>
      <c r="F470" s="15">
        <f t="shared" si="70"/>
        <v>38.850000000000016</v>
      </c>
      <c r="G470" s="50">
        <f t="shared" si="67"/>
        <v>5.2897754004097486</v>
      </c>
      <c r="H470" s="70">
        <f t="shared" si="66"/>
        <v>5.2897754004097486</v>
      </c>
      <c r="I470">
        <f t="shared" si="71"/>
        <v>783.01005186066175</v>
      </c>
      <c r="J470">
        <f t="shared" si="63"/>
        <v>121.50502593033085</v>
      </c>
      <c r="K470">
        <f t="shared" si="68"/>
        <v>121.50502593033085</v>
      </c>
      <c r="L470" s="55">
        <f t="shared" si="64"/>
        <v>122.90005767888515</v>
      </c>
      <c r="M470">
        <f t="shared" si="65"/>
        <v>48.723934764175347</v>
      </c>
      <c r="N470" s="76"/>
      <c r="O470" s="52"/>
      <c r="P470" s="52"/>
    </row>
    <row r="471" spans="1:16" x14ac:dyDescent="0.3">
      <c r="C471" s="13">
        <v>45498</v>
      </c>
      <c r="D471" s="53">
        <v>2.5645833333333301</v>
      </c>
      <c r="E471" s="15">
        <f t="shared" si="69"/>
        <v>68.600000000000023</v>
      </c>
      <c r="F471" s="15">
        <f t="shared" si="70"/>
        <v>38.933333333333351</v>
      </c>
      <c r="G471" s="50">
        <f t="shared" si="67"/>
        <v>5.3030163832429711</v>
      </c>
      <c r="H471" s="70">
        <f t="shared" si="66"/>
        <v>5.3030163832429711</v>
      </c>
      <c r="I471">
        <f t="shared" si="71"/>
        <v>783.89388792453553</v>
      </c>
      <c r="J471">
        <f t="shared" si="63"/>
        <v>121.94694396226775</v>
      </c>
      <c r="K471">
        <f t="shared" si="68"/>
        <v>121.94694396226775</v>
      </c>
      <c r="L471" s="55">
        <f t="shared" si="64"/>
        <v>123.20797636760506</v>
      </c>
      <c r="M471">
        <f t="shared" si="65"/>
        <v>48.790889972378103</v>
      </c>
      <c r="N471" s="76"/>
      <c r="O471" s="52"/>
      <c r="P471" s="52"/>
    </row>
    <row r="472" spans="1:16" x14ac:dyDescent="0.3">
      <c r="C472" s="13">
        <v>45498</v>
      </c>
      <c r="D472" s="53">
        <v>2.5680555555555502</v>
      </c>
      <c r="E472" s="15">
        <f t="shared" si="69"/>
        <v>68.683333333333351</v>
      </c>
      <c r="F472" s="15">
        <f t="shared" si="70"/>
        <v>39.016666666666687</v>
      </c>
      <c r="G472" s="50">
        <f t="shared" si="67"/>
        <v>5.3162905099458495</v>
      </c>
      <c r="H472" s="70">
        <f t="shared" si="66"/>
        <v>5.3162905099458495</v>
      </c>
      <c r="I472">
        <f t="shared" si="71"/>
        <v>784.77993634285986</v>
      </c>
      <c r="J472">
        <f t="shared" si="63"/>
        <v>122.38996817142991</v>
      </c>
      <c r="K472">
        <f t="shared" si="68"/>
        <v>122.38996817142991</v>
      </c>
      <c r="L472" s="55">
        <f t="shared" si="64"/>
        <v>123.51596964046743</v>
      </c>
      <c r="M472">
        <f t="shared" si="65"/>
        <v>48.857861398488289</v>
      </c>
      <c r="N472" s="76"/>
      <c r="O472" s="52"/>
      <c r="P472" s="52"/>
    </row>
    <row r="473" spans="1:16" x14ac:dyDescent="0.3">
      <c r="C473" s="13">
        <v>45498</v>
      </c>
      <c r="D473" s="53">
        <v>2.5715277777777699</v>
      </c>
      <c r="E473" s="15">
        <f t="shared" si="69"/>
        <v>68.766666666666694</v>
      </c>
      <c r="F473" s="15">
        <f t="shared" si="70"/>
        <v>39.100000000000023</v>
      </c>
      <c r="G473" s="50">
        <f t="shared" si="67"/>
        <v>5.3295978634817223</v>
      </c>
      <c r="H473" s="70">
        <f t="shared" si="66"/>
        <v>5.3295978634817223</v>
      </c>
      <c r="I473">
        <f t="shared" si="71"/>
        <v>785.66820265344018</v>
      </c>
      <c r="J473">
        <f t="shared" si="63"/>
        <v>122.83410132672006</v>
      </c>
      <c r="K473">
        <f t="shared" si="68"/>
        <v>122.83410132672006</v>
      </c>
      <c r="L473" s="55">
        <f t="shared" si="64"/>
        <v>123.82403656174803</v>
      </c>
      <c r="M473">
        <f t="shared" si="65"/>
        <v>48.924848839037857</v>
      </c>
      <c r="N473" s="76"/>
      <c r="O473" s="52"/>
      <c r="P473" s="52"/>
    </row>
    <row r="474" spans="1:16" x14ac:dyDescent="0.3">
      <c r="C474" s="13">
        <v>45498</v>
      </c>
      <c r="D474" s="53">
        <v>2.5750000000000002</v>
      </c>
      <c r="E474" s="15">
        <f t="shared" si="69"/>
        <v>68.850000000000023</v>
      </c>
      <c r="F474" s="15">
        <f t="shared" si="70"/>
        <v>39.183333333333358</v>
      </c>
      <c r="G474" s="50">
        <f t="shared" si="67"/>
        <v>5.3429385270215892</v>
      </c>
      <c r="H474" s="70">
        <f t="shared" si="66"/>
        <v>5.3429385270215892</v>
      </c>
      <c r="I474">
        <f t="shared" si="71"/>
        <v>786.55869240794379</v>
      </c>
      <c r="J474">
        <f t="shared" si="63"/>
        <v>123.27934620397185</v>
      </c>
      <c r="K474">
        <f t="shared" si="68"/>
        <v>123.27934620397185</v>
      </c>
      <c r="L474" s="55">
        <f t="shared" si="64"/>
        <v>124.13217619481459</v>
      </c>
      <c r="M474">
        <f t="shared" si="65"/>
        <v>48.991852090361334</v>
      </c>
      <c r="N474" s="76"/>
      <c r="O474" s="52"/>
      <c r="P474" s="52"/>
    </row>
    <row r="475" spans="1:16" x14ac:dyDescent="0.3">
      <c r="A475" s="56" t="s">
        <v>108</v>
      </c>
      <c r="B475" s="56" t="s">
        <v>57</v>
      </c>
      <c r="C475" s="13">
        <v>45498</v>
      </c>
      <c r="D475" s="53">
        <v>2.5784722222222198</v>
      </c>
      <c r="E475" s="15">
        <f t="shared" si="69"/>
        <v>68.933333333333366</v>
      </c>
      <c r="F475" s="15">
        <f t="shared" si="70"/>
        <v>39.266666666666694</v>
      </c>
      <c r="G475" s="50">
        <f t="shared" si="67"/>
        <v>5.3563125839446446</v>
      </c>
      <c r="H475" s="70">
        <f t="shared" si="66"/>
        <v>5.3563125839446446</v>
      </c>
      <c r="I475">
        <f t="shared" si="71"/>
        <v>787.45141117193452</v>
      </c>
      <c r="J475">
        <f t="shared" si="63"/>
        <v>123.72570558596725</v>
      </c>
      <c r="K475">
        <f t="shared" si="68"/>
        <v>123.72570558596725</v>
      </c>
      <c r="L475" s="55">
        <f t="shared" si="64"/>
        <v>124.44038760213816</v>
      </c>
      <c r="M475">
        <f t="shared" si="65"/>
        <v>49.058870948598255</v>
      </c>
      <c r="N475" s="76"/>
      <c r="O475" s="52"/>
      <c r="P475" s="52"/>
    </row>
    <row r="476" spans="1:16" x14ac:dyDescent="0.3">
      <c r="C476" s="13">
        <v>45498</v>
      </c>
      <c r="D476" s="53">
        <v>2.5819444444444399</v>
      </c>
      <c r="E476" s="15">
        <f t="shared" si="69"/>
        <v>69.016666666666694</v>
      </c>
      <c r="F476" s="15">
        <f t="shared" si="70"/>
        <v>39.35000000000003</v>
      </c>
      <c r="G476" s="50">
        <f t="shared" si="67"/>
        <v>5.3697201178387832</v>
      </c>
      <c r="H476" s="70">
        <f t="shared" si="66"/>
        <v>5.3697201178387832</v>
      </c>
      <c r="I476">
        <f t="shared" si="71"/>
        <v>788.3463645249077</v>
      </c>
      <c r="J476">
        <f t="shared" si="63"/>
        <v>124.17318226245381</v>
      </c>
      <c r="K476">
        <f t="shared" si="68"/>
        <v>124.17318226245381</v>
      </c>
      <c r="L476" s="55">
        <f t="shared" si="64"/>
        <v>124.74866984530421</v>
      </c>
      <c r="M476">
        <f t="shared" si="65"/>
        <v>49.125905209695581</v>
      </c>
      <c r="N476" s="76"/>
      <c r="O476" s="52"/>
      <c r="P476" s="52"/>
    </row>
    <row r="477" spans="1:16" x14ac:dyDescent="0.3">
      <c r="C477" s="13">
        <v>45498</v>
      </c>
      <c r="D477" s="53">
        <v>2.58541666666666</v>
      </c>
      <c r="E477" s="15">
        <f t="shared" si="69"/>
        <v>69.100000000000037</v>
      </c>
      <c r="F477" s="15">
        <f t="shared" si="70"/>
        <v>39.433333333333366</v>
      </c>
      <c r="G477" s="50">
        <f t="shared" si="67"/>
        <v>5.3831612125011397</v>
      </c>
      <c r="H477" s="70">
        <f t="shared" si="66"/>
        <v>5.3831612125011397</v>
      </c>
      <c r="I477">
        <f t="shared" si="71"/>
        <v>789.24355806032452</v>
      </c>
      <c r="J477">
        <f t="shared" si="63"/>
        <v>124.62177903016223</v>
      </c>
      <c r="K477">
        <f t="shared" si="68"/>
        <v>124.62177903016223</v>
      </c>
      <c r="L477" s="55">
        <f t="shared" si="64"/>
        <v>125.05702198502408</v>
      </c>
      <c r="M477">
        <f t="shared" si="65"/>
        <v>49.19295466941022</v>
      </c>
      <c r="N477" s="76"/>
      <c r="O477" s="52"/>
      <c r="P477" s="52"/>
    </row>
    <row r="478" spans="1:16" x14ac:dyDescent="0.3">
      <c r="C478" s="13">
        <v>45498</v>
      </c>
      <c r="D478" s="53">
        <v>2.5888888888888899</v>
      </c>
      <c r="E478" s="15">
        <f t="shared" si="69"/>
        <v>69.183333333333366</v>
      </c>
      <c r="F478" s="15">
        <f t="shared" si="70"/>
        <v>39.516666666666701</v>
      </c>
      <c r="G478" s="50">
        <f t="shared" si="67"/>
        <v>5.3966359519385962</v>
      </c>
      <c r="H478" s="70">
        <f t="shared" si="66"/>
        <v>5.3966359519385962</v>
      </c>
      <c r="I478">
        <f t="shared" si="71"/>
        <v>790.14299738564762</v>
      </c>
      <c r="J478">
        <f t="shared" si="63"/>
        <v>125.07149869282378</v>
      </c>
      <c r="K478">
        <f t="shared" si="68"/>
        <v>125.07149869282378</v>
      </c>
      <c r="L478" s="55">
        <f t="shared" si="64"/>
        <v>125.36544308114608</v>
      </c>
      <c r="M478">
        <f t="shared" si="65"/>
        <v>49.260019123311423</v>
      </c>
      <c r="N478" s="76"/>
      <c r="O478" s="52"/>
      <c r="P478" s="52"/>
    </row>
    <row r="479" spans="1:16" x14ac:dyDescent="0.3">
      <c r="C479" s="13">
        <v>45498</v>
      </c>
      <c r="D479" s="53">
        <v>2.59236111111111</v>
      </c>
      <c r="E479" s="15">
        <f t="shared" si="69"/>
        <v>69.266666666666708</v>
      </c>
      <c r="F479" s="15">
        <f t="shared" si="70"/>
        <v>39.600000000000037</v>
      </c>
      <c r="G479" s="50">
        <f t="shared" si="67"/>
        <v>5.4101444203683213</v>
      </c>
      <c r="H479" s="70">
        <f t="shared" si="66"/>
        <v>5.4101444203683213</v>
      </c>
      <c r="I479">
        <f t="shared" si="71"/>
        <v>791.04468812237565</v>
      </c>
      <c r="J479">
        <f t="shared" si="63"/>
        <v>125.52234406118781</v>
      </c>
      <c r="K479">
        <f t="shared" si="68"/>
        <v>125.52234406118781</v>
      </c>
      <c r="L479" s="55">
        <f t="shared" si="64"/>
        <v>125.67393219266704</v>
      </c>
      <c r="M479">
        <f t="shared" si="65"/>
        <v>49.327098366783254</v>
      </c>
      <c r="N479" s="76"/>
      <c r="O479" s="52"/>
      <c r="P479" s="52"/>
    </row>
    <row r="480" spans="1:16" x14ac:dyDescent="0.3">
      <c r="C480" s="13">
        <v>45498</v>
      </c>
      <c r="D480" s="53">
        <v>2.5958333333333301</v>
      </c>
      <c r="E480" s="15">
        <f t="shared" si="69"/>
        <v>69.350000000000037</v>
      </c>
      <c r="F480" s="15">
        <f t="shared" si="70"/>
        <v>39.683333333333373</v>
      </c>
      <c r="G480" s="50">
        <f t="shared" si="67"/>
        <v>5.4236867022182844</v>
      </c>
      <c r="H480" s="70">
        <f t="shared" si="66"/>
        <v>5.4236867022182844</v>
      </c>
      <c r="I480">
        <f t="shared" si="71"/>
        <v>791.94863590607872</v>
      </c>
      <c r="J480">
        <f t="shared" si="63"/>
        <v>125.97431795303933</v>
      </c>
      <c r="K480">
        <f t="shared" si="68"/>
        <v>125.97431795303933</v>
      </c>
      <c r="L480" s="55">
        <f t="shared" si="64"/>
        <v>125.98248837774338</v>
      </c>
      <c r="M480">
        <f t="shared" si="65"/>
        <v>49.394192195027081</v>
      </c>
      <c r="N480" s="76"/>
      <c r="O480" s="52"/>
      <c r="P480" s="52"/>
    </row>
    <row r="481" spans="2:16" x14ac:dyDescent="0.3">
      <c r="C481" s="13">
        <v>45498</v>
      </c>
      <c r="D481" s="53">
        <v>2.5993055555555502</v>
      </c>
      <c r="E481" s="15">
        <f t="shared" si="69"/>
        <v>69.43333333333338</v>
      </c>
      <c r="F481" s="15">
        <f t="shared" si="70"/>
        <v>39.766666666666708</v>
      </c>
      <c r="G481" s="50">
        <f t="shared" si="67"/>
        <v>5.4372628821277909</v>
      </c>
      <c r="H481" s="70">
        <f t="shared" si="66"/>
        <v>5.4372628821277909</v>
      </c>
      <c r="I481">
        <f t="shared" si="71"/>
        <v>792.85484638643334</v>
      </c>
      <c r="J481">
        <f t="shared" si="63"/>
        <v>126.42742319321665</v>
      </c>
      <c r="K481">
        <f t="shared" si="68"/>
        <v>126.42742319321665</v>
      </c>
      <c r="L481" s="55">
        <f t="shared" si="64"/>
        <v>126.29111069370271</v>
      </c>
      <c r="M481">
        <f t="shared" si="65"/>
        <v>49.461300403064016</v>
      </c>
      <c r="N481" s="76"/>
      <c r="O481" s="52"/>
      <c r="P481" s="52"/>
    </row>
    <row r="482" spans="2:16" x14ac:dyDescent="0.3">
      <c r="C482" s="13">
        <v>45498</v>
      </c>
      <c r="D482" s="53">
        <v>2.6027777777777699</v>
      </c>
      <c r="E482" s="15">
        <f t="shared" si="69"/>
        <v>69.516666666666708</v>
      </c>
      <c r="F482" s="15">
        <f t="shared" si="70"/>
        <v>39.850000000000044</v>
      </c>
      <c r="G482" s="50">
        <f t="shared" si="67"/>
        <v>5.4508730449480103</v>
      </c>
      <c r="H482" s="70">
        <f t="shared" si="66"/>
        <v>5.4508730449480103</v>
      </c>
      <c r="I482">
        <f t="shared" si="71"/>
        <v>793.76332522725795</v>
      </c>
      <c r="J482">
        <f t="shared" si="63"/>
        <v>126.88166261362899</v>
      </c>
      <c r="K482">
        <f t="shared" si="68"/>
        <v>126.88166261362899</v>
      </c>
      <c r="L482" s="55">
        <f t="shared" si="64"/>
        <v>126.59979819705511</v>
      </c>
      <c r="M482">
        <f t="shared" si="65"/>
        <v>49.528422785737426</v>
      </c>
      <c r="N482" s="76"/>
      <c r="O482" s="52"/>
      <c r="P482" s="52"/>
    </row>
    <row r="483" spans="2:16" x14ac:dyDescent="0.3">
      <c r="C483" s="13"/>
      <c r="D483" s="53"/>
      <c r="E483" s="15"/>
      <c r="F483" s="15"/>
      <c r="G483" s="50"/>
      <c r="H483" s="15"/>
      <c r="L483"/>
      <c r="O483" s="52"/>
      <c r="P483" s="52"/>
    </row>
    <row r="484" spans="2:16" x14ac:dyDescent="0.3">
      <c r="C484" s="13"/>
      <c r="D484" s="53"/>
      <c r="E484" s="15"/>
      <c r="F484" s="15"/>
      <c r="G484" s="50"/>
      <c r="H484" s="15"/>
      <c r="L484"/>
      <c r="O484" s="52"/>
      <c r="P484" s="52"/>
    </row>
    <row r="485" spans="2:16" x14ac:dyDescent="0.3">
      <c r="B485" s="56"/>
      <c r="C485" s="13"/>
      <c r="D485" s="53"/>
      <c r="E485" s="15"/>
      <c r="F485" s="15"/>
      <c r="G485" s="50"/>
      <c r="H485" s="15"/>
      <c r="L485"/>
      <c r="O485" s="52"/>
      <c r="P485" s="52"/>
    </row>
    <row r="486" spans="2:16" x14ac:dyDescent="0.3">
      <c r="C486" s="13"/>
      <c r="D486" s="53"/>
      <c r="E486" s="15"/>
      <c r="F486" s="15"/>
      <c r="G486" s="50"/>
      <c r="H486" s="15"/>
      <c r="L486"/>
      <c r="O486" s="52"/>
      <c r="P486" s="52"/>
    </row>
    <row r="487" spans="2:16" x14ac:dyDescent="0.3">
      <c r="C487" s="13"/>
      <c r="D487" s="53"/>
      <c r="E487" s="15"/>
      <c r="F487" s="15"/>
      <c r="G487" s="50"/>
      <c r="H487" s="15"/>
      <c r="L487"/>
      <c r="O487" s="52"/>
      <c r="P487" s="52"/>
    </row>
    <row r="488" spans="2:16" x14ac:dyDescent="0.3">
      <c r="C488" s="13"/>
      <c r="D488" s="53"/>
      <c r="E488" s="15"/>
      <c r="F488" s="15"/>
      <c r="G488" s="50"/>
      <c r="H488" s="15"/>
      <c r="L488"/>
      <c r="O488" s="52"/>
      <c r="P488" s="52"/>
    </row>
    <row r="489" spans="2:16" x14ac:dyDescent="0.3">
      <c r="C489" s="13"/>
      <c r="D489" s="53"/>
      <c r="E489" s="15"/>
      <c r="F489" s="15"/>
      <c r="G489" s="50"/>
      <c r="H489" s="15"/>
      <c r="L489"/>
      <c r="O489" s="52"/>
      <c r="P489" s="52"/>
    </row>
    <row r="490" spans="2:16" x14ac:dyDescent="0.3">
      <c r="C490" s="13"/>
      <c r="D490" s="53"/>
      <c r="E490" s="15"/>
      <c r="F490" s="15"/>
      <c r="G490" s="50"/>
      <c r="H490" s="15"/>
      <c r="L490"/>
      <c r="O490" s="52"/>
      <c r="P490" s="52"/>
    </row>
    <row r="491" spans="2:16" x14ac:dyDescent="0.3">
      <c r="C491" s="13"/>
      <c r="D491" s="53"/>
      <c r="E491" s="15"/>
      <c r="F491" s="15"/>
      <c r="G491" s="50"/>
      <c r="H491" s="15"/>
      <c r="L491"/>
      <c r="O491" s="52"/>
      <c r="P491" s="52"/>
    </row>
    <row r="492" spans="2:16" x14ac:dyDescent="0.3">
      <c r="C492" s="13"/>
      <c r="D492" s="53"/>
      <c r="E492" s="15"/>
      <c r="F492" s="15"/>
      <c r="G492" s="50"/>
      <c r="H492" s="15"/>
      <c r="L492"/>
      <c r="O492" s="52"/>
      <c r="P492" s="52"/>
    </row>
    <row r="493" spans="2:16" x14ac:dyDescent="0.3">
      <c r="C493" s="13"/>
      <c r="D493" s="53"/>
      <c r="E493" s="15"/>
      <c r="F493" s="15"/>
      <c r="G493" s="50"/>
      <c r="H493" s="15"/>
      <c r="L493"/>
      <c r="O493" s="52"/>
      <c r="P493" s="52"/>
    </row>
    <row r="494" spans="2:16" x14ac:dyDescent="0.3">
      <c r="C494" s="13"/>
      <c r="D494" s="53"/>
      <c r="E494" s="15"/>
      <c r="F494" s="15"/>
      <c r="G494" s="50"/>
      <c r="H494" s="15"/>
      <c r="L494"/>
      <c r="O494" s="52"/>
      <c r="P494" s="52"/>
    </row>
    <row r="495" spans="2:16" x14ac:dyDescent="0.3">
      <c r="C495" s="13"/>
      <c r="D495" s="53"/>
      <c r="E495" s="15"/>
      <c r="F495" s="15"/>
      <c r="G495" s="50"/>
      <c r="H495" s="15"/>
      <c r="L495"/>
      <c r="O495" s="52"/>
      <c r="P495" s="52"/>
    </row>
    <row r="496" spans="2:16" x14ac:dyDescent="0.3">
      <c r="C496" s="13"/>
      <c r="D496" s="53"/>
      <c r="E496" s="15"/>
      <c r="F496" s="15"/>
      <c r="G496" s="50"/>
      <c r="H496" s="15"/>
      <c r="L496"/>
      <c r="O496" s="52"/>
      <c r="P496" s="52"/>
    </row>
    <row r="497" spans="3:16" x14ac:dyDescent="0.3">
      <c r="C497" s="13"/>
      <c r="D497" s="53"/>
      <c r="E497" s="15"/>
      <c r="F497" s="15"/>
      <c r="G497" s="50"/>
      <c r="H497" s="15"/>
      <c r="L497"/>
      <c r="O497" s="52"/>
      <c r="P497" s="52"/>
    </row>
    <row r="498" spans="3:16" x14ac:dyDescent="0.3">
      <c r="C498" s="13"/>
      <c r="D498" s="53"/>
      <c r="E498" s="15"/>
      <c r="F498" s="15"/>
      <c r="G498" s="50"/>
      <c r="H498" s="15"/>
      <c r="L498"/>
      <c r="O498" s="52"/>
      <c r="P498" s="52"/>
    </row>
    <row r="499" spans="3:16" x14ac:dyDescent="0.3">
      <c r="C499" s="13"/>
      <c r="D499" s="53"/>
      <c r="E499" s="15"/>
      <c r="F499" s="15"/>
      <c r="G499" s="50"/>
      <c r="H499" s="15"/>
      <c r="L499"/>
      <c r="O499" s="52"/>
      <c r="P499" s="52"/>
    </row>
    <row r="500" spans="3:16" x14ac:dyDescent="0.3">
      <c r="C500" s="13"/>
      <c r="D500" s="53"/>
      <c r="E500" s="15"/>
      <c r="F500" s="15"/>
      <c r="G500" s="50"/>
      <c r="H500" s="15"/>
      <c r="L500"/>
      <c r="O500" s="52"/>
      <c r="P500" s="52"/>
    </row>
    <row r="501" spans="3:16" x14ac:dyDescent="0.3">
      <c r="C501" s="13"/>
      <c r="D501" s="53"/>
      <c r="E501" s="15"/>
      <c r="F501" s="15"/>
      <c r="G501" s="50"/>
      <c r="H501" s="15"/>
      <c r="L501"/>
      <c r="O501" s="52"/>
      <c r="P501" s="52"/>
    </row>
    <row r="502" spans="3:16" x14ac:dyDescent="0.3">
      <c r="C502" s="13"/>
      <c r="D502" s="53"/>
      <c r="E502" s="15"/>
      <c r="F502" s="15"/>
      <c r="G502" s="50"/>
      <c r="H502" s="15"/>
      <c r="L502"/>
      <c r="O502" s="52"/>
      <c r="P502" s="52"/>
    </row>
    <row r="503" spans="3:16" x14ac:dyDescent="0.3">
      <c r="C503" s="13"/>
      <c r="D503" s="53"/>
      <c r="E503" s="15"/>
      <c r="F503" s="15"/>
      <c r="G503" s="50"/>
      <c r="H503" s="15"/>
      <c r="L503"/>
      <c r="O503" s="52"/>
      <c r="P503" s="52"/>
    </row>
    <row r="504" spans="3:16" x14ac:dyDescent="0.3">
      <c r="C504" s="13"/>
      <c r="D504" s="53"/>
      <c r="E504" s="15"/>
      <c r="F504" s="15"/>
      <c r="G504" s="50"/>
      <c r="H504" s="15"/>
      <c r="L504"/>
      <c r="O504" s="52"/>
      <c r="P504" s="52"/>
    </row>
    <row r="505" spans="3:16" x14ac:dyDescent="0.3">
      <c r="C505" s="13"/>
      <c r="D505" s="53"/>
      <c r="E505" s="15"/>
      <c r="F505" s="15"/>
      <c r="G505" s="50"/>
      <c r="H505" s="15"/>
      <c r="L505"/>
      <c r="O505" s="52"/>
      <c r="P505" s="52"/>
    </row>
    <row r="506" spans="3:16" x14ac:dyDescent="0.3">
      <c r="C506" s="13"/>
      <c r="D506" s="53"/>
      <c r="E506" s="15"/>
      <c r="F506" s="15"/>
      <c r="G506" s="50"/>
      <c r="H506" s="15"/>
      <c r="L506"/>
      <c r="O506" s="52"/>
      <c r="P506" s="52"/>
    </row>
    <row r="507" spans="3:16" x14ac:dyDescent="0.3">
      <c r="C507" s="13"/>
      <c r="D507" s="53"/>
      <c r="E507" s="15"/>
      <c r="F507" s="15"/>
      <c r="G507" s="50"/>
      <c r="H507" s="15"/>
      <c r="L507"/>
      <c r="O507" s="52"/>
      <c r="P507" s="52"/>
    </row>
    <row r="508" spans="3:16" x14ac:dyDescent="0.3">
      <c r="C508" s="13"/>
      <c r="D508" s="53"/>
      <c r="E508" s="15"/>
      <c r="F508" s="15"/>
      <c r="G508" s="50"/>
      <c r="H508" s="15"/>
      <c r="L508"/>
      <c r="O508" s="52"/>
      <c r="P508" s="52"/>
    </row>
    <row r="509" spans="3:16" x14ac:dyDescent="0.3">
      <c r="C509" s="13"/>
      <c r="D509" s="53"/>
      <c r="E509" s="15"/>
      <c r="F509" s="15"/>
      <c r="G509" s="50"/>
      <c r="H509" s="15"/>
      <c r="L509"/>
      <c r="O509" s="52"/>
      <c r="P509" s="52"/>
    </row>
    <row r="510" spans="3:16" x14ac:dyDescent="0.3">
      <c r="C510" s="13"/>
      <c r="D510" s="53"/>
      <c r="E510" s="15"/>
      <c r="F510" s="15"/>
      <c r="G510" s="50"/>
      <c r="H510" s="15"/>
      <c r="L510"/>
      <c r="O510" s="52"/>
      <c r="P510" s="52"/>
    </row>
    <row r="511" spans="3:16" x14ac:dyDescent="0.3">
      <c r="C511" s="13"/>
      <c r="D511" s="53"/>
      <c r="E511" s="15"/>
      <c r="F511" s="15"/>
      <c r="G511" s="50"/>
      <c r="H511" s="15"/>
      <c r="L511"/>
      <c r="O511" s="52"/>
      <c r="P511" s="52"/>
    </row>
    <row r="512" spans="3:16" x14ac:dyDescent="0.3">
      <c r="C512" s="13"/>
      <c r="D512" s="53"/>
      <c r="E512" s="15"/>
      <c r="F512" s="15"/>
      <c r="G512" s="50"/>
      <c r="H512" s="15"/>
      <c r="L512"/>
      <c r="O512" s="52"/>
      <c r="P512" s="52"/>
    </row>
    <row r="513" spans="3:16" x14ac:dyDescent="0.3">
      <c r="C513" s="13"/>
      <c r="D513" s="53"/>
      <c r="E513" s="15"/>
      <c r="F513" s="15"/>
      <c r="G513" s="50"/>
      <c r="H513" s="15"/>
      <c r="L513"/>
      <c r="O513" s="52"/>
      <c r="P513" s="52"/>
    </row>
    <row r="514" spans="3:16" x14ac:dyDescent="0.3">
      <c r="C514" s="13"/>
      <c r="D514" s="53"/>
      <c r="E514" s="15"/>
      <c r="F514" s="15"/>
      <c r="G514" s="50"/>
      <c r="H514" s="15"/>
      <c r="L514"/>
      <c r="O514" s="52"/>
      <c r="P514" s="52"/>
    </row>
    <row r="515" spans="3:16" x14ac:dyDescent="0.3">
      <c r="C515" s="13"/>
      <c r="D515" s="53"/>
      <c r="E515" s="15"/>
      <c r="F515" s="15"/>
      <c r="G515" s="50"/>
      <c r="H515" s="15"/>
      <c r="L515"/>
      <c r="O515" s="52"/>
      <c r="P515" s="52"/>
    </row>
    <row r="516" spans="3:16" x14ac:dyDescent="0.3">
      <c r="C516" s="13"/>
      <c r="D516" s="53"/>
      <c r="E516" s="15"/>
      <c r="F516" s="15"/>
      <c r="G516" s="50"/>
      <c r="H516" s="15"/>
      <c r="L516"/>
      <c r="O516" s="52"/>
      <c r="P516" s="52"/>
    </row>
    <row r="517" spans="3:16" x14ac:dyDescent="0.3">
      <c r="C517" s="13"/>
      <c r="D517" s="53"/>
      <c r="E517" s="15"/>
      <c r="F517" s="15"/>
      <c r="G517" s="50"/>
      <c r="H517" s="15"/>
      <c r="L517"/>
      <c r="O517" s="52"/>
      <c r="P517" s="52"/>
    </row>
    <row r="518" spans="3:16" x14ac:dyDescent="0.3">
      <c r="C518" s="13"/>
      <c r="D518" s="53"/>
      <c r="E518" s="15"/>
      <c r="F518" s="15"/>
      <c r="G518" s="50"/>
      <c r="H518" s="15"/>
      <c r="L518"/>
      <c r="O518" s="52"/>
      <c r="P518" s="52"/>
    </row>
    <row r="519" spans="3:16" x14ac:dyDescent="0.3">
      <c r="C519" s="13"/>
      <c r="D519" s="53"/>
      <c r="E519" s="15"/>
      <c r="F519" s="15"/>
      <c r="G519" s="50"/>
      <c r="H519" s="15"/>
      <c r="L519"/>
      <c r="O519" s="52"/>
      <c r="P519" s="52"/>
    </row>
    <row r="520" spans="3:16" x14ac:dyDescent="0.3">
      <c r="C520" s="13"/>
      <c r="D520" s="53"/>
      <c r="E520" s="15"/>
      <c r="F520" s="15"/>
      <c r="G520" s="50"/>
      <c r="H520" s="15"/>
      <c r="L520"/>
      <c r="O520" s="52"/>
      <c r="P520" s="52"/>
    </row>
    <row r="521" spans="3:16" x14ac:dyDescent="0.3">
      <c r="C521" s="13"/>
      <c r="D521" s="53"/>
      <c r="E521" s="15"/>
      <c r="F521" s="15"/>
      <c r="G521" s="50"/>
      <c r="H521" s="15"/>
      <c r="L521"/>
      <c r="O521" s="52"/>
      <c r="P521" s="52"/>
    </row>
    <row r="522" spans="3:16" x14ac:dyDescent="0.3">
      <c r="C522" s="13"/>
      <c r="D522" s="53"/>
      <c r="E522" s="15"/>
      <c r="F522" s="15"/>
      <c r="G522" s="50"/>
      <c r="H522" s="15"/>
      <c r="L522"/>
      <c r="O522" s="52"/>
      <c r="P522" s="52"/>
    </row>
    <row r="523" spans="3:16" x14ac:dyDescent="0.3">
      <c r="C523" s="13"/>
      <c r="D523" s="53"/>
      <c r="E523" s="15"/>
      <c r="F523" s="15"/>
      <c r="G523" s="50"/>
      <c r="H523" s="15"/>
      <c r="L523"/>
      <c r="O523" s="52"/>
      <c r="P523" s="52"/>
    </row>
    <row r="524" spans="3:16" x14ac:dyDescent="0.3">
      <c r="C524" s="13"/>
      <c r="D524" s="53"/>
      <c r="E524" s="15"/>
      <c r="F524" s="15"/>
      <c r="G524" s="50"/>
      <c r="H524" s="15"/>
      <c r="L524"/>
      <c r="O524" s="52"/>
      <c r="P524" s="52"/>
    </row>
    <row r="525" spans="3:16" x14ac:dyDescent="0.3">
      <c r="C525" s="13"/>
      <c r="D525" s="53"/>
      <c r="E525" s="15"/>
      <c r="F525" s="15"/>
      <c r="G525" s="50"/>
      <c r="H525" s="15"/>
      <c r="L525"/>
      <c r="O525" s="52"/>
      <c r="P525" s="52"/>
    </row>
    <row r="526" spans="3:16" x14ac:dyDescent="0.3">
      <c r="C526" s="13"/>
      <c r="D526" s="53"/>
      <c r="E526" s="15"/>
      <c r="F526" s="15"/>
      <c r="G526" s="50"/>
      <c r="H526" s="15"/>
      <c r="L526"/>
      <c r="O526" s="52"/>
      <c r="P526" s="52"/>
    </row>
    <row r="527" spans="3:16" x14ac:dyDescent="0.3">
      <c r="C527" s="13"/>
      <c r="D527" s="53"/>
      <c r="E527" s="15"/>
      <c r="F527" s="15"/>
      <c r="G527" s="50"/>
      <c r="H527" s="15"/>
      <c r="L527"/>
      <c r="O527" s="52"/>
      <c r="P527" s="52"/>
    </row>
    <row r="528" spans="3:16" x14ac:dyDescent="0.3">
      <c r="C528" s="13"/>
      <c r="D528" s="53"/>
      <c r="E528" s="15"/>
      <c r="F528" s="15"/>
      <c r="G528" s="50"/>
      <c r="H528" s="15"/>
      <c r="L528"/>
      <c r="O528" s="52"/>
      <c r="P528" s="52"/>
    </row>
    <row r="529" spans="3:16" x14ac:dyDescent="0.3">
      <c r="C529" s="13"/>
      <c r="D529" s="53"/>
      <c r="E529" s="15"/>
      <c r="F529" s="15"/>
      <c r="G529" s="50"/>
      <c r="H529" s="15"/>
      <c r="L529"/>
      <c r="O529" s="52"/>
      <c r="P529" s="52"/>
    </row>
    <row r="530" spans="3:16" x14ac:dyDescent="0.3">
      <c r="C530" s="13"/>
      <c r="D530" s="53"/>
      <c r="E530" s="15"/>
      <c r="F530" s="15"/>
      <c r="G530" s="50"/>
      <c r="H530" s="15"/>
      <c r="L530"/>
      <c r="O530" s="52"/>
      <c r="P530" s="52"/>
    </row>
    <row r="531" spans="3:16" x14ac:dyDescent="0.3">
      <c r="C531" s="13"/>
      <c r="D531" s="53"/>
      <c r="E531" s="15"/>
      <c r="F531" s="15"/>
      <c r="G531" s="50"/>
      <c r="H531" s="15"/>
      <c r="L531"/>
      <c r="O531" s="52"/>
      <c r="P531" s="52"/>
    </row>
    <row r="532" spans="3:16" x14ac:dyDescent="0.3">
      <c r="C532" s="13"/>
      <c r="D532" s="53"/>
      <c r="E532" s="15"/>
      <c r="F532" s="15"/>
      <c r="G532" s="50"/>
      <c r="H532" s="15"/>
      <c r="L532"/>
      <c r="O532" s="52"/>
      <c r="P532" s="52"/>
    </row>
    <row r="533" spans="3:16" x14ac:dyDescent="0.3">
      <c r="C533" s="13"/>
      <c r="D533" s="53"/>
      <c r="E533" s="15"/>
      <c r="F533" s="15"/>
      <c r="G533" s="50"/>
      <c r="H533" s="15"/>
      <c r="L533"/>
      <c r="O533" s="52"/>
      <c r="P533" s="52"/>
    </row>
    <row r="534" spans="3:16" x14ac:dyDescent="0.3">
      <c r="C534" s="13"/>
      <c r="D534" s="53"/>
      <c r="E534" s="15"/>
      <c r="F534" s="15"/>
      <c r="G534" s="50"/>
      <c r="H534" s="15"/>
      <c r="L534"/>
      <c r="O534" s="52"/>
      <c r="P534" s="52"/>
    </row>
    <row r="535" spans="3:16" x14ac:dyDescent="0.3">
      <c r="C535" s="13"/>
      <c r="D535" s="53"/>
      <c r="E535" s="15"/>
      <c r="F535" s="15"/>
      <c r="G535" s="50"/>
      <c r="H535" s="15"/>
      <c r="L535"/>
      <c r="O535" s="52"/>
      <c r="P535" s="52"/>
    </row>
    <row r="536" spans="3:16" x14ac:dyDescent="0.3">
      <c r="C536" s="13"/>
      <c r="D536" s="53"/>
      <c r="E536" s="15"/>
      <c r="F536" s="15"/>
      <c r="G536" s="50"/>
      <c r="H536" s="15"/>
      <c r="L536"/>
      <c r="O536" s="52"/>
      <c r="P536" s="52"/>
    </row>
    <row r="537" spans="3:16" x14ac:dyDescent="0.3">
      <c r="C537" s="13"/>
      <c r="D537" s="53"/>
      <c r="E537" s="15"/>
      <c r="F537" s="15"/>
      <c r="G537" s="50"/>
      <c r="H537" s="15"/>
      <c r="L537"/>
      <c r="O537" s="52"/>
      <c r="P537" s="52"/>
    </row>
    <row r="538" spans="3:16" x14ac:dyDescent="0.3">
      <c r="C538" s="13"/>
      <c r="D538" s="53"/>
      <c r="E538" s="15"/>
      <c r="F538" s="15"/>
      <c r="G538" s="50"/>
      <c r="H538" s="15"/>
      <c r="L538"/>
      <c r="O538" s="52"/>
      <c r="P538" s="52"/>
    </row>
    <row r="539" spans="3:16" x14ac:dyDescent="0.3">
      <c r="C539" s="13"/>
      <c r="D539" s="53"/>
      <c r="E539" s="15"/>
      <c r="F539" s="15"/>
      <c r="G539" s="50"/>
      <c r="H539" s="15"/>
      <c r="L539"/>
      <c r="O539" s="52"/>
      <c r="P539" s="52"/>
    </row>
    <row r="540" spans="3:16" x14ac:dyDescent="0.3">
      <c r="C540" s="13"/>
      <c r="D540" s="53"/>
      <c r="E540" s="15"/>
      <c r="F540" s="15"/>
      <c r="G540" s="50"/>
      <c r="H540" s="15"/>
      <c r="L540"/>
      <c r="O540" s="52"/>
      <c r="P540" s="52"/>
    </row>
    <row r="541" spans="3:16" x14ac:dyDescent="0.3">
      <c r="C541" s="13"/>
      <c r="D541" s="53"/>
      <c r="E541" s="15"/>
      <c r="F541" s="15"/>
      <c r="G541" s="50"/>
      <c r="H541" s="15"/>
      <c r="L541"/>
      <c r="O541" s="52"/>
      <c r="P541" s="52"/>
    </row>
    <row r="542" spans="3:16" x14ac:dyDescent="0.3">
      <c r="C542" s="13"/>
      <c r="D542" s="53"/>
      <c r="E542" s="15"/>
      <c r="F542" s="15"/>
      <c r="G542" s="50"/>
      <c r="H542" s="15"/>
      <c r="L542"/>
      <c r="O542" s="52"/>
      <c r="P542" s="52"/>
    </row>
    <row r="543" spans="3:16" x14ac:dyDescent="0.3">
      <c r="C543" s="13"/>
      <c r="D543" s="53"/>
      <c r="E543" s="15"/>
      <c r="F543" s="15"/>
      <c r="G543" s="50"/>
      <c r="H543" s="15"/>
      <c r="L543"/>
      <c r="O543" s="52"/>
      <c r="P543" s="52"/>
    </row>
    <row r="544" spans="3:16" x14ac:dyDescent="0.3">
      <c r="C544" s="13"/>
      <c r="D544" s="53"/>
      <c r="E544" s="15"/>
      <c r="F544" s="15"/>
      <c r="G544" s="50"/>
      <c r="H544" s="15"/>
      <c r="L544"/>
      <c r="O544" s="52"/>
      <c r="P544" s="52"/>
    </row>
    <row r="545" spans="3:16" x14ac:dyDescent="0.3">
      <c r="C545" s="13"/>
      <c r="D545" s="53"/>
      <c r="E545" s="15"/>
      <c r="F545" s="15"/>
      <c r="G545" s="50"/>
      <c r="H545" s="15"/>
      <c r="L545"/>
      <c r="O545" s="52"/>
      <c r="P545" s="52"/>
    </row>
    <row r="546" spans="3:16" x14ac:dyDescent="0.3">
      <c r="C546" s="13"/>
      <c r="D546" s="53"/>
      <c r="E546" s="15"/>
      <c r="F546" s="15"/>
      <c r="G546" s="50"/>
      <c r="H546" s="15"/>
      <c r="L546"/>
      <c r="O546" s="52"/>
      <c r="P546" s="52"/>
    </row>
    <row r="547" spans="3:16" x14ac:dyDescent="0.3">
      <c r="C547" s="13"/>
      <c r="D547" s="53"/>
      <c r="E547" s="15"/>
      <c r="F547" s="15"/>
      <c r="G547" s="50"/>
      <c r="H547" s="15"/>
      <c r="L547"/>
      <c r="O547" s="52"/>
      <c r="P547" s="52"/>
    </row>
    <row r="548" spans="3:16" x14ac:dyDescent="0.3">
      <c r="C548" s="13"/>
      <c r="D548" s="53"/>
      <c r="E548" s="15"/>
      <c r="F548" s="15"/>
      <c r="G548" s="50"/>
      <c r="H548" s="15"/>
      <c r="L548"/>
      <c r="O548" s="52"/>
      <c r="P548" s="52"/>
    </row>
    <row r="549" spans="3:16" x14ac:dyDescent="0.3">
      <c r="C549" s="13"/>
      <c r="D549" s="53"/>
      <c r="E549" s="15"/>
      <c r="F549" s="15"/>
      <c r="G549" s="50"/>
      <c r="H549" s="15"/>
      <c r="L549"/>
      <c r="O549" s="52"/>
      <c r="P549" s="52"/>
    </row>
    <row r="550" spans="3:16" x14ac:dyDescent="0.3">
      <c r="C550" s="13"/>
      <c r="D550" s="53"/>
      <c r="E550" s="15"/>
      <c r="F550" s="15"/>
      <c r="G550" s="50"/>
      <c r="H550" s="15"/>
      <c r="L550"/>
      <c r="O550" s="52"/>
      <c r="P550" s="52"/>
    </row>
    <row r="551" spans="3:16" x14ac:dyDescent="0.3">
      <c r="C551" s="13"/>
      <c r="D551" s="53"/>
      <c r="E551" s="15"/>
      <c r="F551" s="15"/>
      <c r="G551" s="50"/>
      <c r="H551" s="15"/>
      <c r="L551"/>
      <c r="O551" s="52"/>
      <c r="P551" s="52"/>
    </row>
    <row r="552" spans="3:16" x14ac:dyDescent="0.3">
      <c r="C552" s="13"/>
      <c r="D552" s="53"/>
      <c r="E552" s="15"/>
      <c r="F552" s="15"/>
      <c r="G552" s="50"/>
      <c r="H552" s="15"/>
      <c r="L552"/>
      <c r="O552" s="52"/>
      <c r="P552" s="52"/>
    </row>
    <row r="553" spans="3:16" x14ac:dyDescent="0.3">
      <c r="C553" s="13"/>
      <c r="D553" s="53"/>
      <c r="E553" s="15"/>
      <c r="F553" s="15"/>
      <c r="G553" s="50"/>
      <c r="H553" s="15"/>
      <c r="L553"/>
      <c r="O553" s="52"/>
      <c r="P553" s="52"/>
    </row>
    <row r="554" spans="3:16" x14ac:dyDescent="0.3">
      <c r="C554" s="13"/>
      <c r="D554" s="53"/>
      <c r="E554" s="15"/>
      <c r="F554" s="15"/>
      <c r="G554" s="50"/>
      <c r="H554" s="15"/>
      <c r="L554"/>
      <c r="O554" s="52"/>
      <c r="P554" s="52"/>
    </row>
    <row r="555" spans="3:16" x14ac:dyDescent="0.3">
      <c r="C555" s="13"/>
      <c r="D555" s="53"/>
      <c r="E555" s="15"/>
      <c r="F555" s="15"/>
      <c r="G555" s="50"/>
      <c r="H555" s="15"/>
      <c r="L555"/>
      <c r="O555" s="52"/>
      <c r="P555" s="52"/>
    </row>
    <row r="556" spans="3:16" x14ac:dyDescent="0.3">
      <c r="C556" s="13"/>
      <c r="D556" s="53"/>
      <c r="E556" s="15"/>
      <c r="F556" s="15"/>
      <c r="G556" s="50"/>
      <c r="H556" s="15"/>
      <c r="L556"/>
      <c r="O556" s="52"/>
      <c r="P556" s="52"/>
    </row>
    <row r="557" spans="3:16" x14ac:dyDescent="0.3">
      <c r="C557" s="13"/>
      <c r="D557" s="53"/>
      <c r="E557" s="15"/>
      <c r="F557" s="15"/>
      <c r="G557" s="50"/>
      <c r="H557" s="15"/>
      <c r="L557"/>
      <c r="O557" s="52"/>
      <c r="P557" s="52"/>
    </row>
    <row r="558" spans="3:16" x14ac:dyDescent="0.3">
      <c r="C558" s="13"/>
      <c r="D558" s="53"/>
      <c r="E558" s="15"/>
      <c r="F558" s="15"/>
      <c r="G558" s="50"/>
      <c r="H558" s="15"/>
      <c r="L558"/>
      <c r="O558" s="52"/>
      <c r="P558" s="52"/>
    </row>
    <row r="559" spans="3:16" x14ac:dyDescent="0.3">
      <c r="C559" s="13"/>
      <c r="D559" s="53"/>
      <c r="E559" s="15"/>
      <c r="F559" s="15"/>
      <c r="G559" s="50"/>
      <c r="H559" s="15"/>
      <c r="L559"/>
      <c r="O559" s="52"/>
      <c r="P559" s="52"/>
    </row>
    <row r="560" spans="3:16" x14ac:dyDescent="0.3">
      <c r="C560" s="13"/>
      <c r="D560" s="53"/>
      <c r="E560" s="15"/>
      <c r="F560" s="15"/>
      <c r="G560" s="50"/>
      <c r="H560" s="15"/>
      <c r="L560"/>
      <c r="O560" s="52"/>
      <c r="P560" s="52"/>
    </row>
    <row r="561" spans="3:16" x14ac:dyDescent="0.3">
      <c r="C561" s="13"/>
      <c r="D561" s="53"/>
      <c r="E561" s="15"/>
      <c r="F561" s="15"/>
      <c r="G561" s="50"/>
      <c r="H561" s="15"/>
      <c r="L561"/>
      <c r="O561" s="52"/>
      <c r="P561" s="52"/>
    </row>
    <row r="562" spans="3:16" x14ac:dyDescent="0.3">
      <c r="C562" s="13"/>
      <c r="D562" s="53"/>
      <c r="E562" s="15"/>
      <c r="F562" s="15"/>
      <c r="G562" s="50"/>
      <c r="H562" s="15"/>
      <c r="L562"/>
      <c r="O562" s="52"/>
      <c r="P562" s="52"/>
    </row>
    <row r="563" spans="3:16" x14ac:dyDescent="0.3">
      <c r="C563" s="13"/>
      <c r="D563" s="53"/>
      <c r="E563" s="15"/>
      <c r="F563" s="15"/>
      <c r="G563" s="50"/>
      <c r="H563" s="15"/>
      <c r="L563"/>
      <c r="O563" s="52"/>
      <c r="P563" s="52"/>
    </row>
    <row r="564" spans="3:16" x14ac:dyDescent="0.3">
      <c r="C564" s="13"/>
      <c r="D564" s="53"/>
      <c r="E564" s="15"/>
      <c r="F564" s="15"/>
      <c r="G564" s="50"/>
      <c r="H564" s="15"/>
      <c r="L564"/>
      <c r="O564" s="52"/>
      <c r="P564" s="52"/>
    </row>
    <row r="565" spans="3:16" x14ac:dyDescent="0.3">
      <c r="C565" s="13"/>
      <c r="D565" s="53"/>
      <c r="E565" s="15"/>
      <c r="F565" s="15"/>
      <c r="G565" s="50"/>
      <c r="H565" s="15"/>
      <c r="L565"/>
      <c r="O565" s="52"/>
      <c r="P565" s="52"/>
    </row>
    <row r="566" spans="3:16" x14ac:dyDescent="0.3">
      <c r="C566" s="13"/>
      <c r="D566" s="53"/>
      <c r="E566" s="15"/>
      <c r="F566" s="15"/>
      <c r="G566" s="50"/>
      <c r="H566" s="15"/>
      <c r="L566"/>
      <c r="O566" s="52"/>
      <c r="P566" s="52"/>
    </row>
    <row r="567" spans="3:16" x14ac:dyDescent="0.3">
      <c r="C567" s="13"/>
      <c r="D567" s="53"/>
      <c r="E567" s="15"/>
      <c r="F567" s="15"/>
      <c r="G567" s="50"/>
      <c r="H567" s="15"/>
      <c r="L567"/>
      <c r="O567" s="52"/>
      <c r="P567" s="52"/>
    </row>
    <row r="568" spans="3:16" x14ac:dyDescent="0.3">
      <c r="C568" s="13"/>
      <c r="D568" s="53"/>
      <c r="E568" s="15"/>
      <c r="F568" s="15"/>
      <c r="G568" s="50"/>
      <c r="H568" s="15"/>
      <c r="L568"/>
      <c r="O568" s="52"/>
      <c r="P568" s="52"/>
    </row>
    <row r="569" spans="3:16" x14ac:dyDescent="0.3">
      <c r="C569" s="13"/>
      <c r="D569" s="53"/>
      <c r="E569" s="15"/>
      <c r="F569" s="15"/>
      <c r="G569" s="50"/>
      <c r="H569" s="15"/>
      <c r="L569"/>
      <c r="O569" s="52"/>
      <c r="P569" s="52"/>
    </row>
    <row r="570" spans="3:16" x14ac:dyDescent="0.3">
      <c r="C570" s="13"/>
      <c r="D570" s="53"/>
      <c r="E570" s="15"/>
      <c r="F570" s="15"/>
      <c r="G570" s="50"/>
      <c r="H570" s="15"/>
      <c r="L570"/>
      <c r="O570" s="52"/>
      <c r="P570" s="52"/>
    </row>
    <row r="571" spans="3:16" x14ac:dyDescent="0.3">
      <c r="C571" s="13"/>
      <c r="D571" s="53"/>
      <c r="E571" s="15"/>
      <c r="F571" s="15"/>
      <c r="G571" s="50"/>
      <c r="H571" s="15"/>
      <c r="L571"/>
      <c r="O571" s="52"/>
      <c r="P571" s="52"/>
    </row>
    <row r="572" spans="3:16" x14ac:dyDescent="0.3">
      <c r="C572" s="13"/>
      <c r="D572" s="53"/>
      <c r="E572" s="15"/>
      <c r="F572" s="15"/>
      <c r="G572" s="50"/>
      <c r="H572" s="15"/>
      <c r="L572"/>
      <c r="O572" s="52"/>
      <c r="P572" s="52"/>
    </row>
    <row r="573" spans="3:16" x14ac:dyDescent="0.3">
      <c r="C573" s="13"/>
      <c r="D573" s="53"/>
      <c r="E573" s="15"/>
      <c r="F573" s="15"/>
      <c r="G573" s="50"/>
      <c r="H573" s="15"/>
      <c r="L573"/>
      <c r="O573" s="52"/>
      <c r="P573" s="52"/>
    </row>
    <row r="574" spans="3:16" x14ac:dyDescent="0.3">
      <c r="C574" s="13"/>
      <c r="D574" s="53"/>
      <c r="E574" s="15"/>
      <c r="F574" s="15"/>
      <c r="G574" s="50"/>
      <c r="H574" s="15"/>
      <c r="L574"/>
      <c r="O574" s="52"/>
      <c r="P574" s="52"/>
    </row>
    <row r="575" spans="3:16" x14ac:dyDescent="0.3">
      <c r="C575" s="13"/>
      <c r="D575" s="53"/>
      <c r="E575" s="15"/>
      <c r="F575" s="15"/>
      <c r="G575" s="50"/>
      <c r="H575" s="15"/>
      <c r="L575"/>
      <c r="O575" s="52"/>
      <c r="P575" s="52"/>
    </row>
    <row r="576" spans="3:16" x14ac:dyDescent="0.3">
      <c r="C576" s="13"/>
      <c r="D576" s="53"/>
      <c r="E576" s="15"/>
      <c r="F576" s="15"/>
      <c r="G576" s="50"/>
      <c r="H576" s="15"/>
      <c r="L576"/>
      <c r="O576" s="52"/>
      <c r="P576" s="52"/>
    </row>
    <row r="577" spans="3:16" x14ac:dyDescent="0.3">
      <c r="C577" s="13"/>
      <c r="D577" s="53"/>
      <c r="E577" s="15"/>
      <c r="F577" s="15"/>
      <c r="G577" s="50"/>
      <c r="H577" s="15"/>
      <c r="L577"/>
      <c r="O577" s="52"/>
      <c r="P577" s="52"/>
    </row>
    <row r="578" spans="3:16" x14ac:dyDescent="0.3">
      <c r="C578" s="13"/>
      <c r="D578" s="53"/>
      <c r="E578" s="15"/>
      <c r="F578" s="15"/>
      <c r="G578" s="50"/>
      <c r="H578" s="15"/>
      <c r="L578"/>
      <c r="O578" s="52"/>
      <c r="P578" s="52"/>
    </row>
    <row r="579" spans="3:16" x14ac:dyDescent="0.3">
      <c r="C579" s="13"/>
      <c r="D579" s="53"/>
      <c r="E579" s="15"/>
      <c r="F579" s="15"/>
      <c r="G579" s="50"/>
      <c r="H579" s="15"/>
      <c r="L579"/>
      <c r="O579" s="52"/>
      <c r="P579" s="52"/>
    </row>
    <row r="580" spans="3:16" x14ac:dyDescent="0.3">
      <c r="C580" s="13"/>
      <c r="D580" s="53"/>
      <c r="E580" s="15"/>
      <c r="F580" s="15"/>
      <c r="G580" s="50"/>
      <c r="H580" s="15"/>
      <c r="L580"/>
      <c r="O580" s="52"/>
      <c r="P580" s="52"/>
    </row>
    <row r="581" spans="3:16" x14ac:dyDescent="0.3">
      <c r="C581" s="13"/>
      <c r="D581" s="53"/>
      <c r="E581" s="15"/>
      <c r="F581" s="15"/>
      <c r="G581" s="50"/>
      <c r="H581" s="15"/>
      <c r="L581"/>
      <c r="O581" s="52"/>
      <c r="P581" s="52"/>
    </row>
    <row r="582" spans="3:16" x14ac:dyDescent="0.3">
      <c r="C582" s="13"/>
      <c r="D582" s="53"/>
      <c r="E582" s="15"/>
      <c r="F582" s="15"/>
      <c r="G582" s="50"/>
      <c r="H582" s="15"/>
      <c r="L582"/>
      <c r="O582" s="52"/>
      <c r="P582" s="52"/>
    </row>
    <row r="583" spans="3:16" x14ac:dyDescent="0.3">
      <c r="C583" s="13"/>
      <c r="D583" s="53"/>
      <c r="E583" s="15"/>
      <c r="F583" s="15"/>
      <c r="G583" s="50"/>
      <c r="H583" s="15"/>
      <c r="L583"/>
      <c r="O583" s="52"/>
      <c r="P583" s="52"/>
    </row>
    <row r="584" spans="3:16" x14ac:dyDescent="0.3">
      <c r="C584" s="13"/>
      <c r="D584" s="53"/>
      <c r="E584" s="15"/>
      <c r="F584" s="15"/>
      <c r="G584" s="50"/>
      <c r="H584" s="15"/>
      <c r="L584"/>
      <c r="O584" s="52"/>
      <c r="P584" s="52"/>
    </row>
    <row r="585" spans="3:16" x14ac:dyDescent="0.3">
      <c r="C585" s="13"/>
      <c r="D585" s="53"/>
      <c r="E585" s="15"/>
      <c r="F585" s="15"/>
      <c r="G585" s="50"/>
      <c r="H585" s="15"/>
      <c r="L585"/>
      <c r="O585" s="52"/>
      <c r="P585" s="52"/>
    </row>
    <row r="586" spans="3:16" x14ac:dyDescent="0.3">
      <c r="C586" s="13"/>
      <c r="D586" s="53"/>
      <c r="E586" s="15"/>
      <c r="F586" s="15"/>
      <c r="G586" s="50"/>
      <c r="H586" s="15"/>
      <c r="L586"/>
      <c r="O586" s="52"/>
      <c r="P586" s="52"/>
    </row>
    <row r="587" spans="3:16" x14ac:dyDescent="0.3">
      <c r="C587" s="13"/>
      <c r="D587" s="53"/>
      <c r="E587" s="15"/>
      <c r="F587" s="15"/>
      <c r="G587" s="50"/>
      <c r="H587" s="15"/>
      <c r="L587"/>
      <c r="O587" s="52"/>
      <c r="P587" s="52"/>
    </row>
    <row r="588" spans="3:16" x14ac:dyDescent="0.3">
      <c r="C588" s="13"/>
      <c r="D588" s="53"/>
      <c r="E588" s="15"/>
      <c r="F588" s="15"/>
      <c r="G588" s="50"/>
      <c r="H588" s="15"/>
      <c r="L588"/>
      <c r="O588" s="52"/>
      <c r="P588" s="52"/>
    </row>
    <row r="589" spans="3:16" x14ac:dyDescent="0.3">
      <c r="C589" s="13"/>
      <c r="D589" s="53"/>
      <c r="E589" s="15"/>
      <c r="F589" s="15"/>
      <c r="G589" s="50"/>
      <c r="H589" s="15"/>
      <c r="L589"/>
      <c r="O589" s="52"/>
      <c r="P589" s="52"/>
    </row>
    <row r="590" spans="3:16" x14ac:dyDescent="0.3">
      <c r="C590" s="13"/>
      <c r="D590" s="53"/>
      <c r="E590" s="15"/>
      <c r="F590" s="15"/>
      <c r="G590" s="50"/>
      <c r="H590" s="15"/>
      <c r="L590"/>
      <c r="O590" s="52"/>
      <c r="P590" s="52"/>
    </row>
    <row r="591" spans="3:16" x14ac:dyDescent="0.3">
      <c r="C591" s="13"/>
      <c r="D591" s="53"/>
      <c r="E591" s="15"/>
      <c r="F591" s="15"/>
      <c r="G591" s="50"/>
      <c r="H591" s="15"/>
      <c r="L591"/>
      <c r="O591" s="52"/>
      <c r="P591" s="52"/>
    </row>
    <row r="592" spans="3:16" x14ac:dyDescent="0.3">
      <c r="C592" s="13"/>
      <c r="D592" s="53"/>
      <c r="E592" s="15"/>
      <c r="F592" s="15"/>
      <c r="G592" s="50"/>
      <c r="H592" s="15"/>
      <c r="L592"/>
      <c r="O592" s="52"/>
      <c r="P592" s="52"/>
    </row>
    <row r="593" spans="3:16" x14ac:dyDescent="0.3">
      <c r="C593" s="13"/>
      <c r="D593" s="53"/>
      <c r="E593" s="15"/>
      <c r="F593" s="15"/>
      <c r="G593" s="50"/>
      <c r="H593" s="15"/>
      <c r="L593"/>
      <c r="O593" s="52"/>
      <c r="P593" s="52"/>
    </row>
    <row r="594" spans="3:16" x14ac:dyDescent="0.3">
      <c r="C594" s="13"/>
      <c r="D594" s="53"/>
      <c r="E594" s="15"/>
      <c r="F594" s="15"/>
      <c r="G594" s="50"/>
      <c r="H594" s="15"/>
      <c r="L594"/>
      <c r="O594" s="52"/>
      <c r="P594" s="52"/>
    </row>
    <row r="595" spans="3:16" x14ac:dyDescent="0.3">
      <c r="C595" s="13"/>
      <c r="D595" s="53"/>
      <c r="E595" s="15"/>
      <c r="F595" s="15"/>
      <c r="G595" s="50"/>
      <c r="H595" s="15"/>
      <c r="L595"/>
      <c r="O595" s="52"/>
      <c r="P595" s="52"/>
    </row>
    <row r="596" spans="3:16" x14ac:dyDescent="0.3">
      <c r="C596" s="13"/>
      <c r="D596" s="53"/>
      <c r="E596" s="15"/>
      <c r="F596" s="15"/>
      <c r="G596" s="50"/>
      <c r="H596" s="15"/>
      <c r="L596"/>
      <c r="O596" s="52"/>
      <c r="P596" s="52"/>
    </row>
    <row r="597" spans="3:16" x14ac:dyDescent="0.3">
      <c r="C597" s="13"/>
      <c r="D597" s="53"/>
      <c r="E597" s="15"/>
      <c r="F597" s="15"/>
      <c r="G597" s="50"/>
      <c r="H597" s="15"/>
      <c r="L597"/>
      <c r="O597" s="52"/>
      <c r="P597" s="52"/>
    </row>
    <row r="598" spans="3:16" x14ac:dyDescent="0.3">
      <c r="C598" s="13"/>
      <c r="D598" s="53"/>
      <c r="E598" s="15"/>
      <c r="F598" s="15"/>
      <c r="G598" s="50"/>
      <c r="H598" s="15"/>
      <c r="L598"/>
      <c r="O598" s="52"/>
      <c r="P598" s="52"/>
    </row>
    <row r="599" spans="3:16" x14ac:dyDescent="0.3">
      <c r="C599" s="13"/>
      <c r="D599" s="53"/>
      <c r="E599" s="15"/>
      <c r="F599" s="15"/>
      <c r="G599" s="50"/>
      <c r="H599" s="15"/>
      <c r="L599"/>
      <c r="O599" s="52"/>
      <c r="P599" s="52"/>
    </row>
    <row r="600" spans="3:16" x14ac:dyDescent="0.3">
      <c r="C600" s="13"/>
      <c r="D600" s="53"/>
      <c r="E600" s="15"/>
      <c r="F600" s="15"/>
      <c r="G600" s="50"/>
      <c r="H600" s="15"/>
      <c r="L600"/>
      <c r="O600" s="52"/>
      <c r="P600" s="52"/>
    </row>
    <row r="601" spans="3:16" x14ac:dyDescent="0.3">
      <c r="C601" s="13"/>
      <c r="D601" s="53"/>
      <c r="E601" s="15"/>
      <c r="F601" s="15"/>
      <c r="G601" s="50"/>
      <c r="H601" s="15"/>
      <c r="L601"/>
      <c r="O601" s="52"/>
      <c r="P601" s="52"/>
    </row>
    <row r="602" spans="3:16" x14ac:dyDescent="0.3">
      <c r="C602" s="13"/>
      <c r="D602" s="53"/>
      <c r="E602" s="15"/>
      <c r="F602" s="15"/>
      <c r="G602" s="50"/>
      <c r="H602" s="15"/>
      <c r="L602"/>
      <c r="O602" s="52"/>
      <c r="P602" s="52"/>
    </row>
    <row r="603" spans="3:16" x14ac:dyDescent="0.3">
      <c r="C603" s="13"/>
      <c r="D603" s="53"/>
      <c r="E603" s="15"/>
      <c r="F603" s="15"/>
      <c r="G603" s="50"/>
      <c r="H603" s="15"/>
      <c r="L603"/>
      <c r="O603" s="52"/>
      <c r="P603" s="52"/>
    </row>
    <row r="604" spans="3:16" x14ac:dyDescent="0.3">
      <c r="C604" s="13"/>
      <c r="D604" s="53"/>
      <c r="E604" s="15"/>
      <c r="F604" s="15"/>
      <c r="G604" s="50"/>
      <c r="H604" s="15"/>
      <c r="L604"/>
      <c r="O604" s="52"/>
      <c r="P604" s="52"/>
    </row>
    <row r="605" spans="3:16" x14ac:dyDescent="0.3">
      <c r="C605" s="13"/>
      <c r="D605" s="53"/>
      <c r="E605" s="15"/>
      <c r="F605" s="15"/>
      <c r="G605" s="50"/>
      <c r="H605" s="15"/>
      <c r="L605"/>
      <c r="O605" s="52"/>
      <c r="P605" s="52"/>
    </row>
    <row r="606" spans="3:16" x14ac:dyDescent="0.3">
      <c r="C606" s="13"/>
      <c r="D606" s="53"/>
      <c r="E606" s="15"/>
      <c r="F606" s="15"/>
      <c r="G606" s="50"/>
      <c r="H606" s="15"/>
      <c r="L606"/>
      <c r="O606" s="52"/>
      <c r="P606" s="52"/>
    </row>
    <row r="607" spans="3:16" x14ac:dyDescent="0.3">
      <c r="C607" s="13"/>
      <c r="D607" s="53"/>
      <c r="E607" s="15"/>
      <c r="F607" s="15"/>
      <c r="G607" s="50"/>
      <c r="H607" s="15"/>
      <c r="L607"/>
      <c r="O607" s="52"/>
      <c r="P607" s="52"/>
    </row>
    <row r="608" spans="3:16" x14ac:dyDescent="0.3">
      <c r="C608" s="13"/>
      <c r="D608" s="53"/>
      <c r="E608" s="15"/>
      <c r="F608" s="15"/>
      <c r="G608" s="50"/>
      <c r="H608" s="15"/>
      <c r="L608"/>
      <c r="O608" s="52"/>
      <c r="P608" s="52"/>
    </row>
    <row r="609" spans="3:16" x14ac:dyDescent="0.3">
      <c r="C609" s="13"/>
      <c r="D609" s="53"/>
      <c r="E609" s="15"/>
      <c r="F609" s="15"/>
      <c r="G609" s="50"/>
      <c r="H609" s="15"/>
      <c r="L609"/>
      <c r="O609" s="52"/>
      <c r="P609" s="52"/>
    </row>
    <row r="610" spans="3:16" x14ac:dyDescent="0.3">
      <c r="C610" s="13"/>
      <c r="D610" s="53"/>
      <c r="E610" s="15"/>
      <c r="F610" s="15"/>
      <c r="G610" s="50"/>
      <c r="H610" s="15"/>
      <c r="L610"/>
      <c r="O610" s="52"/>
      <c r="P610" s="52"/>
    </row>
    <row r="611" spans="3:16" x14ac:dyDescent="0.3">
      <c r="C611" s="13"/>
      <c r="D611" s="53"/>
      <c r="E611" s="15"/>
      <c r="F611" s="15"/>
      <c r="G611" s="50"/>
      <c r="H611" s="15"/>
      <c r="L611"/>
      <c r="O611" s="52"/>
      <c r="P611" s="52"/>
    </row>
    <row r="612" spans="3:16" x14ac:dyDescent="0.3">
      <c r="C612" s="13"/>
      <c r="D612" s="53"/>
      <c r="E612" s="15"/>
      <c r="F612" s="15"/>
      <c r="G612" s="50"/>
      <c r="H612" s="15"/>
      <c r="L612"/>
      <c r="O612" s="52"/>
      <c r="P612" s="52"/>
    </row>
    <row r="613" spans="3:16" x14ac:dyDescent="0.3">
      <c r="C613" s="13"/>
      <c r="D613" s="53"/>
      <c r="E613" s="15"/>
      <c r="F613" s="15"/>
      <c r="G613" s="50"/>
      <c r="H613" s="15"/>
      <c r="L613"/>
      <c r="O613" s="52"/>
      <c r="P613" s="52"/>
    </row>
    <row r="614" spans="3:16" x14ac:dyDescent="0.3">
      <c r="C614" s="13"/>
      <c r="D614" s="53"/>
      <c r="E614" s="15"/>
      <c r="F614" s="15"/>
      <c r="G614" s="50"/>
      <c r="H614" s="15"/>
      <c r="L614"/>
      <c r="O614" s="52"/>
      <c r="P614" s="52"/>
    </row>
    <row r="615" spans="3:16" x14ac:dyDescent="0.3">
      <c r="C615" s="13"/>
      <c r="D615" s="53"/>
      <c r="E615" s="15"/>
      <c r="F615" s="15"/>
      <c r="G615" s="50"/>
      <c r="H615" s="15"/>
      <c r="L615"/>
      <c r="O615" s="52"/>
      <c r="P615" s="52"/>
    </row>
    <row r="616" spans="3:16" x14ac:dyDescent="0.3">
      <c r="C616" s="13"/>
      <c r="D616" s="53"/>
      <c r="E616" s="15"/>
      <c r="F616" s="15"/>
      <c r="G616" s="50"/>
      <c r="H616" s="15"/>
      <c r="L616"/>
      <c r="O616" s="52"/>
      <c r="P616" s="52"/>
    </row>
    <row r="617" spans="3:16" x14ac:dyDescent="0.3">
      <c r="C617" s="13"/>
      <c r="D617" s="53"/>
      <c r="E617" s="15"/>
      <c r="F617" s="15"/>
      <c r="G617" s="50"/>
      <c r="H617" s="15"/>
      <c r="L617"/>
      <c r="O617" s="52"/>
      <c r="P617" s="52"/>
    </row>
    <row r="618" spans="3:16" x14ac:dyDescent="0.3">
      <c r="C618" s="13"/>
      <c r="D618" s="53"/>
      <c r="E618" s="15"/>
      <c r="F618" s="15"/>
      <c r="G618" s="50"/>
      <c r="H618" s="15"/>
      <c r="L618"/>
      <c r="O618" s="52"/>
      <c r="P618" s="52"/>
    </row>
    <row r="619" spans="3:16" x14ac:dyDescent="0.3">
      <c r="C619" s="13"/>
      <c r="D619" s="53"/>
      <c r="E619" s="15"/>
      <c r="F619" s="15"/>
      <c r="G619" s="50"/>
      <c r="H619" s="15"/>
      <c r="L619"/>
      <c r="O619" s="52"/>
      <c r="P619" s="52"/>
    </row>
    <row r="620" spans="3:16" x14ac:dyDescent="0.3">
      <c r="C620" s="13"/>
      <c r="D620" s="53"/>
      <c r="E620" s="15"/>
      <c r="F620" s="15"/>
      <c r="G620" s="50"/>
      <c r="H620" s="15"/>
      <c r="L620"/>
      <c r="O620" s="52"/>
      <c r="P620" s="52"/>
    </row>
    <row r="621" spans="3:16" x14ac:dyDescent="0.3">
      <c r="C621" s="13"/>
      <c r="D621" s="53"/>
      <c r="E621" s="15"/>
      <c r="F621" s="15"/>
      <c r="G621" s="50"/>
      <c r="H621" s="15"/>
      <c r="L621"/>
      <c r="O621" s="52"/>
      <c r="P621" s="52"/>
    </row>
    <row r="622" spans="3:16" x14ac:dyDescent="0.3">
      <c r="C622" s="13"/>
      <c r="D622" s="53"/>
      <c r="E622" s="15"/>
      <c r="F622" s="15"/>
      <c r="G622" s="50"/>
      <c r="H622" s="15"/>
      <c r="L622"/>
      <c r="O622" s="52"/>
      <c r="P622" s="52"/>
    </row>
    <row r="623" spans="3:16" x14ac:dyDescent="0.3">
      <c r="C623" s="13"/>
      <c r="D623" s="53"/>
      <c r="E623" s="15"/>
      <c r="F623" s="15"/>
      <c r="G623" s="50"/>
      <c r="H623" s="15"/>
      <c r="L623"/>
      <c r="O623" s="52"/>
      <c r="P623" s="52"/>
    </row>
    <row r="624" spans="3:16" x14ac:dyDescent="0.3">
      <c r="C624" s="13"/>
      <c r="D624" s="53"/>
      <c r="E624" s="15"/>
      <c r="F624" s="15"/>
      <c r="G624" s="50"/>
      <c r="H624" s="15"/>
      <c r="L624"/>
      <c r="O624" s="52"/>
      <c r="P624" s="52"/>
    </row>
    <row r="625" spans="3:16" x14ac:dyDescent="0.3">
      <c r="C625" s="13"/>
      <c r="D625" s="53"/>
      <c r="E625" s="15"/>
      <c r="F625" s="15"/>
      <c r="G625" s="50"/>
      <c r="H625" s="15"/>
      <c r="L625"/>
      <c r="O625" s="52"/>
      <c r="P625" s="52"/>
    </row>
    <row r="626" spans="3:16" x14ac:dyDescent="0.3">
      <c r="C626" s="13"/>
      <c r="D626" s="53"/>
      <c r="E626" s="15"/>
      <c r="F626" s="15"/>
      <c r="G626" s="50"/>
      <c r="H626" s="15"/>
      <c r="L626"/>
      <c r="O626" s="52"/>
      <c r="P626" s="52"/>
    </row>
    <row r="627" spans="3:16" x14ac:dyDescent="0.3">
      <c r="C627" s="13"/>
      <c r="D627" s="53"/>
      <c r="E627" s="15"/>
      <c r="F627" s="15"/>
      <c r="G627" s="50"/>
      <c r="H627" s="15"/>
      <c r="L627"/>
      <c r="O627" s="52"/>
      <c r="P627" s="52"/>
    </row>
    <row r="628" spans="3:16" x14ac:dyDescent="0.3">
      <c r="C628" s="13"/>
      <c r="D628" s="53"/>
      <c r="E628" s="15"/>
      <c r="F628" s="15"/>
      <c r="G628" s="50"/>
      <c r="H628" s="15"/>
      <c r="L628"/>
      <c r="O628" s="52"/>
      <c r="P628" s="52"/>
    </row>
    <row r="629" spans="3:16" x14ac:dyDescent="0.3">
      <c r="C629" s="13"/>
      <c r="D629" s="53"/>
      <c r="E629" s="15"/>
      <c r="F629" s="15"/>
      <c r="G629" s="50"/>
      <c r="H629" s="15"/>
      <c r="L629"/>
      <c r="O629" s="52"/>
      <c r="P629" s="52"/>
    </row>
    <row r="630" spans="3:16" x14ac:dyDescent="0.3">
      <c r="C630" s="13"/>
      <c r="D630" s="53"/>
      <c r="E630" s="15"/>
      <c r="F630" s="15"/>
      <c r="G630" s="50"/>
      <c r="H630" s="15"/>
      <c r="L630"/>
      <c r="O630" s="52"/>
      <c r="P630" s="52"/>
    </row>
    <row r="631" spans="3:16" x14ac:dyDescent="0.3">
      <c r="C631" s="13"/>
      <c r="D631" s="53"/>
      <c r="E631" s="15"/>
      <c r="F631" s="15"/>
      <c r="G631" s="50"/>
      <c r="H631" s="15"/>
      <c r="L631"/>
      <c r="O631" s="52"/>
      <c r="P631" s="52"/>
    </row>
    <row r="632" spans="3:16" x14ac:dyDescent="0.3">
      <c r="C632" s="13"/>
      <c r="D632" s="53"/>
      <c r="E632" s="15"/>
      <c r="F632" s="15"/>
      <c r="G632" s="50"/>
      <c r="H632" s="15"/>
      <c r="L632"/>
      <c r="O632" s="52"/>
      <c r="P632" s="52"/>
    </row>
    <row r="633" spans="3:16" x14ac:dyDescent="0.3">
      <c r="C633" s="13"/>
      <c r="D633" s="53"/>
      <c r="E633" s="15"/>
      <c r="F633" s="15"/>
      <c r="G633" s="50"/>
      <c r="H633" s="15"/>
      <c r="L633"/>
      <c r="O633" s="52"/>
      <c r="P633" s="52"/>
    </row>
    <row r="634" spans="3:16" x14ac:dyDescent="0.3">
      <c r="C634" s="13"/>
      <c r="D634" s="53"/>
      <c r="E634" s="15"/>
      <c r="F634" s="15"/>
      <c r="G634" s="50"/>
      <c r="H634" s="15"/>
      <c r="L634"/>
      <c r="O634" s="52"/>
      <c r="P634" s="52"/>
    </row>
    <row r="635" spans="3:16" x14ac:dyDescent="0.3">
      <c r="C635" s="13"/>
      <c r="D635" s="53"/>
      <c r="E635" s="15"/>
      <c r="F635" s="15"/>
      <c r="G635" s="50"/>
      <c r="H635" s="15"/>
      <c r="L635"/>
      <c r="O635" s="52"/>
      <c r="P635" s="52"/>
    </row>
    <row r="636" spans="3:16" x14ac:dyDescent="0.3">
      <c r="C636" s="13"/>
      <c r="D636" s="53"/>
      <c r="E636" s="15"/>
      <c r="F636" s="15"/>
      <c r="G636" s="50"/>
      <c r="H636" s="15"/>
      <c r="L636"/>
      <c r="O636" s="52"/>
      <c r="P636" s="52"/>
    </row>
    <row r="637" spans="3:16" x14ac:dyDescent="0.3">
      <c r="C637" s="13"/>
      <c r="D637" s="53"/>
      <c r="E637" s="15"/>
      <c r="F637" s="15"/>
      <c r="G637" s="50"/>
      <c r="H637" s="15"/>
      <c r="L637"/>
      <c r="O637" s="52"/>
      <c r="P637" s="52"/>
    </row>
    <row r="638" spans="3:16" x14ac:dyDescent="0.3">
      <c r="C638" s="13"/>
      <c r="D638" s="53"/>
      <c r="E638" s="15"/>
      <c r="F638" s="15"/>
      <c r="G638" s="50"/>
      <c r="H638" s="15"/>
      <c r="L638"/>
      <c r="O638" s="52"/>
      <c r="P638" s="52"/>
    </row>
    <row r="639" spans="3:16" x14ac:dyDescent="0.3">
      <c r="C639" s="13"/>
      <c r="D639" s="53"/>
      <c r="E639" s="15"/>
      <c r="F639" s="15"/>
      <c r="G639" s="50"/>
      <c r="H639" s="15"/>
      <c r="L639"/>
      <c r="O639" s="52"/>
      <c r="P639" s="52"/>
    </row>
    <row r="640" spans="3:16" x14ac:dyDescent="0.3">
      <c r="C640" s="13"/>
      <c r="D640" s="53"/>
      <c r="E640" s="15"/>
      <c r="F640" s="15"/>
      <c r="G640" s="50"/>
      <c r="H640" s="15"/>
      <c r="L640"/>
      <c r="O640" s="52"/>
      <c r="P640" s="52"/>
    </row>
    <row r="641" spans="3:16" x14ac:dyDescent="0.3">
      <c r="C641" s="13"/>
      <c r="D641" s="53"/>
      <c r="E641" s="15"/>
      <c r="F641" s="15"/>
      <c r="G641" s="50"/>
      <c r="H641" s="15"/>
      <c r="L641"/>
      <c r="O641" s="52"/>
      <c r="P641" s="52"/>
    </row>
    <row r="642" spans="3:16" x14ac:dyDescent="0.3">
      <c r="C642" s="13"/>
      <c r="D642" s="53"/>
      <c r="E642" s="15"/>
      <c r="F642" s="15"/>
      <c r="G642" s="50"/>
      <c r="H642" s="15"/>
      <c r="L642"/>
      <c r="O642" s="52"/>
      <c r="P642" s="52"/>
    </row>
    <row r="643" spans="3:16" x14ac:dyDescent="0.3">
      <c r="C643" s="13"/>
      <c r="D643" s="53"/>
      <c r="E643" s="15"/>
      <c r="F643" s="15"/>
      <c r="G643" s="50"/>
      <c r="H643" s="15"/>
      <c r="L643"/>
      <c r="O643" s="52"/>
      <c r="P643" s="52"/>
    </row>
    <row r="644" spans="3:16" x14ac:dyDescent="0.3">
      <c r="C644" s="13"/>
      <c r="D644" s="53"/>
      <c r="E644" s="15"/>
      <c r="F644" s="15"/>
      <c r="G644" s="50"/>
      <c r="H644" s="15"/>
      <c r="L644"/>
      <c r="O644" s="52"/>
      <c r="P644" s="52"/>
    </row>
    <row r="645" spans="3:16" x14ac:dyDescent="0.3">
      <c r="C645" s="13"/>
      <c r="D645" s="53"/>
      <c r="E645" s="15"/>
      <c r="F645" s="15"/>
      <c r="G645" s="50"/>
      <c r="H645" s="15"/>
      <c r="L645"/>
      <c r="O645" s="52"/>
      <c r="P645" s="52"/>
    </row>
    <row r="646" spans="3:16" x14ac:dyDescent="0.3">
      <c r="C646" s="13"/>
      <c r="D646" s="53"/>
      <c r="E646" s="15"/>
      <c r="F646" s="15"/>
      <c r="G646" s="50"/>
      <c r="H646" s="15"/>
      <c r="L646"/>
      <c r="O646" s="52"/>
      <c r="P646" s="52"/>
    </row>
    <row r="647" spans="3:16" x14ac:dyDescent="0.3">
      <c r="C647" s="13"/>
      <c r="D647" s="53"/>
      <c r="E647" s="15"/>
      <c r="F647" s="15"/>
      <c r="G647" s="50"/>
      <c r="H647" s="15"/>
      <c r="L647"/>
      <c r="O647" s="52"/>
      <c r="P647" s="52"/>
    </row>
    <row r="648" spans="3:16" x14ac:dyDescent="0.3">
      <c r="C648" s="13"/>
      <c r="D648" s="53"/>
      <c r="E648" s="15"/>
      <c r="F648" s="15"/>
      <c r="G648" s="50"/>
      <c r="H648" s="15"/>
      <c r="L648"/>
      <c r="O648" s="52"/>
      <c r="P648" s="52"/>
    </row>
    <row r="649" spans="3:16" x14ac:dyDescent="0.3">
      <c r="C649" s="13"/>
      <c r="D649" s="53"/>
      <c r="E649" s="15"/>
      <c r="F649" s="15"/>
      <c r="G649" s="50"/>
      <c r="H649" s="15"/>
      <c r="L649"/>
      <c r="O649" s="52"/>
      <c r="P649" s="52"/>
    </row>
    <row r="650" spans="3:16" x14ac:dyDescent="0.3">
      <c r="C650" s="13"/>
      <c r="D650" s="53"/>
      <c r="E650" s="15"/>
      <c r="F650" s="15"/>
      <c r="G650" s="50"/>
      <c r="H650" s="15"/>
      <c r="L650"/>
      <c r="O650" s="52"/>
      <c r="P650" s="52"/>
    </row>
    <row r="651" spans="3:16" x14ac:dyDescent="0.3">
      <c r="C651" s="13"/>
      <c r="D651" s="53"/>
      <c r="E651" s="15"/>
      <c r="F651" s="15"/>
      <c r="G651" s="50"/>
      <c r="H651" s="15"/>
      <c r="L651"/>
      <c r="O651" s="52"/>
      <c r="P651" s="52"/>
    </row>
    <row r="652" spans="3:16" x14ac:dyDescent="0.3">
      <c r="C652" s="13"/>
      <c r="D652" s="53"/>
      <c r="E652" s="15"/>
      <c r="F652" s="15"/>
      <c r="G652" s="50"/>
      <c r="H652" s="15"/>
      <c r="L652"/>
      <c r="O652" s="52"/>
      <c r="P652" s="52"/>
    </row>
    <row r="653" spans="3:16" x14ac:dyDescent="0.3">
      <c r="C653" s="13"/>
      <c r="D653" s="53"/>
      <c r="E653" s="15"/>
      <c r="F653" s="15"/>
      <c r="G653" s="50"/>
      <c r="H653" s="15"/>
      <c r="L653"/>
      <c r="O653" s="52"/>
      <c r="P653" s="52"/>
    </row>
    <row r="654" spans="3:16" x14ac:dyDescent="0.3">
      <c r="C654" s="13"/>
      <c r="D654" s="53"/>
      <c r="E654" s="15"/>
      <c r="F654" s="15"/>
      <c r="G654" s="50"/>
      <c r="H654" s="15"/>
      <c r="L654"/>
      <c r="O654" s="52"/>
      <c r="P654" s="52"/>
    </row>
    <row r="655" spans="3:16" x14ac:dyDescent="0.3">
      <c r="C655" s="13"/>
      <c r="D655" s="53"/>
      <c r="E655" s="15"/>
      <c r="F655" s="15"/>
      <c r="G655" s="50"/>
      <c r="H655" s="15"/>
      <c r="L655"/>
      <c r="O655" s="52"/>
      <c r="P655" s="52"/>
    </row>
    <row r="656" spans="3:16" x14ac:dyDescent="0.3">
      <c r="C656" s="13"/>
      <c r="D656" s="53"/>
      <c r="E656" s="15"/>
      <c r="F656" s="15"/>
      <c r="G656" s="50"/>
      <c r="H656" s="15"/>
      <c r="L656"/>
      <c r="O656" s="52"/>
      <c r="P656" s="52"/>
    </row>
    <row r="657" spans="3:16" x14ac:dyDescent="0.3">
      <c r="C657" s="13"/>
      <c r="D657" s="53"/>
      <c r="E657" s="15"/>
      <c r="F657" s="15"/>
      <c r="G657" s="50"/>
      <c r="H657" s="15"/>
      <c r="L657"/>
      <c r="O657" s="52"/>
      <c r="P657" s="52"/>
    </row>
    <row r="658" spans="3:16" x14ac:dyDescent="0.3">
      <c r="C658" s="13"/>
      <c r="D658" s="53"/>
      <c r="E658" s="15"/>
      <c r="F658" s="15"/>
      <c r="G658" s="50"/>
      <c r="H658" s="15"/>
      <c r="L658"/>
      <c r="O658" s="52"/>
      <c r="P658" s="52"/>
    </row>
    <row r="659" spans="3:16" x14ac:dyDescent="0.3">
      <c r="C659" s="13"/>
      <c r="D659" s="53"/>
      <c r="E659" s="15"/>
      <c r="F659" s="15"/>
      <c r="G659" s="50"/>
      <c r="H659" s="15"/>
      <c r="L659"/>
      <c r="O659" s="52"/>
      <c r="P659" s="52"/>
    </row>
    <row r="660" spans="3:16" x14ac:dyDescent="0.3">
      <c r="C660" s="13"/>
      <c r="D660" s="53"/>
      <c r="E660" s="15"/>
      <c r="F660" s="15"/>
      <c r="G660" s="50"/>
      <c r="H660" s="15"/>
      <c r="L660"/>
      <c r="O660" s="52"/>
      <c r="P660" s="52"/>
    </row>
    <row r="661" spans="3:16" x14ac:dyDescent="0.3">
      <c r="C661" s="13"/>
      <c r="D661" s="53"/>
      <c r="E661" s="15"/>
      <c r="F661" s="15"/>
      <c r="G661" s="50"/>
      <c r="H661" s="15"/>
      <c r="L661"/>
      <c r="O661" s="52"/>
      <c r="P661" s="52"/>
    </row>
    <row r="662" spans="3:16" x14ac:dyDescent="0.3">
      <c r="C662" s="13"/>
      <c r="D662" s="53"/>
      <c r="E662" s="15"/>
      <c r="F662" s="15"/>
      <c r="G662" s="50"/>
      <c r="H662" s="15"/>
      <c r="L662"/>
      <c r="O662" s="52"/>
      <c r="P662" s="52"/>
    </row>
    <row r="663" spans="3:16" x14ac:dyDescent="0.3">
      <c r="C663" s="13"/>
      <c r="D663" s="53"/>
      <c r="E663" s="15"/>
      <c r="F663" s="15"/>
      <c r="G663" s="50"/>
      <c r="H663" s="15"/>
      <c r="L663"/>
      <c r="O663" s="52"/>
      <c r="P663" s="52"/>
    </row>
    <row r="664" spans="3:16" x14ac:dyDescent="0.3">
      <c r="C664" s="13"/>
      <c r="D664" s="53"/>
      <c r="E664" s="15"/>
      <c r="F664" s="15"/>
      <c r="G664" s="50"/>
      <c r="H664" s="15"/>
      <c r="L664"/>
      <c r="O664" s="52"/>
      <c r="P664" s="52"/>
    </row>
    <row r="665" spans="3:16" x14ac:dyDescent="0.3">
      <c r="C665" s="13"/>
      <c r="D665" s="53"/>
      <c r="E665" s="15"/>
      <c r="F665" s="15"/>
      <c r="G665" s="50"/>
      <c r="H665" s="15"/>
      <c r="L665"/>
      <c r="O665" s="52"/>
      <c r="P665" s="52"/>
    </row>
    <row r="666" spans="3:16" x14ac:dyDescent="0.3">
      <c r="C666" s="13"/>
      <c r="D666" s="53"/>
      <c r="E666" s="15"/>
      <c r="F666" s="15"/>
      <c r="G666" s="50"/>
      <c r="H666" s="15"/>
      <c r="L666"/>
      <c r="O666" s="52"/>
      <c r="P666" s="52"/>
    </row>
    <row r="667" spans="3:16" x14ac:dyDescent="0.3">
      <c r="C667" s="13"/>
      <c r="D667" s="53"/>
      <c r="E667" s="15"/>
      <c r="F667" s="15"/>
      <c r="G667" s="50"/>
      <c r="H667" s="15"/>
      <c r="L667"/>
      <c r="O667" s="52"/>
      <c r="P667" s="52"/>
    </row>
    <row r="668" spans="3:16" x14ac:dyDescent="0.3">
      <c r="C668" s="13"/>
      <c r="D668" s="53"/>
      <c r="E668" s="15"/>
      <c r="F668" s="15"/>
      <c r="G668" s="50"/>
      <c r="H668" s="15"/>
      <c r="L668"/>
      <c r="O668" s="52"/>
      <c r="P668" s="52"/>
    </row>
    <row r="669" spans="3:16" x14ac:dyDescent="0.3">
      <c r="C669" s="13"/>
      <c r="D669" s="53"/>
      <c r="E669" s="15"/>
      <c r="F669" s="15"/>
      <c r="G669" s="50"/>
      <c r="H669" s="15"/>
      <c r="L669"/>
      <c r="O669" s="52"/>
      <c r="P669" s="52"/>
    </row>
    <row r="670" spans="3:16" x14ac:dyDescent="0.3">
      <c r="C670" s="13"/>
      <c r="D670" s="53"/>
      <c r="E670" s="15"/>
      <c r="F670" s="15"/>
      <c r="G670" s="50"/>
      <c r="H670" s="15"/>
      <c r="L670"/>
      <c r="O670" s="52"/>
      <c r="P670" s="52"/>
    </row>
    <row r="671" spans="3:16" x14ac:dyDescent="0.3">
      <c r="C671" s="13"/>
      <c r="D671" s="53"/>
      <c r="E671" s="15"/>
      <c r="F671" s="15"/>
      <c r="G671" s="50"/>
      <c r="H671" s="15"/>
      <c r="L671"/>
      <c r="O671" s="52"/>
      <c r="P671" s="52"/>
    </row>
    <row r="672" spans="3:16" x14ac:dyDescent="0.3">
      <c r="C672" s="13"/>
      <c r="D672" s="53"/>
      <c r="E672" s="15"/>
      <c r="F672" s="15"/>
      <c r="G672" s="50"/>
      <c r="H672" s="15"/>
      <c r="L672"/>
      <c r="O672" s="52"/>
      <c r="P672" s="52"/>
    </row>
    <row r="673" spans="3:16" x14ac:dyDescent="0.3">
      <c r="C673" s="13"/>
      <c r="D673" s="53"/>
      <c r="E673" s="15"/>
      <c r="F673" s="15"/>
      <c r="G673" s="50"/>
      <c r="H673" s="15"/>
      <c r="L673"/>
      <c r="O673" s="52"/>
      <c r="P673" s="52"/>
    </row>
    <row r="674" spans="3:16" x14ac:dyDescent="0.3">
      <c r="C674" s="13"/>
      <c r="D674" s="53"/>
      <c r="E674" s="15"/>
      <c r="F674" s="15"/>
      <c r="G674" s="50"/>
      <c r="H674" s="15"/>
      <c r="L674"/>
      <c r="O674" s="52"/>
      <c r="P674" s="52"/>
    </row>
    <row r="675" spans="3:16" x14ac:dyDescent="0.3">
      <c r="C675" s="13"/>
      <c r="D675" s="53"/>
      <c r="E675" s="15"/>
      <c r="F675" s="15"/>
      <c r="G675" s="50"/>
      <c r="H675" s="15"/>
      <c r="L675"/>
      <c r="O675" s="52"/>
      <c r="P675" s="52"/>
    </row>
    <row r="676" spans="3:16" x14ac:dyDescent="0.3">
      <c r="C676" s="13"/>
      <c r="D676" s="53"/>
      <c r="E676" s="15"/>
      <c r="F676" s="15"/>
      <c r="G676" s="50"/>
      <c r="H676" s="15"/>
      <c r="L676"/>
      <c r="O676" s="52"/>
      <c r="P676" s="52"/>
    </row>
    <row r="677" spans="3:16" x14ac:dyDescent="0.3">
      <c r="C677" s="13"/>
      <c r="D677" s="53"/>
      <c r="E677" s="15"/>
      <c r="F677" s="15"/>
      <c r="G677" s="50"/>
      <c r="H677" s="15"/>
      <c r="L677"/>
      <c r="O677" s="52"/>
      <c r="P677" s="52"/>
    </row>
    <row r="678" spans="3:16" x14ac:dyDescent="0.3">
      <c r="C678" s="13"/>
      <c r="D678" s="53"/>
      <c r="E678" s="15"/>
      <c r="F678" s="15"/>
      <c r="G678" s="50"/>
      <c r="H678" s="15"/>
      <c r="L678"/>
      <c r="O678" s="52"/>
      <c r="P678" s="52"/>
    </row>
    <row r="679" spans="3:16" x14ac:dyDescent="0.3">
      <c r="C679" s="13"/>
      <c r="D679" s="53"/>
      <c r="E679" s="15"/>
      <c r="F679" s="15"/>
      <c r="G679" s="50"/>
      <c r="H679" s="15"/>
      <c r="L679"/>
      <c r="O679" s="52"/>
      <c r="P679" s="52"/>
    </row>
    <row r="680" spans="3:16" x14ac:dyDescent="0.3">
      <c r="C680" s="13"/>
      <c r="D680" s="53"/>
      <c r="E680" s="15"/>
      <c r="F680" s="15"/>
      <c r="G680" s="50"/>
      <c r="H680" s="15"/>
      <c r="L680"/>
      <c r="O680" s="52"/>
      <c r="P680" s="52"/>
    </row>
    <row r="681" spans="3:16" x14ac:dyDescent="0.3">
      <c r="C681" s="13"/>
      <c r="D681" s="53"/>
      <c r="E681" s="15"/>
      <c r="F681" s="15"/>
      <c r="G681" s="50"/>
      <c r="H681" s="15"/>
      <c r="L681"/>
      <c r="O681" s="52"/>
      <c r="P681" s="52"/>
    </row>
    <row r="682" spans="3:16" x14ac:dyDescent="0.3">
      <c r="C682" s="13"/>
      <c r="D682" s="53"/>
      <c r="E682" s="15"/>
      <c r="F682" s="15"/>
      <c r="G682" s="50"/>
      <c r="H682" s="15"/>
      <c r="L682"/>
      <c r="O682" s="52"/>
      <c r="P682" s="52"/>
    </row>
    <row r="683" spans="3:16" x14ac:dyDescent="0.3">
      <c r="C683" s="13"/>
      <c r="D683" s="53"/>
      <c r="E683" s="15"/>
      <c r="F683" s="15"/>
      <c r="G683" s="50"/>
      <c r="H683" s="15"/>
      <c r="L683"/>
      <c r="O683" s="52"/>
      <c r="P683" s="52"/>
    </row>
    <row r="684" spans="3:16" x14ac:dyDescent="0.3">
      <c r="C684" s="13"/>
      <c r="D684" s="53"/>
      <c r="E684" s="15"/>
      <c r="F684" s="15"/>
      <c r="G684" s="50"/>
      <c r="H684" s="15"/>
      <c r="L684"/>
      <c r="O684" s="52"/>
      <c r="P684" s="52"/>
    </row>
    <row r="685" spans="3:16" x14ac:dyDescent="0.3">
      <c r="C685" s="13"/>
      <c r="D685" s="53"/>
      <c r="E685" s="15"/>
      <c r="F685" s="15"/>
      <c r="G685" s="50"/>
      <c r="H685" s="15"/>
      <c r="L685"/>
      <c r="O685" s="52"/>
      <c r="P685" s="52"/>
    </row>
    <row r="686" spans="3:16" x14ac:dyDescent="0.3">
      <c r="C686" s="13"/>
      <c r="D686" s="53"/>
      <c r="E686" s="15"/>
      <c r="F686" s="15"/>
      <c r="G686" s="50"/>
      <c r="H686" s="15"/>
      <c r="L686"/>
      <c r="O686" s="52"/>
      <c r="P686" s="52"/>
    </row>
    <row r="687" spans="3:16" x14ac:dyDescent="0.3">
      <c r="C687" s="13"/>
      <c r="D687" s="53"/>
      <c r="E687" s="15"/>
      <c r="F687" s="15"/>
      <c r="G687" s="50"/>
      <c r="H687" s="15"/>
      <c r="L687"/>
      <c r="O687" s="52"/>
      <c r="P687" s="52"/>
    </row>
    <row r="688" spans="3:16" x14ac:dyDescent="0.3">
      <c r="C688" s="13"/>
      <c r="D688" s="53"/>
      <c r="E688" s="15"/>
      <c r="F688" s="15"/>
      <c r="G688" s="50"/>
      <c r="H688" s="15"/>
      <c r="L688"/>
      <c r="O688" s="52"/>
      <c r="P688" s="52"/>
    </row>
    <row r="689" spans="3:16" x14ac:dyDescent="0.3">
      <c r="C689" s="13"/>
      <c r="D689" s="53"/>
      <c r="E689" s="15"/>
      <c r="F689" s="15"/>
      <c r="G689" s="50"/>
      <c r="H689" s="15"/>
      <c r="L689"/>
      <c r="O689" s="52"/>
      <c r="P689" s="52"/>
    </row>
    <row r="690" spans="3:16" x14ac:dyDescent="0.3">
      <c r="C690" s="13"/>
      <c r="D690" s="53"/>
      <c r="E690" s="15"/>
      <c r="F690" s="15"/>
      <c r="G690" s="50"/>
      <c r="H690" s="15"/>
      <c r="L690"/>
      <c r="O690" s="52"/>
      <c r="P690" s="52"/>
    </row>
    <row r="691" spans="3:16" x14ac:dyDescent="0.3">
      <c r="C691" s="13"/>
      <c r="D691" s="53"/>
      <c r="E691" s="15"/>
      <c r="F691" s="15"/>
      <c r="G691" s="50"/>
      <c r="H691" s="15"/>
      <c r="L691"/>
      <c r="O691" s="52"/>
      <c r="P691" s="52"/>
    </row>
    <row r="692" spans="3:16" x14ac:dyDescent="0.3">
      <c r="C692" s="13"/>
      <c r="D692" s="53"/>
      <c r="E692" s="15"/>
      <c r="F692" s="15"/>
      <c r="G692" s="50"/>
      <c r="H692" s="15"/>
      <c r="L692"/>
      <c r="O692" s="52"/>
      <c r="P692" s="52"/>
    </row>
    <row r="693" spans="3:16" x14ac:dyDescent="0.3">
      <c r="C693" s="13"/>
      <c r="D693" s="53"/>
      <c r="E693" s="15"/>
      <c r="F693" s="15"/>
      <c r="G693" s="50"/>
      <c r="H693" s="15"/>
      <c r="L693"/>
      <c r="O693" s="52"/>
      <c r="P693" s="52"/>
    </row>
    <row r="694" spans="3:16" x14ac:dyDescent="0.3">
      <c r="C694" s="13"/>
      <c r="D694" s="53"/>
      <c r="E694" s="15"/>
      <c r="F694" s="15"/>
      <c r="G694" s="50"/>
      <c r="H694" s="15"/>
      <c r="L694"/>
      <c r="O694" s="52"/>
      <c r="P694" s="52"/>
    </row>
    <row r="695" spans="3:16" x14ac:dyDescent="0.3">
      <c r="C695" s="13"/>
      <c r="D695" s="53"/>
      <c r="E695" s="15"/>
      <c r="F695" s="15"/>
      <c r="G695" s="50"/>
      <c r="H695" s="15"/>
      <c r="L695"/>
      <c r="O695" s="52"/>
      <c r="P695" s="52"/>
    </row>
    <row r="696" spans="3:16" x14ac:dyDescent="0.3">
      <c r="C696" s="13"/>
      <c r="D696" s="53"/>
      <c r="E696" s="15"/>
      <c r="F696" s="15"/>
      <c r="G696" s="50"/>
      <c r="H696" s="15"/>
      <c r="L696"/>
      <c r="O696" s="52"/>
      <c r="P696" s="52"/>
    </row>
    <row r="697" spans="3:16" x14ac:dyDescent="0.3">
      <c r="C697" s="13"/>
      <c r="D697" s="53"/>
      <c r="E697" s="15"/>
      <c r="F697" s="15"/>
      <c r="G697" s="50"/>
      <c r="H697" s="15"/>
      <c r="L697"/>
      <c r="O697" s="52"/>
      <c r="P697" s="52"/>
    </row>
    <row r="698" spans="3:16" x14ac:dyDescent="0.3">
      <c r="C698" s="13"/>
      <c r="D698" s="53"/>
      <c r="E698" s="15"/>
      <c r="F698" s="15"/>
      <c r="G698" s="50"/>
      <c r="H698" s="15"/>
      <c r="L698"/>
      <c r="O698" s="52"/>
      <c r="P698" s="52"/>
    </row>
    <row r="699" spans="3:16" x14ac:dyDescent="0.3">
      <c r="C699" s="13"/>
      <c r="D699" s="53"/>
      <c r="E699" s="15"/>
      <c r="F699" s="15"/>
      <c r="G699" s="50"/>
      <c r="H699" s="15"/>
      <c r="L699"/>
      <c r="O699" s="52"/>
      <c r="P699" s="52"/>
    </row>
    <row r="700" spans="3:16" x14ac:dyDescent="0.3">
      <c r="C700" s="13"/>
      <c r="D700" s="53"/>
      <c r="E700" s="15"/>
      <c r="F700" s="15"/>
      <c r="G700" s="50"/>
      <c r="H700" s="15"/>
      <c r="L700"/>
      <c r="O700" s="52"/>
      <c r="P700" s="52"/>
    </row>
    <row r="701" spans="3:16" x14ac:dyDescent="0.3">
      <c r="C701" s="13"/>
      <c r="D701" s="53"/>
      <c r="E701" s="15"/>
      <c r="F701" s="15"/>
      <c r="G701" s="50"/>
      <c r="H701" s="15"/>
      <c r="L701"/>
      <c r="O701" s="52"/>
      <c r="P701" s="52"/>
    </row>
    <row r="702" spans="3:16" x14ac:dyDescent="0.3">
      <c r="C702" s="13"/>
      <c r="D702" s="53"/>
      <c r="E702" s="15"/>
      <c r="F702" s="15"/>
      <c r="G702" s="50"/>
      <c r="H702" s="15"/>
      <c r="L702"/>
      <c r="O702" s="52"/>
      <c r="P702" s="52"/>
    </row>
    <row r="703" spans="3:16" x14ac:dyDescent="0.3">
      <c r="C703" s="13"/>
      <c r="D703" s="53"/>
      <c r="E703" s="15"/>
      <c r="F703" s="15"/>
      <c r="G703" s="50"/>
      <c r="H703" s="15"/>
      <c r="L703"/>
      <c r="O703" s="52"/>
      <c r="P703" s="52"/>
    </row>
    <row r="704" spans="3:16" x14ac:dyDescent="0.3">
      <c r="C704" s="13"/>
      <c r="D704" s="53"/>
      <c r="E704" s="15"/>
      <c r="F704" s="15"/>
      <c r="G704" s="50"/>
      <c r="H704" s="15"/>
      <c r="L704"/>
      <c r="O704" s="52"/>
      <c r="P704" s="52"/>
    </row>
    <row r="705" spans="3:16" x14ac:dyDescent="0.3">
      <c r="C705" s="13"/>
      <c r="D705" s="53"/>
      <c r="E705" s="15"/>
      <c r="F705" s="15"/>
      <c r="G705" s="50"/>
      <c r="H705" s="15"/>
      <c r="L705"/>
      <c r="O705" s="52"/>
      <c r="P705" s="52"/>
    </row>
    <row r="706" spans="3:16" x14ac:dyDescent="0.3">
      <c r="C706" s="13"/>
      <c r="D706" s="53"/>
      <c r="E706" s="15"/>
      <c r="F706" s="15"/>
      <c r="G706" s="50"/>
      <c r="H706" s="15"/>
      <c r="L706"/>
      <c r="O706" s="52"/>
      <c r="P706" s="52"/>
    </row>
    <row r="707" spans="3:16" x14ac:dyDescent="0.3">
      <c r="C707" s="13"/>
      <c r="D707" s="53"/>
      <c r="E707" s="15"/>
      <c r="F707" s="15"/>
      <c r="G707" s="50"/>
      <c r="H707" s="15"/>
      <c r="L707"/>
      <c r="O707" s="52"/>
      <c r="P707" s="52"/>
    </row>
    <row r="708" spans="3:16" x14ac:dyDescent="0.3">
      <c r="C708" s="13"/>
      <c r="D708" s="53"/>
      <c r="E708" s="15"/>
      <c r="F708" s="15"/>
      <c r="G708" s="50"/>
      <c r="H708" s="15"/>
      <c r="L708"/>
      <c r="O708" s="52"/>
      <c r="P708" s="52"/>
    </row>
    <row r="709" spans="3:16" x14ac:dyDescent="0.3">
      <c r="C709" s="13"/>
      <c r="D709" s="53"/>
      <c r="E709" s="15"/>
      <c r="F709" s="15"/>
      <c r="G709" s="50"/>
      <c r="H709" s="15"/>
      <c r="L709"/>
      <c r="O709" s="52"/>
      <c r="P709" s="52"/>
    </row>
    <row r="710" spans="3:16" x14ac:dyDescent="0.3">
      <c r="C710" s="13"/>
      <c r="D710" s="53"/>
      <c r="E710" s="15"/>
      <c r="F710" s="15"/>
      <c r="G710" s="50"/>
      <c r="H710" s="15"/>
      <c r="L710"/>
      <c r="O710" s="52"/>
      <c r="P710" s="52"/>
    </row>
    <row r="711" spans="3:16" x14ac:dyDescent="0.3">
      <c r="C711" s="13"/>
      <c r="D711" s="53"/>
      <c r="E711" s="15"/>
      <c r="F711" s="15"/>
      <c r="G711" s="50"/>
      <c r="H711" s="15"/>
      <c r="L711"/>
      <c r="O711" s="52"/>
      <c r="P711" s="52"/>
    </row>
    <row r="712" spans="3:16" x14ac:dyDescent="0.3">
      <c r="C712" s="13"/>
      <c r="D712" s="53"/>
      <c r="E712" s="15"/>
      <c r="F712" s="15"/>
      <c r="G712" s="50"/>
      <c r="H712" s="15"/>
      <c r="L712"/>
      <c r="O712" s="52"/>
      <c r="P712" s="52"/>
    </row>
    <row r="713" spans="3:16" x14ac:dyDescent="0.3">
      <c r="C713" s="13"/>
      <c r="D713" s="53"/>
      <c r="E713" s="15"/>
      <c r="F713" s="15"/>
      <c r="G713" s="50"/>
      <c r="H713" s="15"/>
      <c r="L713"/>
      <c r="O713" s="52"/>
      <c r="P713" s="52"/>
    </row>
    <row r="714" spans="3:16" x14ac:dyDescent="0.3">
      <c r="C714" s="13"/>
      <c r="D714" s="53"/>
      <c r="E714" s="15"/>
      <c r="F714" s="15"/>
      <c r="G714" s="50"/>
      <c r="H714" s="15"/>
      <c r="L714"/>
      <c r="O714" s="52"/>
      <c r="P714" s="52"/>
    </row>
    <row r="715" spans="3:16" x14ac:dyDescent="0.3">
      <c r="C715" s="13"/>
      <c r="D715" s="53"/>
      <c r="E715" s="15"/>
      <c r="F715" s="15"/>
      <c r="G715" s="50"/>
      <c r="H715" s="15"/>
      <c r="L715"/>
      <c r="O715" s="52"/>
      <c r="P715" s="52"/>
    </row>
    <row r="716" spans="3:16" x14ac:dyDescent="0.3">
      <c r="C716" s="13"/>
      <c r="D716" s="53"/>
      <c r="E716" s="15"/>
      <c r="F716" s="15"/>
      <c r="G716" s="50"/>
      <c r="H716" s="15"/>
      <c r="L716"/>
      <c r="O716" s="52"/>
      <c r="P716" s="52"/>
    </row>
    <row r="717" spans="3:16" x14ac:dyDescent="0.3">
      <c r="C717" s="13"/>
      <c r="D717" s="53"/>
      <c r="E717" s="15"/>
      <c r="F717" s="15"/>
      <c r="G717" s="50"/>
      <c r="H717" s="15"/>
      <c r="L717"/>
      <c r="O717" s="52"/>
      <c r="P717" s="52"/>
    </row>
    <row r="718" spans="3:16" x14ac:dyDescent="0.3">
      <c r="C718" s="13"/>
      <c r="D718" s="53"/>
      <c r="E718" s="15"/>
      <c r="F718" s="15"/>
      <c r="G718" s="50"/>
      <c r="H718" s="15"/>
      <c r="L718"/>
      <c r="O718" s="52"/>
      <c r="P718" s="52"/>
    </row>
    <row r="719" spans="3:16" x14ac:dyDescent="0.3">
      <c r="C719" s="13"/>
      <c r="D719" s="53"/>
      <c r="E719" s="15"/>
      <c r="F719" s="15"/>
      <c r="G719" s="50"/>
      <c r="H719" s="15"/>
      <c r="L719"/>
      <c r="O719" s="52"/>
      <c r="P719" s="52"/>
    </row>
    <row r="720" spans="3:16" x14ac:dyDescent="0.3">
      <c r="C720" s="13"/>
      <c r="D720" s="53"/>
      <c r="E720" s="15"/>
      <c r="F720" s="15"/>
      <c r="G720" s="50"/>
      <c r="H720" s="15"/>
      <c r="L720"/>
      <c r="O720" s="52"/>
      <c r="P720" s="52"/>
    </row>
    <row r="721" spans="3:16" x14ac:dyDescent="0.3">
      <c r="C721" s="13"/>
      <c r="D721" s="53"/>
      <c r="E721" s="15"/>
      <c r="F721" s="15"/>
      <c r="G721" s="50"/>
      <c r="H721" s="15"/>
      <c r="L721"/>
      <c r="O721" s="52"/>
      <c r="P721" s="52"/>
    </row>
    <row r="722" spans="3:16" x14ac:dyDescent="0.3">
      <c r="C722" s="13"/>
      <c r="D722" s="53"/>
      <c r="E722" s="15"/>
      <c r="F722" s="15"/>
      <c r="G722" s="50"/>
      <c r="H722" s="15"/>
      <c r="L722"/>
      <c r="O722" s="52"/>
      <c r="P722" s="52"/>
    </row>
    <row r="723" spans="3:16" x14ac:dyDescent="0.3">
      <c r="C723" s="13"/>
      <c r="D723" s="53"/>
      <c r="E723" s="15"/>
      <c r="F723" s="15"/>
      <c r="G723" s="50"/>
      <c r="H723" s="15"/>
      <c r="L723"/>
      <c r="O723" s="52"/>
      <c r="P723" s="52"/>
    </row>
    <row r="724" spans="3:16" x14ac:dyDescent="0.3">
      <c r="C724" s="13"/>
      <c r="D724" s="53"/>
      <c r="E724" s="15"/>
      <c r="F724" s="15"/>
      <c r="G724" s="50"/>
      <c r="H724" s="15"/>
      <c r="L724"/>
      <c r="O724" s="52"/>
      <c r="P724" s="52"/>
    </row>
    <row r="725" spans="3:16" x14ac:dyDescent="0.3">
      <c r="C725" s="13"/>
      <c r="D725" s="53"/>
      <c r="E725" s="15"/>
      <c r="F725" s="15"/>
      <c r="G725" s="50"/>
      <c r="H725" s="15"/>
      <c r="L725"/>
      <c r="O725" s="52"/>
      <c r="P725" s="52"/>
    </row>
    <row r="726" spans="3:16" x14ac:dyDescent="0.3">
      <c r="C726" s="13"/>
      <c r="D726" s="53"/>
      <c r="E726" s="15"/>
      <c r="F726" s="15"/>
      <c r="G726" s="50"/>
      <c r="H726" s="15"/>
      <c r="L726"/>
      <c r="O726" s="52"/>
      <c r="P726" s="52"/>
    </row>
    <row r="727" spans="3:16" x14ac:dyDescent="0.3">
      <c r="C727" s="13"/>
      <c r="D727" s="53"/>
      <c r="E727" s="15"/>
      <c r="F727" s="15"/>
      <c r="G727" s="50"/>
      <c r="H727" s="15"/>
      <c r="L727"/>
      <c r="O727" s="52"/>
      <c r="P727" s="52"/>
    </row>
    <row r="728" spans="3:16" x14ac:dyDescent="0.3">
      <c r="C728" s="13"/>
      <c r="D728" s="53"/>
      <c r="E728" s="15"/>
      <c r="F728" s="15"/>
      <c r="G728" s="50"/>
      <c r="H728" s="15"/>
      <c r="L728"/>
      <c r="O728" s="52"/>
      <c r="P728" s="52"/>
    </row>
    <row r="729" spans="3:16" x14ac:dyDescent="0.3">
      <c r="C729" s="13"/>
      <c r="D729" s="53"/>
      <c r="E729" s="15"/>
      <c r="F729" s="15"/>
      <c r="G729" s="50"/>
      <c r="H729" s="15"/>
      <c r="L729"/>
      <c r="O729" s="52"/>
      <c r="P729" s="52"/>
    </row>
    <row r="730" spans="3:16" x14ac:dyDescent="0.3">
      <c r="C730" s="13"/>
      <c r="D730" s="53"/>
      <c r="E730" s="15"/>
      <c r="F730" s="15"/>
      <c r="G730" s="50"/>
      <c r="H730" s="15"/>
      <c r="L730"/>
      <c r="O730" s="52"/>
      <c r="P730" s="52"/>
    </row>
    <row r="731" spans="3:16" x14ac:dyDescent="0.3">
      <c r="C731" s="13"/>
      <c r="D731" s="53"/>
      <c r="E731" s="15"/>
      <c r="F731" s="15"/>
      <c r="G731" s="50"/>
      <c r="H731" s="15"/>
      <c r="L731"/>
      <c r="O731" s="52"/>
      <c r="P731" s="52"/>
    </row>
    <row r="732" spans="3:16" x14ac:dyDescent="0.3">
      <c r="C732" s="13"/>
      <c r="D732" s="53"/>
      <c r="E732" s="15"/>
      <c r="F732" s="15"/>
      <c r="G732" s="50"/>
      <c r="H732" s="15"/>
      <c r="L732"/>
      <c r="O732" s="52"/>
      <c r="P732" s="52"/>
    </row>
    <row r="733" spans="3:16" x14ac:dyDescent="0.3">
      <c r="C733" s="13"/>
      <c r="D733" s="53"/>
      <c r="E733" s="15"/>
      <c r="F733" s="15"/>
      <c r="G733" s="50"/>
      <c r="H733" s="15"/>
      <c r="L733"/>
      <c r="O733" s="52"/>
      <c r="P733" s="52"/>
    </row>
    <row r="734" spans="3:16" x14ac:dyDescent="0.3">
      <c r="C734" s="13"/>
      <c r="D734" s="53"/>
      <c r="E734" s="15"/>
      <c r="F734" s="15"/>
      <c r="G734" s="50"/>
      <c r="H734" s="15"/>
      <c r="L734"/>
      <c r="O734" s="52"/>
      <c r="P734" s="52"/>
    </row>
    <row r="735" spans="3:16" x14ac:dyDescent="0.3">
      <c r="C735" s="13"/>
      <c r="D735" s="53"/>
      <c r="E735" s="15"/>
      <c r="F735" s="15"/>
      <c r="G735" s="50"/>
      <c r="H735" s="15"/>
      <c r="L735"/>
      <c r="O735" s="52"/>
      <c r="P735" s="52"/>
    </row>
    <row r="736" spans="3:16" x14ac:dyDescent="0.3">
      <c r="C736" s="13"/>
      <c r="D736" s="53"/>
      <c r="E736" s="15"/>
      <c r="F736" s="15"/>
      <c r="G736" s="50"/>
      <c r="H736" s="15"/>
      <c r="L736"/>
      <c r="O736" s="52"/>
      <c r="P736" s="52"/>
    </row>
    <row r="737" spans="3:16" x14ac:dyDescent="0.3">
      <c r="C737" s="13"/>
      <c r="D737" s="53"/>
      <c r="E737" s="15"/>
      <c r="F737" s="15"/>
      <c r="G737" s="50"/>
      <c r="H737" s="15"/>
      <c r="L737"/>
      <c r="O737" s="52"/>
      <c r="P737" s="52"/>
    </row>
    <row r="738" spans="3:16" x14ac:dyDescent="0.3">
      <c r="C738" s="13"/>
      <c r="D738" s="53"/>
      <c r="E738" s="15"/>
      <c r="F738" s="15"/>
      <c r="G738" s="50"/>
      <c r="H738" s="15"/>
      <c r="L738"/>
      <c r="O738" s="52"/>
      <c r="P738" s="52"/>
    </row>
    <row r="739" spans="3:16" x14ac:dyDescent="0.3">
      <c r="C739" s="13"/>
      <c r="D739" s="53"/>
      <c r="E739" s="15"/>
      <c r="F739" s="15"/>
      <c r="G739" s="50"/>
      <c r="H739" s="15"/>
      <c r="L739"/>
      <c r="O739" s="52"/>
      <c r="P739" s="52"/>
    </row>
    <row r="740" spans="3:16" x14ac:dyDescent="0.3">
      <c r="C740" s="13"/>
      <c r="D740" s="53"/>
      <c r="E740" s="15"/>
      <c r="F740" s="15"/>
      <c r="G740" s="50"/>
      <c r="H740" s="15"/>
      <c r="L740"/>
      <c r="O740" s="52"/>
      <c r="P740" s="52"/>
    </row>
    <row r="741" spans="3:16" x14ac:dyDescent="0.3">
      <c r="C741" s="13"/>
      <c r="D741" s="53"/>
      <c r="E741" s="15"/>
      <c r="F741" s="15"/>
      <c r="G741" s="50"/>
      <c r="H741" s="15"/>
      <c r="L741"/>
      <c r="O741" s="52"/>
      <c r="P741" s="52"/>
    </row>
    <row r="742" spans="3:16" x14ac:dyDescent="0.3">
      <c r="C742" s="13"/>
      <c r="D742" s="53"/>
      <c r="E742" s="15"/>
      <c r="F742" s="15"/>
      <c r="G742" s="50"/>
      <c r="H742" s="15"/>
      <c r="L742"/>
      <c r="O742" s="52"/>
      <c r="P742" s="52"/>
    </row>
    <row r="743" spans="3:16" x14ac:dyDescent="0.3">
      <c r="C743" s="13"/>
      <c r="D743" s="53"/>
      <c r="E743" s="15"/>
      <c r="F743" s="15"/>
      <c r="G743" s="50"/>
      <c r="H743" s="15"/>
      <c r="L743"/>
      <c r="O743" s="52"/>
      <c r="P743" s="52"/>
    </row>
    <row r="744" spans="3:16" x14ac:dyDescent="0.3">
      <c r="C744" s="13"/>
      <c r="D744" s="53"/>
      <c r="E744" s="15"/>
      <c r="F744" s="15"/>
      <c r="G744" s="50"/>
      <c r="H744" s="15"/>
      <c r="L744"/>
      <c r="O744" s="52"/>
      <c r="P744" s="52"/>
    </row>
    <row r="745" spans="3:16" x14ac:dyDescent="0.3">
      <c r="C745" s="13"/>
      <c r="D745" s="53"/>
      <c r="E745" s="15"/>
      <c r="F745" s="15"/>
      <c r="G745" s="50"/>
      <c r="H745" s="15"/>
      <c r="L745"/>
      <c r="O745" s="52"/>
      <c r="P745" s="52"/>
    </row>
    <row r="746" spans="3:16" x14ac:dyDescent="0.3">
      <c r="C746" s="13"/>
      <c r="D746" s="53"/>
      <c r="E746" s="15"/>
      <c r="F746" s="15"/>
      <c r="G746" s="50"/>
      <c r="H746" s="15"/>
      <c r="L746"/>
      <c r="O746" s="52"/>
      <c r="P746" s="52"/>
    </row>
    <row r="747" spans="3:16" x14ac:dyDescent="0.3">
      <c r="C747" s="13"/>
      <c r="D747" s="53"/>
      <c r="E747" s="15"/>
      <c r="F747" s="15"/>
      <c r="G747" s="50"/>
      <c r="H747" s="15"/>
      <c r="L747"/>
      <c r="O747" s="52"/>
      <c r="P747" s="52"/>
    </row>
    <row r="748" spans="3:16" x14ac:dyDescent="0.3">
      <c r="C748" s="13"/>
      <c r="D748" s="53"/>
      <c r="E748" s="15"/>
      <c r="F748" s="15"/>
      <c r="G748" s="50"/>
      <c r="H748" s="15"/>
      <c r="L748"/>
      <c r="O748" s="52"/>
      <c r="P748" s="52"/>
    </row>
    <row r="749" spans="3:16" x14ac:dyDescent="0.3">
      <c r="C749" s="13"/>
      <c r="D749" s="53"/>
      <c r="E749" s="15"/>
      <c r="F749" s="15"/>
      <c r="G749" s="50"/>
      <c r="H749" s="15"/>
      <c r="L749"/>
      <c r="O749" s="52"/>
      <c r="P749" s="52"/>
    </row>
    <row r="750" spans="3:16" x14ac:dyDescent="0.3">
      <c r="C750" s="13"/>
      <c r="D750" s="53"/>
      <c r="E750" s="15"/>
      <c r="F750" s="15"/>
      <c r="G750" s="50"/>
      <c r="H750" s="15"/>
      <c r="L750"/>
      <c r="O750" s="52"/>
      <c r="P750" s="52"/>
    </row>
    <row r="751" spans="3:16" x14ac:dyDescent="0.3">
      <c r="C751" s="13"/>
      <c r="D751" s="53"/>
      <c r="E751" s="15"/>
      <c r="F751" s="15"/>
      <c r="G751" s="50"/>
      <c r="H751" s="15"/>
      <c r="L751"/>
      <c r="O751" s="52"/>
      <c r="P751" s="52"/>
    </row>
    <row r="752" spans="3:16" x14ac:dyDescent="0.3">
      <c r="C752" s="13"/>
      <c r="D752" s="53"/>
      <c r="E752" s="15"/>
      <c r="F752" s="15"/>
      <c r="G752" s="50"/>
      <c r="H752" s="15"/>
      <c r="L752"/>
      <c r="O752" s="52"/>
      <c r="P752" s="52"/>
    </row>
    <row r="753" spans="3:16" x14ac:dyDescent="0.3">
      <c r="C753" s="13"/>
      <c r="D753" s="53"/>
      <c r="E753" s="15"/>
      <c r="F753" s="15"/>
      <c r="G753" s="50"/>
      <c r="H753" s="15"/>
      <c r="L753"/>
      <c r="O753" s="52"/>
      <c r="P753" s="52"/>
    </row>
    <row r="754" spans="3:16" x14ac:dyDescent="0.3">
      <c r="C754" s="13"/>
      <c r="D754" s="53"/>
      <c r="E754" s="15"/>
      <c r="F754" s="15"/>
      <c r="G754" s="50"/>
      <c r="H754" s="15"/>
      <c r="L754"/>
      <c r="O754" s="52"/>
      <c r="P754" s="52"/>
    </row>
    <row r="755" spans="3:16" x14ac:dyDescent="0.3">
      <c r="C755" s="13"/>
      <c r="D755" s="53"/>
      <c r="E755" s="15"/>
      <c r="F755" s="15"/>
      <c r="G755" s="50"/>
      <c r="H755" s="15"/>
      <c r="L755"/>
      <c r="O755" s="52"/>
      <c r="P755" s="52"/>
    </row>
    <row r="756" spans="3:16" x14ac:dyDescent="0.3">
      <c r="C756" s="13"/>
      <c r="D756" s="53"/>
      <c r="E756" s="15"/>
      <c r="F756" s="15"/>
      <c r="G756" s="50"/>
      <c r="H756" s="15"/>
      <c r="L756"/>
      <c r="O756" s="52"/>
      <c r="P756" s="52"/>
    </row>
    <row r="757" spans="3:16" x14ac:dyDescent="0.3">
      <c r="C757" s="13"/>
      <c r="D757" s="53"/>
      <c r="E757" s="15"/>
      <c r="F757" s="15"/>
      <c r="G757" s="50"/>
      <c r="H757" s="15"/>
      <c r="L757"/>
      <c r="O757" s="52"/>
      <c r="P757" s="52"/>
    </row>
    <row r="758" spans="3:16" x14ac:dyDescent="0.3">
      <c r="C758" s="13"/>
      <c r="D758" s="53"/>
      <c r="E758" s="15"/>
      <c r="F758" s="15"/>
      <c r="G758" s="50"/>
      <c r="H758" s="15"/>
      <c r="L758"/>
      <c r="O758" s="52"/>
      <c r="P758" s="52"/>
    </row>
    <row r="759" spans="3:16" x14ac:dyDescent="0.3">
      <c r="C759" s="13"/>
      <c r="D759" s="53"/>
      <c r="E759" s="15"/>
      <c r="F759" s="15"/>
      <c r="G759" s="50"/>
      <c r="H759" s="15"/>
      <c r="L759"/>
      <c r="O759" s="52"/>
      <c r="P759" s="52"/>
    </row>
    <row r="760" spans="3:16" x14ac:dyDescent="0.3">
      <c r="C760" s="13"/>
      <c r="D760" s="53"/>
      <c r="E760" s="15"/>
      <c r="F760" s="15"/>
      <c r="G760" s="50"/>
      <c r="H760" s="15"/>
      <c r="L760"/>
      <c r="O760" s="52"/>
      <c r="P760" s="52"/>
    </row>
    <row r="761" spans="3:16" x14ac:dyDescent="0.3">
      <c r="C761" s="13"/>
      <c r="D761" s="53"/>
      <c r="E761" s="15"/>
      <c r="F761" s="15"/>
      <c r="G761" s="50"/>
      <c r="H761" s="15"/>
      <c r="L761"/>
      <c r="O761" s="52"/>
      <c r="P761" s="52"/>
    </row>
    <row r="762" spans="3:16" x14ac:dyDescent="0.3">
      <c r="C762" s="13"/>
      <c r="D762" s="53"/>
      <c r="E762" s="15"/>
      <c r="F762" s="15"/>
      <c r="G762" s="50"/>
      <c r="H762" s="15"/>
      <c r="L762"/>
      <c r="O762" s="52"/>
      <c r="P762" s="52"/>
    </row>
    <row r="763" spans="3:16" x14ac:dyDescent="0.3">
      <c r="C763" s="13"/>
      <c r="D763" s="53"/>
      <c r="E763" s="15"/>
      <c r="F763" s="15"/>
      <c r="G763" s="50"/>
      <c r="H763" s="15"/>
      <c r="L763"/>
      <c r="O763" s="52"/>
      <c r="P763" s="52"/>
    </row>
    <row r="764" spans="3:16" x14ac:dyDescent="0.3">
      <c r="C764" s="13"/>
      <c r="D764" s="53"/>
      <c r="E764" s="15"/>
      <c r="F764" s="15"/>
      <c r="G764" s="50"/>
      <c r="H764" s="15"/>
      <c r="L764"/>
      <c r="O764" s="52"/>
      <c r="P764" s="52"/>
    </row>
    <row r="765" spans="3:16" x14ac:dyDescent="0.3">
      <c r="C765" s="13"/>
      <c r="D765" s="53"/>
      <c r="E765" s="15"/>
      <c r="F765" s="15"/>
      <c r="G765" s="50"/>
      <c r="H765" s="15"/>
      <c r="L765"/>
      <c r="O765" s="52"/>
      <c r="P765" s="52"/>
    </row>
    <row r="766" spans="3:16" x14ac:dyDescent="0.3">
      <c r="C766" s="13"/>
      <c r="D766" s="53"/>
      <c r="E766" s="15"/>
      <c r="F766" s="15"/>
      <c r="G766" s="50"/>
      <c r="H766" s="15"/>
      <c r="L766"/>
      <c r="O766" s="52"/>
      <c r="P766" s="52"/>
    </row>
    <row r="767" spans="3:16" x14ac:dyDescent="0.3">
      <c r="C767" s="13"/>
      <c r="D767" s="53"/>
      <c r="E767" s="15"/>
      <c r="F767" s="15"/>
      <c r="G767" s="50"/>
      <c r="H767" s="15"/>
      <c r="L767"/>
      <c r="O767" s="52"/>
      <c r="P767" s="52"/>
    </row>
    <row r="768" spans="3:16" x14ac:dyDescent="0.3">
      <c r="C768" s="13"/>
      <c r="D768" s="53"/>
      <c r="E768" s="15"/>
      <c r="F768" s="15"/>
      <c r="G768" s="50"/>
      <c r="H768" s="15"/>
      <c r="L768"/>
      <c r="O768" s="52"/>
      <c r="P768" s="52"/>
    </row>
    <row r="769" spans="3:16" x14ac:dyDescent="0.3">
      <c r="C769" s="13"/>
      <c r="D769" s="53"/>
      <c r="E769" s="15"/>
      <c r="F769" s="15"/>
      <c r="G769" s="50"/>
      <c r="H769" s="15"/>
      <c r="L769"/>
      <c r="O769" s="52"/>
      <c r="P769" s="52"/>
    </row>
    <row r="770" spans="3:16" x14ac:dyDescent="0.3">
      <c r="C770" s="13"/>
      <c r="D770" s="53"/>
      <c r="E770" s="15"/>
      <c r="F770" s="15"/>
      <c r="G770" s="50"/>
      <c r="H770" s="15"/>
      <c r="L770"/>
      <c r="O770" s="52"/>
      <c r="P770" s="52"/>
    </row>
    <row r="771" spans="3:16" x14ac:dyDescent="0.3">
      <c r="C771" s="13"/>
      <c r="D771" s="53"/>
      <c r="E771" s="15"/>
      <c r="F771" s="15"/>
      <c r="G771" s="50"/>
      <c r="H771" s="15"/>
      <c r="L771"/>
      <c r="O771" s="52"/>
      <c r="P771" s="52"/>
    </row>
    <row r="772" spans="3:16" x14ac:dyDescent="0.3">
      <c r="C772" s="13"/>
      <c r="D772" s="53"/>
      <c r="E772" s="15"/>
      <c r="F772" s="15"/>
      <c r="G772" s="50"/>
      <c r="H772" s="15"/>
      <c r="L772"/>
      <c r="O772" s="52"/>
      <c r="P772" s="52"/>
    </row>
    <row r="773" spans="3:16" x14ac:dyDescent="0.3">
      <c r="C773" s="13"/>
      <c r="D773" s="53"/>
      <c r="E773" s="15"/>
      <c r="F773" s="15"/>
      <c r="G773" s="50"/>
      <c r="H773" s="15"/>
      <c r="L773"/>
      <c r="O773" s="52"/>
      <c r="P773" s="52"/>
    </row>
    <row r="774" spans="3:16" x14ac:dyDescent="0.3">
      <c r="C774" s="13"/>
      <c r="D774" s="53"/>
      <c r="E774" s="15"/>
      <c r="F774" s="15"/>
      <c r="G774" s="50"/>
      <c r="H774" s="15"/>
      <c r="L774"/>
      <c r="O774" s="52"/>
      <c r="P774" s="52"/>
    </row>
    <row r="775" spans="3:16" x14ac:dyDescent="0.3">
      <c r="C775" s="13"/>
      <c r="D775" s="53"/>
      <c r="E775" s="15"/>
      <c r="F775" s="15"/>
      <c r="G775" s="50"/>
      <c r="H775" s="15"/>
      <c r="L775"/>
      <c r="O775" s="52"/>
      <c r="P775" s="52"/>
    </row>
    <row r="776" spans="3:16" x14ac:dyDescent="0.3">
      <c r="C776" s="13"/>
      <c r="D776" s="53"/>
      <c r="E776" s="15"/>
      <c r="F776" s="15"/>
      <c r="G776" s="50"/>
      <c r="H776" s="15"/>
      <c r="L776"/>
      <c r="O776" s="52"/>
      <c r="P776" s="52"/>
    </row>
    <row r="777" spans="3:16" x14ac:dyDescent="0.3">
      <c r="C777" s="13"/>
      <c r="D777" s="53"/>
      <c r="E777" s="15"/>
      <c r="F777" s="15"/>
      <c r="G777" s="50"/>
      <c r="H777" s="15"/>
      <c r="L777"/>
      <c r="O777" s="52"/>
      <c r="P777" s="52"/>
    </row>
    <row r="778" spans="3:16" x14ac:dyDescent="0.3">
      <c r="C778" s="13"/>
      <c r="D778" s="53"/>
      <c r="E778" s="15"/>
      <c r="F778" s="15"/>
      <c r="G778" s="50"/>
      <c r="H778" s="15"/>
      <c r="L778"/>
      <c r="O778" s="52"/>
      <c r="P778" s="52"/>
    </row>
    <row r="779" spans="3:16" x14ac:dyDescent="0.3">
      <c r="C779" s="13"/>
      <c r="D779" s="53"/>
      <c r="E779" s="15"/>
      <c r="F779" s="15"/>
      <c r="G779" s="50"/>
      <c r="H779" s="15"/>
      <c r="L779"/>
      <c r="O779" s="52"/>
      <c r="P779" s="52"/>
    </row>
    <row r="780" spans="3:16" x14ac:dyDescent="0.3">
      <c r="C780" s="13"/>
      <c r="D780" s="53"/>
      <c r="E780" s="15"/>
      <c r="F780" s="15"/>
      <c r="G780" s="50"/>
      <c r="H780" s="15"/>
      <c r="L780"/>
      <c r="O780" s="52"/>
      <c r="P780" s="52"/>
    </row>
    <row r="781" spans="3:16" x14ac:dyDescent="0.3">
      <c r="C781" s="13"/>
      <c r="D781" s="53"/>
      <c r="E781" s="15"/>
      <c r="F781" s="15"/>
      <c r="G781" s="50"/>
      <c r="H781" s="15"/>
      <c r="L781"/>
      <c r="O781" s="52"/>
      <c r="P781" s="52"/>
    </row>
    <row r="782" spans="3:16" x14ac:dyDescent="0.3">
      <c r="C782" s="13"/>
      <c r="D782" s="53"/>
      <c r="E782" s="15"/>
      <c r="F782" s="15"/>
      <c r="G782" s="50"/>
      <c r="H782" s="15"/>
      <c r="L782"/>
      <c r="O782" s="52"/>
      <c r="P782" s="52"/>
    </row>
    <row r="783" spans="3:16" x14ac:dyDescent="0.3">
      <c r="C783" s="13"/>
      <c r="D783" s="53"/>
      <c r="E783" s="15"/>
      <c r="F783" s="15"/>
      <c r="G783" s="50"/>
      <c r="H783" s="15"/>
      <c r="L783"/>
      <c r="O783" s="52"/>
      <c r="P783" s="52"/>
    </row>
    <row r="784" spans="3:16" x14ac:dyDescent="0.3">
      <c r="C784" s="13"/>
      <c r="D784" s="53"/>
      <c r="E784" s="15"/>
      <c r="F784" s="15"/>
      <c r="G784" s="50"/>
      <c r="H784" s="15"/>
      <c r="L784"/>
      <c r="O784" s="52"/>
      <c r="P784" s="52"/>
    </row>
    <row r="785" spans="3:16" x14ac:dyDescent="0.3">
      <c r="C785" s="13"/>
      <c r="D785" s="53"/>
      <c r="E785" s="15"/>
      <c r="F785" s="15"/>
      <c r="G785" s="50"/>
      <c r="H785" s="15"/>
      <c r="L785"/>
      <c r="O785" s="52"/>
      <c r="P785" s="52"/>
    </row>
    <row r="786" spans="3:16" x14ac:dyDescent="0.3">
      <c r="C786" s="13"/>
      <c r="D786" s="53"/>
      <c r="E786" s="15"/>
      <c r="F786" s="15"/>
      <c r="G786" s="50"/>
      <c r="H786" s="15"/>
      <c r="L786"/>
      <c r="O786" s="52"/>
      <c r="P786" s="52"/>
    </row>
    <row r="787" spans="3:16" x14ac:dyDescent="0.3">
      <c r="C787" s="13"/>
      <c r="D787" s="53"/>
      <c r="E787" s="15"/>
      <c r="F787" s="15"/>
      <c r="G787" s="50"/>
      <c r="H787" s="15"/>
      <c r="L787"/>
      <c r="O787" s="52"/>
      <c r="P787" s="52"/>
    </row>
    <row r="788" spans="3:16" x14ac:dyDescent="0.3">
      <c r="C788" s="13"/>
      <c r="D788" s="53"/>
      <c r="E788" s="15"/>
      <c r="F788" s="15"/>
      <c r="G788" s="50"/>
      <c r="H788" s="15"/>
      <c r="L788"/>
      <c r="O788" s="52"/>
      <c r="P788" s="52"/>
    </row>
    <row r="789" spans="3:16" x14ac:dyDescent="0.3">
      <c r="C789" s="13"/>
      <c r="D789" s="53"/>
      <c r="E789" s="15"/>
      <c r="F789" s="15"/>
      <c r="G789" s="50"/>
      <c r="H789" s="15"/>
      <c r="L789"/>
      <c r="O789" s="52"/>
      <c r="P789" s="52"/>
    </row>
    <row r="790" spans="3:16" x14ac:dyDescent="0.3">
      <c r="C790" s="13"/>
      <c r="D790" s="53"/>
      <c r="E790" s="15"/>
      <c r="F790" s="15"/>
      <c r="G790" s="50"/>
      <c r="H790" s="15"/>
      <c r="L790"/>
      <c r="O790" s="52"/>
      <c r="P790" s="52"/>
    </row>
    <row r="791" spans="3:16" x14ac:dyDescent="0.3">
      <c r="C791" s="13"/>
      <c r="D791" s="53"/>
      <c r="E791" s="15"/>
      <c r="F791" s="15"/>
      <c r="G791" s="50"/>
      <c r="H791" s="15"/>
      <c r="L791"/>
      <c r="O791" s="52"/>
      <c r="P791" s="52"/>
    </row>
    <row r="792" spans="3:16" x14ac:dyDescent="0.3">
      <c r="C792" s="13"/>
      <c r="D792" s="53"/>
      <c r="E792" s="15"/>
      <c r="F792" s="15"/>
      <c r="G792" s="50"/>
      <c r="H792" s="15"/>
      <c r="L792"/>
      <c r="O792" s="52"/>
      <c r="P792" s="52"/>
    </row>
    <row r="793" spans="3:16" x14ac:dyDescent="0.3">
      <c r="C793" s="13"/>
      <c r="D793" s="53"/>
      <c r="E793" s="15"/>
      <c r="F793" s="15"/>
      <c r="G793" s="50"/>
      <c r="H793" s="15"/>
      <c r="L793"/>
      <c r="O793" s="52"/>
      <c r="P793" s="52"/>
    </row>
    <row r="794" spans="3:16" x14ac:dyDescent="0.3">
      <c r="C794" s="13"/>
      <c r="D794" s="53"/>
      <c r="E794" s="15"/>
      <c r="F794" s="15"/>
      <c r="G794" s="50"/>
      <c r="H794" s="15"/>
      <c r="L794"/>
      <c r="O794" s="52"/>
      <c r="P794" s="52"/>
    </row>
    <row r="795" spans="3:16" x14ac:dyDescent="0.3">
      <c r="C795" s="13"/>
      <c r="D795" s="53"/>
      <c r="E795" s="15"/>
      <c r="F795" s="15"/>
      <c r="G795" s="50"/>
      <c r="H795" s="15"/>
      <c r="L795"/>
      <c r="O795" s="52"/>
      <c r="P795" s="52"/>
    </row>
    <row r="796" spans="3:16" x14ac:dyDescent="0.3">
      <c r="C796" s="13"/>
      <c r="D796" s="53"/>
      <c r="E796" s="15"/>
      <c r="F796" s="15"/>
      <c r="G796" s="50"/>
      <c r="H796" s="15"/>
      <c r="L796"/>
      <c r="O796" s="52"/>
      <c r="P796" s="52"/>
    </row>
    <row r="797" spans="3:16" x14ac:dyDescent="0.3">
      <c r="C797" s="13"/>
      <c r="D797" s="53"/>
      <c r="E797" s="15"/>
      <c r="F797" s="15"/>
      <c r="G797" s="50"/>
      <c r="H797" s="15"/>
      <c r="L797"/>
      <c r="O797" s="52"/>
      <c r="P797" s="52"/>
    </row>
    <row r="798" spans="3:16" x14ac:dyDescent="0.3">
      <c r="C798" s="13"/>
      <c r="D798" s="53"/>
      <c r="E798" s="15"/>
      <c r="F798" s="15"/>
      <c r="G798" s="50"/>
      <c r="H798" s="15"/>
      <c r="L798"/>
      <c r="O798" s="52"/>
      <c r="P798" s="52"/>
    </row>
    <row r="799" spans="3:16" x14ac:dyDescent="0.3">
      <c r="C799" s="13"/>
      <c r="D799" s="53"/>
      <c r="E799" s="15"/>
      <c r="F799" s="15"/>
      <c r="G799" s="50"/>
      <c r="H799" s="15"/>
      <c r="L799"/>
      <c r="O799" s="52"/>
      <c r="P799" s="52"/>
    </row>
    <row r="800" spans="3:16" x14ac:dyDescent="0.3">
      <c r="C800" s="13"/>
      <c r="D800" s="53"/>
      <c r="E800" s="15"/>
      <c r="F800" s="15"/>
      <c r="G800" s="50"/>
      <c r="H800" s="15"/>
      <c r="L800"/>
      <c r="O800" s="52"/>
      <c r="P800" s="52"/>
    </row>
    <row r="801" spans="3:16" x14ac:dyDescent="0.3">
      <c r="C801" s="13"/>
      <c r="D801" s="53"/>
      <c r="E801" s="15"/>
      <c r="F801" s="15"/>
      <c r="G801" s="50"/>
      <c r="H801" s="15"/>
      <c r="L801"/>
      <c r="O801" s="52"/>
      <c r="P801" s="52"/>
    </row>
    <row r="802" spans="3:16" x14ac:dyDescent="0.3">
      <c r="C802" s="13"/>
      <c r="D802" s="53"/>
      <c r="E802" s="15"/>
      <c r="F802" s="15"/>
      <c r="G802" s="50"/>
      <c r="H802" s="15"/>
      <c r="L802"/>
      <c r="O802" s="52"/>
      <c r="P802" s="52"/>
    </row>
    <row r="803" spans="3:16" x14ac:dyDescent="0.3">
      <c r="C803" s="13"/>
      <c r="D803" s="53"/>
      <c r="E803" s="15"/>
      <c r="F803" s="15"/>
      <c r="G803" s="50"/>
      <c r="H803" s="15"/>
      <c r="L803"/>
      <c r="O803" s="52"/>
      <c r="P803" s="52"/>
    </row>
    <row r="804" spans="3:16" x14ac:dyDescent="0.3">
      <c r="C804" s="13"/>
      <c r="D804" s="53"/>
      <c r="E804" s="15"/>
      <c r="F804" s="15"/>
      <c r="G804" s="50"/>
      <c r="H804" s="15"/>
      <c r="L804"/>
      <c r="O804" s="52"/>
      <c r="P804" s="52"/>
    </row>
    <row r="805" spans="3:16" x14ac:dyDescent="0.3">
      <c r="C805" s="13"/>
      <c r="D805" s="53"/>
      <c r="E805" s="15"/>
      <c r="F805" s="15"/>
      <c r="G805" s="50"/>
      <c r="H805" s="15"/>
      <c r="L805"/>
      <c r="O805" s="52"/>
      <c r="P805" s="52"/>
    </row>
    <row r="806" spans="3:16" x14ac:dyDescent="0.3">
      <c r="C806" s="13"/>
      <c r="D806" s="53"/>
      <c r="E806" s="15"/>
      <c r="F806" s="15"/>
      <c r="G806" s="50"/>
      <c r="H806" s="15"/>
      <c r="L806"/>
      <c r="O806" s="52"/>
      <c r="P806" s="52"/>
    </row>
    <row r="807" spans="3:16" x14ac:dyDescent="0.3">
      <c r="C807" s="13"/>
      <c r="D807" s="53"/>
      <c r="E807" s="15"/>
      <c r="F807" s="15"/>
      <c r="G807" s="50"/>
      <c r="H807" s="15"/>
      <c r="L807"/>
      <c r="O807" s="52"/>
      <c r="P807" s="52"/>
    </row>
    <row r="808" spans="3:16" x14ac:dyDescent="0.3">
      <c r="C808" s="13"/>
      <c r="D808" s="53"/>
      <c r="E808" s="15"/>
      <c r="F808" s="15"/>
      <c r="G808" s="50"/>
      <c r="H808" s="15"/>
      <c r="L808"/>
      <c r="O808" s="52"/>
      <c r="P808" s="52"/>
    </row>
    <row r="809" spans="3:16" x14ac:dyDescent="0.3">
      <c r="C809" s="13"/>
      <c r="D809" s="53"/>
      <c r="E809" s="15"/>
      <c r="F809" s="15"/>
      <c r="G809" s="50"/>
      <c r="H809" s="15"/>
      <c r="L809"/>
      <c r="O809" s="52"/>
      <c r="P809" s="52"/>
    </row>
    <row r="810" spans="3:16" x14ac:dyDescent="0.3">
      <c r="C810" s="13"/>
      <c r="D810" s="53"/>
      <c r="E810" s="15"/>
      <c r="F810" s="15"/>
      <c r="G810" s="50"/>
      <c r="H810" s="15"/>
      <c r="L810"/>
      <c r="O810" s="52"/>
      <c r="P810" s="52"/>
    </row>
    <row r="811" spans="3:16" x14ac:dyDescent="0.3">
      <c r="C811" s="13"/>
      <c r="D811" s="53"/>
      <c r="E811" s="15"/>
      <c r="F811" s="15"/>
      <c r="G811" s="50"/>
      <c r="H811" s="15"/>
      <c r="L811"/>
      <c r="O811" s="52"/>
      <c r="P811" s="52"/>
    </row>
    <row r="812" spans="3:16" x14ac:dyDescent="0.3">
      <c r="C812" s="13"/>
      <c r="D812" s="53"/>
      <c r="E812" s="15"/>
      <c r="F812" s="15"/>
      <c r="G812" s="50"/>
      <c r="H812" s="15"/>
      <c r="L812"/>
      <c r="O812" s="52"/>
      <c r="P812" s="52"/>
    </row>
    <row r="813" spans="3:16" x14ac:dyDescent="0.3">
      <c r="C813" s="13"/>
      <c r="D813" s="53"/>
      <c r="E813" s="15"/>
      <c r="F813" s="15"/>
      <c r="G813" s="50"/>
      <c r="H813" s="15"/>
      <c r="L813"/>
      <c r="O813" s="52"/>
      <c r="P813" s="52"/>
    </row>
    <row r="814" spans="3:16" x14ac:dyDescent="0.3">
      <c r="C814" s="13"/>
      <c r="D814" s="53"/>
      <c r="E814" s="15"/>
      <c r="F814" s="15"/>
      <c r="G814" s="50"/>
      <c r="H814" s="15"/>
      <c r="L814"/>
      <c r="O814" s="52"/>
      <c r="P814" s="52"/>
    </row>
    <row r="815" spans="3:16" x14ac:dyDescent="0.3">
      <c r="C815" s="13"/>
      <c r="D815" s="53"/>
      <c r="E815" s="15"/>
      <c r="F815" s="15"/>
      <c r="G815" s="50"/>
      <c r="H815" s="15"/>
      <c r="L815"/>
      <c r="O815" s="52"/>
      <c r="P815" s="52"/>
    </row>
    <row r="816" spans="3:16" x14ac:dyDescent="0.3">
      <c r="C816" s="13"/>
      <c r="D816" s="53"/>
      <c r="E816" s="15"/>
      <c r="F816" s="15"/>
      <c r="G816" s="50"/>
      <c r="H816" s="15"/>
      <c r="L816"/>
      <c r="O816" s="52"/>
      <c r="P816" s="52"/>
    </row>
    <row r="817" spans="3:16" x14ac:dyDescent="0.3">
      <c r="C817" s="13"/>
      <c r="D817" s="53"/>
      <c r="E817" s="15"/>
      <c r="F817" s="15"/>
      <c r="G817" s="50"/>
      <c r="H817" s="15"/>
      <c r="L817"/>
      <c r="O817" s="52"/>
      <c r="P817" s="52"/>
    </row>
    <row r="818" spans="3:16" x14ac:dyDescent="0.3">
      <c r="C818" s="13"/>
      <c r="D818" s="53"/>
      <c r="E818" s="15"/>
      <c r="F818" s="15"/>
      <c r="G818" s="50"/>
      <c r="H818" s="15"/>
      <c r="L818"/>
      <c r="O818" s="52"/>
      <c r="P818" s="52"/>
    </row>
    <row r="819" spans="3:16" x14ac:dyDescent="0.3">
      <c r="C819" s="13"/>
      <c r="D819" s="53"/>
      <c r="E819" s="15"/>
      <c r="F819" s="15"/>
      <c r="G819" s="50"/>
      <c r="H819" s="15"/>
      <c r="L819"/>
      <c r="O819" s="52"/>
      <c r="P819" s="52"/>
    </row>
    <row r="820" spans="3:16" x14ac:dyDescent="0.3">
      <c r="C820" s="13"/>
      <c r="D820" s="53"/>
      <c r="E820" s="15"/>
      <c r="F820" s="15"/>
      <c r="G820" s="50"/>
      <c r="H820" s="15"/>
      <c r="L820"/>
      <c r="O820" s="52"/>
      <c r="P820" s="52"/>
    </row>
    <row r="821" spans="3:16" x14ac:dyDescent="0.3">
      <c r="C821" s="13"/>
      <c r="D821" s="53"/>
      <c r="E821" s="15"/>
      <c r="F821" s="15"/>
      <c r="G821" s="50"/>
      <c r="H821" s="15"/>
      <c r="L821"/>
      <c r="O821" s="52"/>
      <c r="P821" s="52"/>
    </row>
    <row r="822" spans="3:16" x14ac:dyDescent="0.3">
      <c r="C822" s="13"/>
      <c r="D822" s="53"/>
      <c r="E822" s="15"/>
      <c r="F822" s="15"/>
      <c r="G822" s="50"/>
      <c r="H822" s="15"/>
      <c r="L822"/>
      <c r="O822" s="52"/>
      <c r="P822" s="52"/>
    </row>
    <row r="823" spans="3:16" x14ac:dyDescent="0.3">
      <c r="C823" s="13"/>
      <c r="D823" s="53"/>
      <c r="E823" s="15"/>
      <c r="F823" s="15"/>
      <c r="G823" s="50"/>
      <c r="H823" s="15"/>
      <c r="L823"/>
      <c r="O823" s="52"/>
      <c r="P823" s="52"/>
    </row>
    <row r="824" spans="3:16" x14ac:dyDescent="0.3">
      <c r="C824" s="13"/>
      <c r="D824" s="53"/>
      <c r="E824" s="15"/>
      <c r="F824" s="15"/>
      <c r="G824" s="50"/>
      <c r="H824" s="15"/>
      <c r="L824"/>
      <c r="O824" s="52"/>
      <c r="P824" s="52"/>
    </row>
    <row r="825" spans="3:16" x14ac:dyDescent="0.3">
      <c r="C825" s="13"/>
      <c r="D825" s="53"/>
      <c r="E825" s="15"/>
      <c r="F825" s="15"/>
      <c r="G825" s="50"/>
      <c r="H825" s="15"/>
      <c r="L825"/>
      <c r="O825" s="52"/>
      <c r="P825" s="52"/>
    </row>
    <row r="826" spans="3:16" x14ac:dyDescent="0.3">
      <c r="C826" s="13"/>
      <c r="D826" s="53"/>
      <c r="E826" s="15"/>
      <c r="F826" s="15"/>
      <c r="G826" s="50"/>
      <c r="H826" s="15"/>
      <c r="L826"/>
      <c r="O826" s="52"/>
      <c r="P826" s="52"/>
    </row>
    <row r="827" spans="3:16" x14ac:dyDescent="0.3">
      <c r="C827" s="13"/>
      <c r="D827" s="53"/>
      <c r="E827" s="15"/>
      <c r="F827" s="15"/>
      <c r="G827" s="50"/>
      <c r="H827" s="15"/>
      <c r="L827"/>
      <c r="O827" s="52"/>
      <c r="P827" s="52"/>
    </row>
    <row r="828" spans="3:16" x14ac:dyDescent="0.3">
      <c r="C828" s="13"/>
      <c r="D828" s="53"/>
      <c r="E828" s="15"/>
      <c r="F828" s="15"/>
      <c r="G828" s="50"/>
      <c r="H828" s="15"/>
      <c r="L828"/>
      <c r="O828" s="52"/>
      <c r="P828" s="52"/>
    </row>
    <row r="829" spans="3:16" x14ac:dyDescent="0.3">
      <c r="C829" s="13"/>
      <c r="D829" s="53"/>
      <c r="E829" s="15"/>
      <c r="F829" s="15"/>
      <c r="G829" s="50"/>
      <c r="H829" s="15"/>
      <c r="L829"/>
      <c r="O829" s="52"/>
      <c r="P829" s="52"/>
    </row>
    <row r="830" spans="3:16" x14ac:dyDescent="0.3">
      <c r="C830" s="13"/>
      <c r="D830" s="53"/>
      <c r="E830" s="15"/>
      <c r="F830" s="15"/>
      <c r="G830" s="50"/>
      <c r="H830" s="15"/>
      <c r="L830"/>
      <c r="O830" s="52"/>
      <c r="P830" s="52"/>
    </row>
    <row r="831" spans="3:16" x14ac:dyDescent="0.3">
      <c r="C831" s="13"/>
      <c r="D831" s="53"/>
      <c r="E831" s="15"/>
      <c r="F831" s="15"/>
      <c r="G831" s="50"/>
      <c r="H831" s="15"/>
      <c r="L831"/>
      <c r="O831" s="52"/>
      <c r="P831" s="52"/>
    </row>
    <row r="832" spans="3:16" x14ac:dyDescent="0.3">
      <c r="C832" s="13"/>
      <c r="D832" s="53"/>
      <c r="E832" s="15"/>
      <c r="F832" s="15"/>
      <c r="G832" s="50"/>
      <c r="H832" s="15"/>
      <c r="L832"/>
      <c r="O832" s="52"/>
      <c r="P832" s="52"/>
    </row>
    <row r="833" spans="3:16" x14ac:dyDescent="0.3">
      <c r="C833" s="13"/>
      <c r="D833" s="53"/>
      <c r="E833" s="15"/>
      <c r="F833" s="15"/>
      <c r="G833" s="50"/>
      <c r="H833" s="15"/>
      <c r="L833"/>
      <c r="O833" s="52"/>
      <c r="P833" s="52"/>
    </row>
    <row r="834" spans="3:16" x14ac:dyDescent="0.3">
      <c r="C834" s="13"/>
      <c r="D834" s="53"/>
      <c r="E834" s="15"/>
      <c r="F834" s="15"/>
      <c r="G834" s="50"/>
      <c r="H834" s="15"/>
      <c r="L834"/>
      <c r="O834" s="52"/>
      <c r="P834" s="52"/>
    </row>
    <row r="835" spans="3:16" x14ac:dyDescent="0.3">
      <c r="C835" s="13"/>
      <c r="D835" s="53"/>
      <c r="E835" s="15"/>
      <c r="F835" s="15"/>
      <c r="G835" s="50"/>
      <c r="H835" s="15"/>
      <c r="L835"/>
      <c r="O835" s="52"/>
      <c r="P835" s="52"/>
    </row>
    <row r="836" spans="3:16" x14ac:dyDescent="0.3">
      <c r="C836" s="13"/>
      <c r="D836" s="53"/>
      <c r="E836" s="15"/>
      <c r="F836" s="15"/>
      <c r="G836" s="50"/>
      <c r="H836" s="15"/>
      <c r="L836"/>
      <c r="O836" s="52"/>
      <c r="P836" s="52"/>
    </row>
    <row r="837" spans="3:16" x14ac:dyDescent="0.3">
      <c r="C837" s="13"/>
      <c r="D837" s="53"/>
      <c r="E837" s="15"/>
      <c r="F837" s="15"/>
      <c r="G837" s="50"/>
      <c r="H837" s="15"/>
      <c r="L837"/>
      <c r="O837" s="52"/>
      <c r="P837" s="52"/>
    </row>
    <row r="838" spans="3:16" x14ac:dyDescent="0.3">
      <c r="C838" s="13"/>
      <c r="D838" s="53"/>
      <c r="E838" s="15"/>
      <c r="F838" s="15"/>
      <c r="G838" s="50"/>
      <c r="H838" s="15"/>
      <c r="L838"/>
      <c r="O838" s="52"/>
      <c r="P838" s="52"/>
    </row>
    <row r="839" spans="3:16" x14ac:dyDescent="0.3">
      <c r="C839" s="13"/>
      <c r="D839" s="53"/>
      <c r="E839" s="15"/>
      <c r="F839" s="15"/>
      <c r="G839" s="50"/>
      <c r="H839" s="15"/>
      <c r="L839"/>
      <c r="O839" s="52"/>
      <c r="P839" s="52"/>
    </row>
    <row r="840" spans="3:16" x14ac:dyDescent="0.3">
      <c r="C840" s="13"/>
      <c r="D840" s="53"/>
      <c r="E840" s="15"/>
      <c r="F840" s="15"/>
      <c r="G840" s="50"/>
      <c r="H840" s="15"/>
      <c r="L840"/>
      <c r="O840" s="52"/>
      <c r="P840" s="52"/>
    </row>
    <row r="841" spans="3:16" x14ac:dyDescent="0.3">
      <c r="C841" s="13"/>
      <c r="D841" s="53"/>
      <c r="E841" s="15"/>
      <c r="F841" s="15"/>
      <c r="G841" s="50"/>
      <c r="H841" s="15"/>
      <c r="L841"/>
      <c r="O841" s="52"/>
      <c r="P841" s="52"/>
    </row>
    <row r="842" spans="3:16" x14ac:dyDescent="0.3">
      <c r="C842" s="13"/>
      <c r="D842" s="53"/>
      <c r="E842" s="15"/>
      <c r="F842" s="15"/>
      <c r="G842" s="50"/>
      <c r="H842" s="15"/>
      <c r="L842"/>
      <c r="O842" s="52"/>
      <c r="P842" s="52"/>
    </row>
    <row r="843" spans="3:16" x14ac:dyDescent="0.3">
      <c r="C843" s="13"/>
      <c r="D843" s="53"/>
      <c r="E843" s="15"/>
      <c r="F843" s="15"/>
      <c r="G843" s="50"/>
      <c r="H843" s="15"/>
      <c r="L843"/>
      <c r="O843" s="52"/>
      <c r="P843" s="52"/>
    </row>
    <row r="844" spans="3:16" x14ac:dyDescent="0.3">
      <c r="C844" s="13"/>
      <c r="D844" s="53"/>
      <c r="E844" s="15"/>
      <c r="F844" s="15"/>
      <c r="G844" s="50"/>
      <c r="H844" s="15"/>
      <c r="L844"/>
      <c r="O844" s="52"/>
      <c r="P844" s="52"/>
    </row>
    <row r="845" spans="3:16" x14ac:dyDescent="0.3">
      <c r="C845" s="13"/>
      <c r="D845" s="53"/>
      <c r="E845" s="15"/>
      <c r="F845" s="15"/>
      <c r="G845" s="50"/>
      <c r="H845" s="15"/>
      <c r="L845"/>
      <c r="O845" s="52"/>
      <c r="P845" s="52"/>
    </row>
    <row r="846" spans="3:16" x14ac:dyDescent="0.3">
      <c r="C846" s="13"/>
      <c r="D846" s="53"/>
      <c r="E846" s="15"/>
      <c r="F846" s="15"/>
      <c r="G846" s="50"/>
      <c r="H846" s="15"/>
      <c r="L846"/>
      <c r="O846" s="52"/>
      <c r="P846" s="52"/>
    </row>
    <row r="847" spans="3:16" x14ac:dyDescent="0.3">
      <c r="C847" s="13"/>
      <c r="D847" s="53"/>
      <c r="E847" s="15"/>
      <c r="F847" s="15"/>
      <c r="G847" s="50"/>
      <c r="H847" s="15"/>
      <c r="L847"/>
      <c r="O847" s="52"/>
      <c r="P847" s="52"/>
    </row>
    <row r="848" spans="3:16" x14ac:dyDescent="0.3">
      <c r="C848" s="13"/>
      <c r="D848" s="53"/>
      <c r="E848" s="15"/>
      <c r="F848" s="15"/>
      <c r="G848" s="50"/>
      <c r="H848" s="15"/>
      <c r="L848"/>
      <c r="O848" s="52"/>
      <c r="P848" s="52"/>
    </row>
    <row r="849" spans="3:16" x14ac:dyDescent="0.3">
      <c r="C849" s="13"/>
      <c r="D849" s="53"/>
      <c r="E849" s="15"/>
      <c r="F849" s="15"/>
      <c r="G849" s="50"/>
      <c r="H849" s="15"/>
      <c r="L849"/>
      <c r="O849" s="52"/>
      <c r="P849" s="52"/>
    </row>
    <row r="850" spans="3:16" x14ac:dyDescent="0.3">
      <c r="C850" s="13"/>
      <c r="D850" s="53"/>
      <c r="E850" s="15"/>
      <c r="F850" s="15"/>
      <c r="G850" s="50"/>
      <c r="H850" s="15"/>
      <c r="L850"/>
      <c r="O850" s="52"/>
      <c r="P850" s="52"/>
    </row>
    <row r="851" spans="3:16" x14ac:dyDescent="0.3">
      <c r="C851" s="13"/>
      <c r="D851" s="53"/>
      <c r="E851" s="15"/>
      <c r="F851" s="15"/>
      <c r="G851" s="50"/>
      <c r="H851" s="15"/>
      <c r="L851"/>
      <c r="O851" s="52"/>
      <c r="P851" s="52"/>
    </row>
    <row r="852" spans="3:16" x14ac:dyDescent="0.3">
      <c r="C852" s="13"/>
      <c r="D852" s="53"/>
      <c r="E852" s="15"/>
      <c r="F852" s="15"/>
      <c r="G852" s="50"/>
      <c r="H852" s="15"/>
      <c r="L852"/>
      <c r="O852" s="52"/>
      <c r="P852" s="52"/>
    </row>
    <row r="853" spans="3:16" x14ac:dyDescent="0.3">
      <c r="C853" s="13"/>
      <c r="D853" s="53"/>
      <c r="E853" s="15"/>
      <c r="F853" s="15"/>
      <c r="G853" s="50"/>
      <c r="H853" s="15"/>
      <c r="L853"/>
      <c r="O853" s="52"/>
      <c r="P853" s="52"/>
    </row>
    <row r="854" spans="3:16" x14ac:dyDescent="0.3">
      <c r="C854" s="13"/>
      <c r="D854" s="53"/>
      <c r="E854" s="15"/>
      <c r="F854" s="15"/>
      <c r="G854" s="50"/>
      <c r="H854" s="15"/>
      <c r="L854"/>
      <c r="O854" s="52"/>
      <c r="P854" s="52"/>
    </row>
    <row r="855" spans="3:16" x14ac:dyDescent="0.3">
      <c r="C855" s="13"/>
      <c r="D855" s="53"/>
      <c r="E855" s="15"/>
      <c r="F855" s="15"/>
      <c r="G855" s="50"/>
      <c r="H855" s="15"/>
      <c r="L855"/>
      <c r="O855" s="52"/>
      <c r="P855" s="52"/>
    </row>
    <row r="856" spans="3:16" x14ac:dyDescent="0.3">
      <c r="C856" s="13"/>
      <c r="D856" s="53"/>
      <c r="E856" s="15"/>
      <c r="F856" s="15"/>
      <c r="G856" s="50"/>
      <c r="H856" s="15"/>
      <c r="L856"/>
      <c r="O856" s="52"/>
      <c r="P856" s="52"/>
    </row>
    <row r="857" spans="3:16" x14ac:dyDescent="0.3">
      <c r="C857" s="13"/>
      <c r="D857" s="53"/>
      <c r="E857" s="15"/>
      <c r="F857" s="15"/>
      <c r="G857" s="50"/>
      <c r="H857" s="15"/>
      <c r="L857"/>
      <c r="O857" s="52"/>
      <c r="P857" s="52"/>
    </row>
    <row r="858" spans="3:16" x14ac:dyDescent="0.3">
      <c r="C858" s="13"/>
      <c r="D858" s="53"/>
      <c r="E858" s="15"/>
      <c r="F858" s="15"/>
      <c r="G858" s="50"/>
      <c r="H858" s="15"/>
      <c r="L858"/>
      <c r="O858" s="52"/>
      <c r="P858" s="52"/>
    </row>
    <row r="859" spans="3:16" x14ac:dyDescent="0.3">
      <c r="C859" s="13"/>
      <c r="D859" s="53"/>
      <c r="E859" s="15"/>
      <c r="F859" s="15"/>
      <c r="G859" s="50"/>
      <c r="H859" s="15"/>
      <c r="L859"/>
      <c r="O859" s="52"/>
      <c r="P859" s="52"/>
    </row>
    <row r="860" spans="3:16" x14ac:dyDescent="0.3">
      <c r="C860" s="13"/>
      <c r="D860" s="53"/>
      <c r="E860" s="15"/>
      <c r="F860" s="15"/>
      <c r="G860" s="50"/>
      <c r="H860" s="15"/>
      <c r="L860"/>
      <c r="O860" s="52"/>
      <c r="P860" s="52"/>
    </row>
    <row r="861" spans="3:16" x14ac:dyDescent="0.3">
      <c r="C861" s="13"/>
      <c r="D861" s="53"/>
      <c r="E861" s="15"/>
      <c r="F861" s="15"/>
      <c r="G861" s="50"/>
      <c r="H861" s="15"/>
      <c r="L861"/>
      <c r="O861" s="52"/>
      <c r="P861" s="52"/>
    </row>
    <row r="862" spans="3:16" x14ac:dyDescent="0.3">
      <c r="C862" s="13"/>
      <c r="D862" s="53"/>
      <c r="E862" s="15"/>
      <c r="F862" s="15"/>
      <c r="G862" s="50"/>
      <c r="H862" s="15"/>
      <c r="L862"/>
      <c r="O862" s="52"/>
      <c r="P862" s="52"/>
    </row>
    <row r="863" spans="3:16" x14ac:dyDescent="0.3">
      <c r="C863" s="13"/>
      <c r="D863" s="53"/>
      <c r="E863" s="15"/>
      <c r="F863" s="15"/>
      <c r="G863" s="50"/>
      <c r="H863" s="15"/>
      <c r="L863"/>
      <c r="O863" s="52"/>
      <c r="P863" s="52"/>
    </row>
    <row r="864" spans="3:16" x14ac:dyDescent="0.3">
      <c r="C864" s="13"/>
      <c r="D864" s="53"/>
      <c r="E864" s="15"/>
      <c r="F864" s="15"/>
      <c r="G864" s="50"/>
      <c r="H864" s="15"/>
      <c r="L864"/>
      <c r="O864" s="52"/>
      <c r="P864" s="52"/>
    </row>
    <row r="865" spans="3:16" x14ac:dyDescent="0.3">
      <c r="C865" s="13"/>
      <c r="D865" s="53"/>
      <c r="E865" s="15"/>
      <c r="F865" s="15"/>
      <c r="G865" s="50"/>
      <c r="H865" s="15"/>
      <c r="L865"/>
      <c r="O865" s="52"/>
      <c r="P865" s="52"/>
    </row>
    <row r="866" spans="3:16" x14ac:dyDescent="0.3">
      <c r="C866" s="13"/>
      <c r="D866" s="53"/>
      <c r="E866" s="15"/>
      <c r="F866" s="15"/>
      <c r="G866" s="50"/>
      <c r="H866" s="15"/>
      <c r="L866"/>
      <c r="O866" s="52"/>
      <c r="P866" s="52"/>
    </row>
    <row r="867" spans="3:16" x14ac:dyDescent="0.3">
      <c r="C867" s="13"/>
      <c r="D867" s="53"/>
      <c r="E867" s="15"/>
      <c r="F867" s="15"/>
      <c r="G867" s="50"/>
      <c r="H867" s="15"/>
      <c r="L867"/>
      <c r="O867" s="52"/>
      <c r="P867" s="52"/>
    </row>
    <row r="868" spans="3:16" x14ac:dyDescent="0.3">
      <c r="C868" s="13"/>
      <c r="D868" s="53"/>
      <c r="E868" s="15"/>
      <c r="F868" s="15"/>
      <c r="G868" s="50"/>
      <c r="H868" s="15"/>
      <c r="L868"/>
      <c r="O868" s="52"/>
      <c r="P868" s="52"/>
    </row>
    <row r="869" spans="3:16" x14ac:dyDescent="0.3">
      <c r="C869" s="13"/>
      <c r="D869" s="53"/>
      <c r="E869" s="15"/>
      <c r="F869" s="15"/>
      <c r="G869" s="50"/>
      <c r="H869" s="15"/>
      <c r="L869"/>
      <c r="O869" s="52"/>
      <c r="P869" s="52"/>
    </row>
    <row r="870" spans="3:16" x14ac:dyDescent="0.3">
      <c r="C870" s="13"/>
      <c r="D870" s="53"/>
      <c r="E870" s="15"/>
      <c r="F870" s="15"/>
      <c r="G870" s="50"/>
      <c r="H870" s="15"/>
      <c r="L870"/>
      <c r="O870" s="52"/>
      <c r="P870" s="52"/>
    </row>
    <row r="871" spans="3:16" x14ac:dyDescent="0.3">
      <c r="C871" s="13"/>
      <c r="D871" s="53"/>
      <c r="E871" s="15"/>
      <c r="F871" s="15"/>
      <c r="G871" s="50"/>
      <c r="H871" s="15"/>
      <c r="L871"/>
      <c r="O871" s="52"/>
      <c r="P871" s="52"/>
    </row>
    <row r="872" spans="3:16" x14ac:dyDescent="0.3">
      <c r="C872" s="13"/>
      <c r="D872" s="53"/>
      <c r="E872" s="15"/>
      <c r="F872" s="15"/>
      <c r="G872" s="50"/>
      <c r="H872" s="15"/>
      <c r="L872"/>
      <c r="O872" s="52"/>
      <c r="P872" s="52"/>
    </row>
    <row r="873" spans="3:16" x14ac:dyDescent="0.3">
      <c r="C873" s="13"/>
      <c r="D873" s="53"/>
      <c r="E873" s="15"/>
      <c r="F873" s="15"/>
      <c r="G873" s="50"/>
      <c r="H873" s="15"/>
      <c r="L873"/>
      <c r="O873" s="52"/>
      <c r="P873" s="52"/>
    </row>
    <row r="874" spans="3:16" x14ac:dyDescent="0.3">
      <c r="C874" s="13"/>
      <c r="D874" s="53"/>
      <c r="E874" s="15"/>
      <c r="F874" s="15"/>
      <c r="G874" s="50"/>
      <c r="H874" s="15"/>
      <c r="L874"/>
      <c r="O874" s="52"/>
      <c r="P874" s="52"/>
    </row>
    <row r="875" spans="3:16" x14ac:dyDescent="0.3">
      <c r="C875" s="13"/>
      <c r="D875" s="53"/>
      <c r="E875" s="15"/>
      <c r="F875" s="15"/>
      <c r="G875" s="50"/>
      <c r="H875" s="15"/>
      <c r="L875"/>
      <c r="O875" s="52"/>
      <c r="P875" s="52"/>
    </row>
    <row r="876" spans="3:16" x14ac:dyDescent="0.3">
      <c r="C876" s="13"/>
      <c r="D876" s="53"/>
      <c r="E876" s="15"/>
      <c r="F876" s="15"/>
      <c r="G876" s="50"/>
      <c r="H876" s="15"/>
      <c r="L876"/>
      <c r="O876" s="52"/>
      <c r="P876" s="52"/>
    </row>
    <row r="877" spans="3:16" x14ac:dyDescent="0.3">
      <c r="C877" s="13"/>
      <c r="D877" s="53"/>
      <c r="E877" s="15"/>
      <c r="F877" s="15"/>
      <c r="G877" s="50"/>
      <c r="H877" s="15"/>
      <c r="L877"/>
      <c r="O877" s="52"/>
      <c r="P877" s="52"/>
    </row>
    <row r="878" spans="3:16" x14ac:dyDescent="0.3">
      <c r="C878" s="13"/>
      <c r="D878" s="53"/>
      <c r="E878" s="15"/>
      <c r="F878" s="15"/>
      <c r="G878" s="50"/>
      <c r="H878" s="15"/>
      <c r="L878"/>
      <c r="O878" s="52"/>
      <c r="P878" s="52"/>
    </row>
    <row r="879" spans="3:16" x14ac:dyDescent="0.3">
      <c r="C879" s="13"/>
      <c r="D879" s="53"/>
      <c r="E879" s="15"/>
      <c r="F879" s="15"/>
      <c r="G879" s="50"/>
      <c r="H879" s="15"/>
      <c r="L879"/>
      <c r="O879" s="52"/>
      <c r="P879" s="52"/>
    </row>
    <row r="880" spans="3:16" x14ac:dyDescent="0.3">
      <c r="C880" s="13"/>
      <c r="D880" s="53"/>
      <c r="E880" s="15"/>
      <c r="F880" s="15"/>
      <c r="G880" s="50"/>
      <c r="H880" s="15"/>
      <c r="L880"/>
      <c r="O880" s="52"/>
      <c r="P880" s="52"/>
    </row>
    <row r="881" spans="3:16" x14ac:dyDescent="0.3">
      <c r="C881" s="13"/>
      <c r="D881" s="53"/>
      <c r="E881" s="15"/>
      <c r="F881" s="15"/>
      <c r="G881" s="50"/>
      <c r="H881" s="15"/>
      <c r="L881"/>
      <c r="O881" s="52"/>
      <c r="P881" s="52"/>
    </row>
    <row r="882" spans="3:16" x14ac:dyDescent="0.3">
      <c r="C882" s="13"/>
      <c r="D882" s="53"/>
      <c r="E882" s="15"/>
      <c r="F882" s="15"/>
      <c r="G882" s="50"/>
      <c r="H882" s="15"/>
      <c r="L882"/>
      <c r="O882" s="52"/>
      <c r="P882" s="52"/>
    </row>
    <row r="883" spans="3:16" x14ac:dyDescent="0.3">
      <c r="C883" s="13"/>
      <c r="D883" s="53"/>
      <c r="E883" s="15"/>
      <c r="F883" s="15"/>
      <c r="G883" s="50"/>
      <c r="H883" s="15"/>
      <c r="L883"/>
      <c r="O883" s="52"/>
      <c r="P883" s="52"/>
    </row>
    <row r="884" spans="3:16" x14ac:dyDescent="0.3">
      <c r="C884" s="13"/>
      <c r="D884" s="53"/>
      <c r="E884" s="15"/>
      <c r="F884" s="15"/>
      <c r="G884" s="50"/>
      <c r="H884" s="15"/>
      <c r="L884"/>
      <c r="O884" s="52"/>
      <c r="P884" s="52"/>
    </row>
    <row r="885" spans="3:16" x14ac:dyDescent="0.3">
      <c r="C885" s="13"/>
      <c r="D885" s="53"/>
      <c r="E885" s="15"/>
      <c r="F885" s="15"/>
      <c r="G885" s="50"/>
      <c r="H885" s="15"/>
      <c r="L885"/>
      <c r="O885" s="52"/>
      <c r="P885" s="52"/>
    </row>
    <row r="886" spans="3:16" x14ac:dyDescent="0.3">
      <c r="C886" s="13"/>
      <c r="D886" s="53"/>
      <c r="E886" s="15"/>
      <c r="F886" s="15"/>
      <c r="G886" s="50"/>
      <c r="H886" s="15"/>
      <c r="L886"/>
      <c r="O886" s="52"/>
      <c r="P886" s="52"/>
    </row>
    <row r="887" spans="3:16" x14ac:dyDescent="0.3">
      <c r="C887" s="13"/>
      <c r="D887" s="53"/>
      <c r="E887" s="15"/>
      <c r="F887" s="15"/>
      <c r="G887" s="50"/>
      <c r="H887" s="15"/>
      <c r="L887"/>
      <c r="O887" s="52"/>
      <c r="P887" s="52"/>
    </row>
    <row r="888" spans="3:16" x14ac:dyDescent="0.3">
      <c r="C888" s="13"/>
      <c r="D888" s="53"/>
      <c r="E888" s="15"/>
      <c r="F888" s="15"/>
      <c r="G888" s="50"/>
      <c r="H888" s="15"/>
      <c r="L888"/>
      <c r="O888" s="52"/>
      <c r="P888" s="52"/>
    </row>
    <row r="889" spans="3:16" x14ac:dyDescent="0.3">
      <c r="C889" s="13"/>
      <c r="D889" s="53"/>
      <c r="E889" s="15"/>
      <c r="F889" s="15"/>
      <c r="G889" s="50"/>
      <c r="H889" s="15"/>
      <c r="L889"/>
      <c r="O889" s="52"/>
      <c r="P889" s="52"/>
    </row>
    <row r="890" spans="3:16" x14ac:dyDescent="0.3">
      <c r="C890" s="13"/>
      <c r="D890" s="53"/>
      <c r="E890" s="15"/>
      <c r="F890" s="15"/>
      <c r="G890" s="50"/>
      <c r="H890" s="15"/>
      <c r="L890"/>
      <c r="O890" s="52"/>
      <c r="P890" s="52"/>
    </row>
    <row r="891" spans="3:16" x14ac:dyDescent="0.3">
      <c r="C891" s="13"/>
      <c r="D891" s="53"/>
      <c r="E891" s="15"/>
      <c r="F891" s="15"/>
      <c r="G891" s="50"/>
      <c r="H891" s="15"/>
      <c r="L891"/>
      <c r="O891" s="52"/>
      <c r="P891" s="52"/>
    </row>
    <row r="892" spans="3:16" x14ac:dyDescent="0.3">
      <c r="C892" s="13"/>
      <c r="D892" s="53"/>
      <c r="E892" s="15"/>
      <c r="F892" s="15"/>
      <c r="G892" s="50"/>
      <c r="H892" s="15"/>
      <c r="L892"/>
      <c r="O892" s="52"/>
      <c r="P892" s="52"/>
    </row>
    <row r="893" spans="3:16" x14ac:dyDescent="0.3">
      <c r="C893" s="13"/>
      <c r="D893" s="53"/>
      <c r="E893" s="15"/>
      <c r="F893" s="15"/>
      <c r="G893" s="50"/>
      <c r="H893" s="15"/>
      <c r="L893"/>
      <c r="O893" s="52"/>
      <c r="P893" s="52"/>
    </row>
    <row r="894" spans="3:16" x14ac:dyDescent="0.3">
      <c r="C894" s="13"/>
      <c r="D894" s="53"/>
      <c r="E894" s="15"/>
      <c r="F894" s="15"/>
      <c r="G894" s="50"/>
      <c r="H894" s="15"/>
      <c r="L894"/>
      <c r="O894" s="52"/>
      <c r="P894" s="52"/>
    </row>
    <row r="895" spans="3:16" x14ac:dyDescent="0.3">
      <c r="C895" s="13"/>
      <c r="D895" s="53"/>
      <c r="E895" s="15"/>
      <c r="F895" s="15"/>
      <c r="G895" s="50"/>
      <c r="H895" s="15"/>
      <c r="L895"/>
      <c r="O895" s="52"/>
      <c r="P895" s="52"/>
    </row>
    <row r="896" spans="3:16" x14ac:dyDescent="0.3">
      <c r="C896" s="13"/>
      <c r="D896" s="53"/>
      <c r="E896" s="15"/>
      <c r="F896" s="15"/>
      <c r="G896" s="50"/>
      <c r="H896" s="15"/>
      <c r="L896"/>
      <c r="O896" s="52"/>
      <c r="P896" s="52"/>
    </row>
    <row r="897" spans="3:16" x14ac:dyDescent="0.3">
      <c r="C897" s="13"/>
      <c r="D897" s="53"/>
      <c r="E897" s="15"/>
      <c r="F897" s="15"/>
      <c r="G897" s="50"/>
      <c r="H897" s="15"/>
      <c r="L897"/>
      <c r="O897" s="52"/>
      <c r="P897" s="52"/>
    </row>
    <row r="898" spans="3:16" x14ac:dyDescent="0.3">
      <c r="C898" s="13"/>
      <c r="D898" s="53"/>
      <c r="E898" s="15"/>
      <c r="F898" s="15"/>
      <c r="G898" s="50"/>
      <c r="H898" s="15"/>
      <c r="L898"/>
      <c r="O898" s="52"/>
      <c r="P898" s="52"/>
    </row>
    <row r="899" spans="3:16" x14ac:dyDescent="0.3">
      <c r="C899" s="13"/>
      <c r="D899" s="53"/>
      <c r="E899" s="15"/>
      <c r="F899" s="15"/>
      <c r="G899" s="50"/>
      <c r="H899" s="15"/>
      <c r="L899"/>
      <c r="O899" s="52"/>
      <c r="P899" s="52"/>
    </row>
    <row r="900" spans="3:16" x14ac:dyDescent="0.3">
      <c r="C900" s="13"/>
      <c r="D900" s="53"/>
      <c r="E900" s="15"/>
      <c r="F900" s="15"/>
      <c r="G900" s="50"/>
      <c r="H900" s="15"/>
      <c r="L900"/>
      <c r="O900" s="52"/>
      <c r="P900" s="52"/>
    </row>
    <row r="901" spans="3:16" x14ac:dyDescent="0.3">
      <c r="C901" s="13"/>
      <c r="D901" s="53"/>
      <c r="E901" s="15"/>
      <c r="F901" s="15"/>
      <c r="G901" s="50"/>
      <c r="H901" s="15"/>
      <c r="L901"/>
      <c r="O901" s="52"/>
      <c r="P901" s="52"/>
    </row>
    <row r="902" spans="3:16" x14ac:dyDescent="0.3">
      <c r="C902" s="13"/>
      <c r="D902" s="53"/>
      <c r="E902" s="15"/>
      <c r="F902" s="15"/>
      <c r="G902" s="50"/>
      <c r="H902" s="15"/>
      <c r="L902"/>
      <c r="O902" s="52"/>
      <c r="P902" s="52"/>
    </row>
    <row r="903" spans="3:16" x14ac:dyDescent="0.3">
      <c r="C903" s="13"/>
      <c r="D903" s="53"/>
      <c r="E903" s="15"/>
      <c r="F903" s="15"/>
      <c r="G903" s="50"/>
      <c r="H903" s="15"/>
      <c r="L903"/>
      <c r="O903" s="52"/>
      <c r="P903" s="52"/>
    </row>
    <row r="904" spans="3:16" x14ac:dyDescent="0.3">
      <c r="C904" s="13"/>
      <c r="D904" s="53"/>
      <c r="E904" s="15"/>
      <c r="F904" s="15"/>
      <c r="G904" s="50"/>
      <c r="H904" s="15"/>
      <c r="L904"/>
      <c r="O904" s="52"/>
      <c r="P904" s="52"/>
    </row>
    <row r="905" spans="3:16" x14ac:dyDescent="0.3">
      <c r="C905" s="13"/>
      <c r="D905" s="53"/>
      <c r="E905" s="15"/>
      <c r="F905" s="15"/>
      <c r="G905" s="50"/>
      <c r="H905" s="15"/>
      <c r="L905"/>
      <c r="O905" s="52"/>
      <c r="P905" s="52"/>
    </row>
    <row r="906" spans="3:16" x14ac:dyDescent="0.3">
      <c r="C906" s="13"/>
      <c r="D906" s="53"/>
      <c r="E906" s="15"/>
      <c r="F906" s="15"/>
      <c r="G906" s="50"/>
      <c r="H906" s="15"/>
      <c r="L906"/>
      <c r="O906" s="52"/>
      <c r="P906" s="52"/>
    </row>
    <row r="907" spans="3:16" x14ac:dyDescent="0.3">
      <c r="C907" s="13"/>
      <c r="D907" s="53"/>
      <c r="E907" s="15"/>
      <c r="F907" s="15"/>
      <c r="G907" s="50"/>
      <c r="H907" s="15"/>
      <c r="L907"/>
      <c r="O907" s="52"/>
      <c r="P907" s="52"/>
    </row>
    <row r="908" spans="3:16" x14ac:dyDescent="0.3">
      <c r="C908" s="13"/>
      <c r="D908" s="53"/>
      <c r="E908" s="15"/>
      <c r="F908" s="15"/>
      <c r="G908" s="50"/>
      <c r="H908" s="15"/>
      <c r="L908"/>
      <c r="O908" s="52"/>
      <c r="P908" s="52"/>
    </row>
    <row r="909" spans="3:16" x14ac:dyDescent="0.3">
      <c r="C909" s="13"/>
      <c r="D909" s="53"/>
      <c r="E909" s="15"/>
      <c r="F909" s="15"/>
      <c r="G909" s="50"/>
      <c r="H909" s="15"/>
      <c r="L909"/>
      <c r="O909" s="52"/>
      <c r="P909" s="52"/>
    </row>
    <row r="910" spans="3:16" x14ac:dyDescent="0.3">
      <c r="C910" s="13"/>
      <c r="D910" s="53"/>
      <c r="E910" s="15"/>
      <c r="F910" s="15"/>
      <c r="G910" s="50"/>
      <c r="H910" s="15"/>
      <c r="L910"/>
      <c r="O910" s="52"/>
      <c r="P910" s="52"/>
    </row>
    <row r="911" spans="3:16" x14ac:dyDescent="0.3">
      <c r="C911" s="13"/>
      <c r="D911" s="53"/>
      <c r="E911" s="15"/>
      <c r="F911" s="15"/>
      <c r="G911" s="50"/>
      <c r="H911" s="15"/>
      <c r="L911"/>
      <c r="O911" s="52"/>
      <c r="P911" s="52"/>
    </row>
    <row r="912" spans="3:16" x14ac:dyDescent="0.3">
      <c r="C912" s="13"/>
      <c r="D912" s="53"/>
      <c r="E912" s="15"/>
      <c r="F912" s="15"/>
      <c r="G912" s="50"/>
      <c r="H912" s="15"/>
      <c r="L912"/>
      <c r="O912" s="52"/>
      <c r="P912" s="52"/>
    </row>
    <row r="913" spans="3:16" x14ac:dyDescent="0.3">
      <c r="C913" s="13"/>
      <c r="D913" s="53"/>
      <c r="E913" s="15"/>
      <c r="F913" s="15"/>
      <c r="G913" s="50"/>
      <c r="H913" s="15"/>
      <c r="L913"/>
      <c r="O913" s="52"/>
      <c r="P913" s="52"/>
    </row>
    <row r="914" spans="3:16" x14ac:dyDescent="0.3">
      <c r="C914" s="13"/>
      <c r="D914" s="53"/>
      <c r="E914" s="15"/>
      <c r="F914" s="15"/>
      <c r="G914" s="50"/>
      <c r="H914" s="15"/>
      <c r="L914"/>
      <c r="O914" s="52"/>
      <c r="P914" s="52"/>
    </row>
    <row r="915" spans="3:16" x14ac:dyDescent="0.3">
      <c r="C915" s="13"/>
      <c r="D915" s="53"/>
      <c r="E915" s="15"/>
      <c r="F915" s="15"/>
      <c r="G915" s="50"/>
      <c r="H915" s="15"/>
      <c r="L915"/>
      <c r="O915" s="52"/>
      <c r="P915" s="52"/>
    </row>
    <row r="916" spans="3:16" x14ac:dyDescent="0.3">
      <c r="C916" s="13"/>
      <c r="D916" s="53"/>
      <c r="E916" s="15"/>
      <c r="F916" s="15"/>
      <c r="G916" s="50"/>
      <c r="H916" s="15"/>
      <c r="L916"/>
      <c r="O916" s="52"/>
      <c r="P916" s="52"/>
    </row>
    <row r="917" spans="3:16" x14ac:dyDescent="0.3">
      <c r="C917" s="13"/>
      <c r="D917" s="53"/>
      <c r="E917" s="15"/>
      <c r="F917" s="15"/>
      <c r="G917" s="50"/>
      <c r="H917" s="15"/>
      <c r="L917"/>
      <c r="O917" s="52"/>
      <c r="P917" s="52"/>
    </row>
    <row r="918" spans="3:16" x14ac:dyDescent="0.3">
      <c r="C918" s="13"/>
      <c r="D918" s="53"/>
      <c r="E918" s="15"/>
      <c r="F918" s="15"/>
      <c r="G918" s="50"/>
      <c r="H918" s="15"/>
      <c r="L918"/>
      <c r="O918" s="52"/>
      <c r="P918" s="52"/>
    </row>
    <row r="919" spans="3:16" x14ac:dyDescent="0.3">
      <c r="C919" s="13"/>
      <c r="D919" s="53"/>
      <c r="E919" s="15"/>
      <c r="F919" s="15"/>
      <c r="G919" s="50"/>
      <c r="H919" s="15"/>
      <c r="L919"/>
      <c r="O919" s="52"/>
      <c r="P919" s="52"/>
    </row>
    <row r="920" spans="3:16" x14ac:dyDescent="0.3">
      <c r="C920" s="13"/>
      <c r="D920" s="53"/>
      <c r="E920" s="15"/>
      <c r="F920" s="15"/>
      <c r="G920" s="50"/>
      <c r="H920" s="15"/>
      <c r="L920"/>
      <c r="O920" s="52"/>
      <c r="P920" s="52"/>
    </row>
    <row r="921" spans="3:16" x14ac:dyDescent="0.3">
      <c r="C921" s="13"/>
      <c r="D921" s="53"/>
      <c r="E921" s="15"/>
      <c r="F921" s="15"/>
      <c r="G921" s="50"/>
      <c r="H921" s="15"/>
      <c r="L921"/>
      <c r="O921" s="52"/>
      <c r="P921" s="52"/>
    </row>
    <row r="922" spans="3:16" x14ac:dyDescent="0.3">
      <c r="C922" s="13"/>
      <c r="D922" s="53"/>
      <c r="E922" s="15"/>
      <c r="F922" s="15"/>
      <c r="G922" s="50"/>
      <c r="H922" s="15"/>
      <c r="L922"/>
      <c r="O922" s="52"/>
      <c r="P922" s="52"/>
    </row>
    <row r="923" spans="3:16" x14ac:dyDescent="0.3">
      <c r="C923" s="13"/>
      <c r="D923" s="53"/>
      <c r="E923" s="15"/>
      <c r="F923" s="15"/>
      <c r="G923" s="50"/>
      <c r="H923" s="15"/>
      <c r="L923"/>
      <c r="O923" s="52"/>
      <c r="P923" s="52"/>
    </row>
    <row r="924" spans="3:16" x14ac:dyDescent="0.3">
      <c r="C924" s="13"/>
      <c r="D924" s="53"/>
      <c r="E924" s="15"/>
      <c r="F924" s="15"/>
      <c r="G924" s="50"/>
      <c r="H924" s="15"/>
      <c r="L924"/>
      <c r="O924" s="52"/>
      <c r="P924" s="52"/>
    </row>
    <row r="925" spans="3:16" x14ac:dyDescent="0.3">
      <c r="C925" s="13"/>
      <c r="D925" s="53"/>
      <c r="E925" s="15"/>
      <c r="F925" s="15"/>
      <c r="G925" s="50"/>
      <c r="H925" s="15"/>
      <c r="L925"/>
      <c r="O925" s="52"/>
      <c r="P925" s="52"/>
    </row>
    <row r="926" spans="3:16" x14ac:dyDescent="0.3">
      <c r="C926" s="13"/>
      <c r="D926" s="53"/>
      <c r="E926" s="15"/>
      <c r="F926" s="15"/>
      <c r="G926" s="50"/>
      <c r="H926" s="15"/>
      <c r="L926"/>
      <c r="O926" s="52"/>
      <c r="P926" s="52"/>
    </row>
    <row r="927" spans="3:16" x14ac:dyDescent="0.3">
      <c r="C927" s="13"/>
      <c r="D927" s="53"/>
      <c r="E927" s="15"/>
      <c r="F927" s="15"/>
      <c r="G927" s="50"/>
      <c r="H927" s="15"/>
      <c r="L927"/>
      <c r="O927" s="52"/>
      <c r="P927" s="52"/>
    </row>
    <row r="928" spans="3:16" x14ac:dyDescent="0.3">
      <c r="C928" s="13"/>
      <c r="D928" s="53"/>
      <c r="E928" s="15"/>
      <c r="F928" s="15"/>
      <c r="G928" s="50"/>
      <c r="H928" s="15"/>
      <c r="L928"/>
      <c r="O928" s="52"/>
      <c r="P928" s="52"/>
    </row>
    <row r="929" spans="3:16" x14ac:dyDescent="0.3">
      <c r="C929" s="13"/>
      <c r="D929" s="53"/>
      <c r="E929" s="15"/>
      <c r="F929" s="15"/>
      <c r="G929" s="50"/>
      <c r="H929" s="15"/>
      <c r="L929"/>
      <c r="O929" s="52"/>
      <c r="P929" s="52"/>
    </row>
    <row r="930" spans="3:16" x14ac:dyDescent="0.3">
      <c r="C930" s="13"/>
      <c r="D930" s="53"/>
      <c r="E930" s="15"/>
      <c r="F930" s="15"/>
      <c r="G930" s="50"/>
      <c r="H930" s="15"/>
      <c r="L930"/>
      <c r="O930" s="52"/>
      <c r="P930" s="52"/>
    </row>
    <row r="931" spans="3:16" x14ac:dyDescent="0.3">
      <c r="C931" s="13"/>
      <c r="D931" s="53"/>
      <c r="E931" s="15"/>
      <c r="F931" s="15"/>
      <c r="G931" s="50"/>
      <c r="H931" s="15"/>
      <c r="L931"/>
      <c r="O931" s="52"/>
      <c r="P931" s="52"/>
    </row>
    <row r="932" spans="3:16" x14ac:dyDescent="0.3">
      <c r="C932" s="13"/>
      <c r="D932" s="53"/>
      <c r="E932" s="15"/>
      <c r="F932" s="15"/>
      <c r="G932" s="50"/>
      <c r="H932" s="15"/>
      <c r="L932"/>
      <c r="O932" s="52"/>
      <c r="P932" s="52"/>
    </row>
    <row r="933" spans="3:16" x14ac:dyDescent="0.3">
      <c r="C933" s="13"/>
      <c r="D933" s="53"/>
      <c r="E933" s="15"/>
      <c r="F933" s="15"/>
      <c r="G933" s="50"/>
      <c r="H933" s="15"/>
      <c r="L933"/>
      <c r="O933" s="52"/>
      <c r="P933" s="52"/>
    </row>
    <row r="934" spans="3:16" x14ac:dyDescent="0.3">
      <c r="C934" s="13"/>
      <c r="D934" s="53"/>
      <c r="E934" s="15"/>
      <c r="F934" s="15"/>
      <c r="G934" s="50"/>
      <c r="H934" s="15"/>
      <c r="L934"/>
      <c r="O934" s="52"/>
      <c r="P934" s="52"/>
    </row>
    <row r="935" spans="3:16" x14ac:dyDescent="0.3">
      <c r="C935" s="13"/>
      <c r="D935" s="53"/>
      <c r="E935" s="15"/>
      <c r="F935" s="15"/>
      <c r="G935" s="50"/>
      <c r="H935" s="15"/>
      <c r="L935"/>
      <c r="O935" s="52"/>
      <c r="P935" s="52"/>
    </row>
    <row r="936" spans="3:16" x14ac:dyDescent="0.3">
      <c r="C936" s="13"/>
      <c r="D936" s="53"/>
      <c r="E936" s="15"/>
      <c r="F936" s="15"/>
      <c r="G936" s="50"/>
      <c r="H936" s="15"/>
      <c r="L936"/>
      <c r="O936" s="52"/>
      <c r="P936" s="52"/>
    </row>
    <row r="937" spans="3:16" x14ac:dyDescent="0.3">
      <c r="C937" s="13"/>
      <c r="D937" s="53"/>
      <c r="E937" s="15"/>
      <c r="F937" s="15"/>
      <c r="G937" s="50"/>
      <c r="H937" s="15"/>
      <c r="L937"/>
      <c r="O937" s="52"/>
      <c r="P937" s="52"/>
    </row>
    <row r="938" spans="3:16" x14ac:dyDescent="0.3">
      <c r="C938" s="13"/>
      <c r="D938" s="53"/>
      <c r="E938" s="15"/>
      <c r="F938" s="15"/>
      <c r="G938" s="50"/>
      <c r="H938" s="15"/>
      <c r="L938"/>
      <c r="O938" s="52"/>
      <c r="P938" s="52"/>
    </row>
    <row r="939" spans="3:16" x14ac:dyDescent="0.3">
      <c r="C939" s="13"/>
      <c r="D939" s="53"/>
      <c r="E939" s="15"/>
      <c r="F939" s="15"/>
      <c r="G939" s="50"/>
      <c r="H939" s="15"/>
      <c r="L939"/>
      <c r="O939" s="52"/>
      <c r="P939" s="52"/>
    </row>
    <row r="940" spans="3:16" x14ac:dyDescent="0.3">
      <c r="C940" s="13"/>
      <c r="D940" s="53"/>
      <c r="E940" s="15"/>
      <c r="F940" s="15"/>
      <c r="G940" s="50"/>
      <c r="H940" s="15"/>
      <c r="L940"/>
      <c r="O940" s="52"/>
      <c r="P940" s="52"/>
    </row>
    <row r="941" spans="3:16" x14ac:dyDescent="0.3">
      <c r="C941" s="13"/>
      <c r="D941" s="53"/>
      <c r="E941" s="15"/>
      <c r="F941" s="15"/>
      <c r="G941" s="50"/>
      <c r="H941" s="15"/>
      <c r="L941"/>
      <c r="O941" s="52"/>
      <c r="P941" s="52"/>
    </row>
    <row r="942" spans="3:16" x14ac:dyDescent="0.3">
      <c r="C942" s="13"/>
      <c r="D942" s="53"/>
      <c r="E942" s="15"/>
      <c r="F942" s="15"/>
      <c r="G942" s="50"/>
      <c r="H942" s="15"/>
      <c r="L942"/>
      <c r="O942" s="52"/>
      <c r="P942" s="52"/>
    </row>
    <row r="943" spans="3:16" x14ac:dyDescent="0.3">
      <c r="C943" s="13"/>
      <c r="D943" s="53"/>
      <c r="E943" s="15"/>
      <c r="F943" s="15"/>
      <c r="G943" s="50"/>
      <c r="H943" s="15"/>
      <c r="L943"/>
      <c r="O943" s="52"/>
      <c r="P943" s="52"/>
    </row>
    <row r="944" spans="3:16" x14ac:dyDescent="0.3">
      <c r="C944" s="13"/>
      <c r="D944" s="53"/>
      <c r="E944" s="15"/>
      <c r="F944" s="15"/>
      <c r="G944" s="50"/>
      <c r="H944" s="15"/>
      <c r="L944"/>
      <c r="O944" s="52"/>
      <c r="P944" s="52"/>
    </row>
    <row r="945" spans="3:16" x14ac:dyDescent="0.3">
      <c r="C945" s="13"/>
      <c r="D945" s="53"/>
      <c r="E945" s="15"/>
      <c r="F945" s="15"/>
      <c r="G945" s="50"/>
      <c r="H945" s="15"/>
      <c r="L945"/>
      <c r="O945" s="52"/>
      <c r="P945" s="52"/>
    </row>
    <row r="946" spans="3:16" x14ac:dyDescent="0.3">
      <c r="C946" s="13"/>
      <c r="D946" s="53"/>
      <c r="E946" s="15"/>
      <c r="F946" s="15"/>
      <c r="G946" s="50"/>
      <c r="H946" s="15"/>
      <c r="L946"/>
      <c r="O946" s="52"/>
      <c r="P946" s="52"/>
    </row>
    <row r="947" spans="3:16" x14ac:dyDescent="0.3">
      <c r="C947" s="13"/>
      <c r="D947" s="53"/>
      <c r="E947" s="15"/>
      <c r="F947" s="15"/>
      <c r="G947" s="50"/>
      <c r="H947" s="15"/>
      <c r="L947"/>
      <c r="O947" s="52"/>
      <c r="P947" s="52"/>
    </row>
    <row r="948" spans="3:16" x14ac:dyDescent="0.3">
      <c r="C948" s="13"/>
      <c r="D948" s="53"/>
      <c r="E948" s="15"/>
      <c r="F948" s="15"/>
      <c r="G948" s="50"/>
      <c r="H948" s="15"/>
      <c r="L948"/>
      <c r="O948" s="52"/>
      <c r="P948" s="52"/>
    </row>
    <row r="949" spans="3:16" x14ac:dyDescent="0.3">
      <c r="C949" s="13"/>
      <c r="D949" s="53"/>
      <c r="E949" s="15"/>
      <c r="F949" s="15"/>
      <c r="G949" s="50"/>
      <c r="H949" s="15"/>
      <c r="L949"/>
      <c r="O949" s="52"/>
      <c r="P949" s="52"/>
    </row>
    <row r="950" spans="3:16" x14ac:dyDescent="0.3">
      <c r="C950" s="13"/>
      <c r="D950" s="53"/>
      <c r="E950" s="15"/>
      <c r="F950" s="15"/>
      <c r="G950" s="50"/>
      <c r="H950" s="15"/>
      <c r="L950"/>
      <c r="O950" s="52"/>
      <c r="P950" s="52"/>
    </row>
    <row r="951" spans="3:16" x14ac:dyDescent="0.3">
      <c r="C951" s="13"/>
      <c r="D951" s="53"/>
      <c r="E951" s="15"/>
      <c r="F951" s="15"/>
      <c r="G951" s="50"/>
      <c r="H951" s="15"/>
      <c r="L951"/>
      <c r="O951" s="52"/>
      <c r="P951" s="52"/>
    </row>
    <row r="952" spans="3:16" x14ac:dyDescent="0.3">
      <c r="C952" s="13"/>
      <c r="D952" s="53"/>
      <c r="E952" s="15"/>
      <c r="F952" s="15"/>
      <c r="G952" s="50"/>
      <c r="H952" s="15"/>
      <c r="L952"/>
      <c r="O952" s="52"/>
      <c r="P952" s="52"/>
    </row>
    <row r="953" spans="3:16" x14ac:dyDescent="0.3">
      <c r="C953" s="13"/>
      <c r="D953" s="53"/>
      <c r="E953" s="15"/>
      <c r="F953" s="15"/>
      <c r="G953" s="50"/>
      <c r="H953" s="15"/>
      <c r="L953"/>
      <c r="O953" s="52"/>
      <c r="P953" s="52"/>
    </row>
    <row r="954" spans="3:16" x14ac:dyDescent="0.3">
      <c r="C954" s="13"/>
      <c r="D954" s="53"/>
      <c r="E954" s="15"/>
      <c r="F954" s="15"/>
      <c r="G954" s="50"/>
      <c r="H954" s="15"/>
      <c r="L954"/>
      <c r="O954" s="52"/>
      <c r="P954" s="52"/>
    </row>
    <row r="955" spans="3:16" x14ac:dyDescent="0.3">
      <c r="C955" s="13"/>
      <c r="D955" s="53"/>
      <c r="E955" s="15"/>
      <c r="F955" s="15"/>
      <c r="G955" s="50"/>
      <c r="H955" s="15"/>
      <c r="L955"/>
      <c r="O955" s="52"/>
      <c r="P955" s="52"/>
    </row>
    <row r="956" spans="3:16" x14ac:dyDescent="0.3">
      <c r="C956" s="13"/>
      <c r="D956" s="53"/>
      <c r="E956" s="15"/>
      <c r="F956" s="15"/>
      <c r="G956" s="50"/>
      <c r="H956" s="15"/>
      <c r="L956"/>
      <c r="O956" s="52"/>
      <c r="P956" s="52"/>
    </row>
    <row r="957" spans="3:16" x14ac:dyDescent="0.3">
      <c r="C957" s="13"/>
      <c r="D957" s="53"/>
      <c r="E957" s="15"/>
      <c r="F957" s="15"/>
      <c r="G957" s="50"/>
      <c r="H957" s="15"/>
      <c r="L957"/>
      <c r="O957" s="52"/>
      <c r="P957" s="52"/>
    </row>
    <row r="958" spans="3:16" x14ac:dyDescent="0.3">
      <c r="C958" s="13"/>
      <c r="D958" s="53"/>
      <c r="E958" s="15"/>
      <c r="F958" s="15"/>
      <c r="G958" s="50"/>
      <c r="H958" s="15"/>
      <c r="L958"/>
      <c r="O958" s="52"/>
      <c r="P958" s="52"/>
    </row>
    <row r="959" spans="3:16" x14ac:dyDescent="0.3">
      <c r="C959" s="13"/>
      <c r="D959" s="53"/>
      <c r="E959" s="15"/>
      <c r="F959" s="15"/>
      <c r="G959" s="50"/>
      <c r="H959" s="15"/>
      <c r="L959"/>
      <c r="O959" s="52"/>
      <c r="P959" s="52"/>
    </row>
    <row r="960" spans="3:16" x14ac:dyDescent="0.3">
      <c r="C960" s="13"/>
      <c r="D960" s="53"/>
      <c r="E960" s="15"/>
      <c r="F960" s="15"/>
      <c r="G960" s="50"/>
      <c r="H960" s="15"/>
      <c r="L960"/>
      <c r="O960" s="52"/>
      <c r="P960" s="52"/>
    </row>
    <row r="961" spans="3:16" x14ac:dyDescent="0.3">
      <c r="C961" s="13"/>
      <c r="D961" s="53"/>
      <c r="E961" s="15"/>
      <c r="F961" s="15"/>
      <c r="G961" s="50"/>
      <c r="H961" s="15"/>
      <c r="L961"/>
      <c r="O961" s="52"/>
      <c r="P961" s="52"/>
    </row>
    <row r="962" spans="3:16" x14ac:dyDescent="0.3">
      <c r="C962" s="13"/>
      <c r="D962" s="53"/>
      <c r="E962" s="15"/>
      <c r="F962" s="15"/>
      <c r="G962" s="50"/>
      <c r="H962" s="15"/>
      <c r="L962"/>
      <c r="O962" s="52"/>
      <c r="P962" s="52"/>
    </row>
    <row r="963" spans="3:16" x14ac:dyDescent="0.3">
      <c r="C963" s="13"/>
      <c r="D963" s="53"/>
      <c r="E963" s="15"/>
      <c r="F963" s="15"/>
      <c r="G963" s="50"/>
      <c r="H963" s="15"/>
      <c r="L963"/>
      <c r="O963" s="52"/>
      <c r="P963" s="52"/>
    </row>
    <row r="964" spans="3:16" x14ac:dyDescent="0.3">
      <c r="C964" s="13"/>
      <c r="D964" s="53"/>
      <c r="E964" s="15"/>
      <c r="F964" s="15"/>
      <c r="G964" s="50"/>
      <c r="H964" s="15"/>
      <c r="L964"/>
      <c r="O964" s="52"/>
      <c r="P964" s="52"/>
    </row>
    <row r="965" spans="3:16" x14ac:dyDescent="0.3">
      <c r="C965" s="13"/>
      <c r="D965" s="53"/>
      <c r="E965" s="15"/>
      <c r="F965" s="15"/>
      <c r="G965" s="50"/>
      <c r="H965" s="15"/>
      <c r="L965"/>
      <c r="O965" s="52"/>
      <c r="P965" s="52"/>
    </row>
    <row r="966" spans="3:16" x14ac:dyDescent="0.3">
      <c r="C966" s="13"/>
      <c r="D966" s="53"/>
      <c r="E966" s="15"/>
      <c r="F966" s="15"/>
      <c r="G966" s="50"/>
      <c r="H966" s="15"/>
      <c r="L966"/>
      <c r="O966" s="52"/>
      <c r="P966" s="52"/>
    </row>
    <row r="967" spans="3:16" x14ac:dyDescent="0.3">
      <c r="C967" s="13"/>
      <c r="D967" s="53"/>
      <c r="E967" s="15"/>
      <c r="F967" s="15"/>
      <c r="G967" s="50"/>
      <c r="H967" s="15"/>
      <c r="L967"/>
      <c r="O967" s="52"/>
      <c r="P967" s="52"/>
    </row>
    <row r="968" spans="3:16" x14ac:dyDescent="0.3">
      <c r="C968" s="13"/>
      <c r="D968" s="53"/>
      <c r="E968" s="15"/>
      <c r="F968" s="15"/>
      <c r="G968" s="50"/>
      <c r="H968" s="15"/>
      <c r="L968"/>
      <c r="O968" s="52"/>
      <c r="P968" s="52"/>
    </row>
    <row r="969" spans="3:16" x14ac:dyDescent="0.3">
      <c r="C969" s="13"/>
      <c r="D969" s="53"/>
      <c r="E969" s="15"/>
      <c r="F969" s="15"/>
      <c r="G969" s="50"/>
      <c r="H969" s="15"/>
      <c r="L969"/>
      <c r="O969" s="52"/>
      <c r="P969" s="52"/>
    </row>
    <row r="970" spans="3:16" x14ac:dyDescent="0.3">
      <c r="C970" s="13"/>
      <c r="D970" s="53"/>
      <c r="E970" s="15"/>
      <c r="F970" s="15"/>
      <c r="G970" s="50"/>
      <c r="H970" s="15"/>
      <c r="L970"/>
      <c r="O970" s="52"/>
      <c r="P970" s="52"/>
    </row>
    <row r="971" spans="3:16" x14ac:dyDescent="0.3">
      <c r="C971" s="13"/>
      <c r="D971" s="53"/>
      <c r="E971" s="15"/>
      <c r="F971" s="15"/>
      <c r="G971" s="50"/>
      <c r="H971" s="15"/>
      <c r="L971"/>
      <c r="O971" s="52"/>
      <c r="P971" s="52"/>
    </row>
    <row r="972" spans="3:16" x14ac:dyDescent="0.3">
      <c r="C972" s="13"/>
      <c r="D972" s="53"/>
      <c r="E972" s="15"/>
      <c r="F972" s="15"/>
      <c r="G972" s="50"/>
      <c r="H972" s="15"/>
      <c r="L972"/>
      <c r="O972" s="52"/>
      <c r="P972" s="52"/>
    </row>
    <row r="973" spans="3:16" x14ac:dyDescent="0.3">
      <c r="C973" s="13"/>
      <c r="D973" s="53"/>
      <c r="E973" s="15"/>
      <c r="F973" s="15"/>
      <c r="G973" s="50"/>
      <c r="H973" s="15"/>
      <c r="L973"/>
      <c r="O973" s="52"/>
      <c r="P973" s="52"/>
    </row>
    <row r="974" spans="3:16" x14ac:dyDescent="0.3">
      <c r="C974" s="13"/>
      <c r="D974" s="53"/>
      <c r="E974" s="15"/>
      <c r="F974" s="15"/>
      <c r="G974" s="50"/>
      <c r="H974" s="15"/>
      <c r="L974"/>
      <c r="O974" s="52"/>
      <c r="P974" s="52"/>
    </row>
    <row r="975" spans="3:16" x14ac:dyDescent="0.3">
      <c r="C975" s="13"/>
      <c r="D975" s="53"/>
      <c r="E975" s="15"/>
      <c r="F975" s="15"/>
      <c r="G975" s="50"/>
      <c r="H975" s="15"/>
      <c r="L975"/>
      <c r="O975" s="52"/>
      <c r="P975" s="52"/>
    </row>
    <row r="976" spans="3:16" x14ac:dyDescent="0.3">
      <c r="C976" s="13"/>
      <c r="D976" s="53"/>
      <c r="E976" s="15"/>
      <c r="F976" s="15"/>
      <c r="G976" s="50"/>
      <c r="H976" s="15"/>
      <c r="L976"/>
      <c r="O976" s="52"/>
      <c r="P976" s="52"/>
    </row>
    <row r="977" spans="3:16" x14ac:dyDescent="0.3">
      <c r="C977" s="13"/>
      <c r="D977" s="53"/>
      <c r="E977" s="15"/>
      <c r="F977" s="15"/>
      <c r="G977" s="50"/>
      <c r="H977" s="15"/>
      <c r="L977"/>
      <c r="O977" s="52"/>
      <c r="P977" s="52"/>
    </row>
    <row r="978" spans="3:16" x14ac:dyDescent="0.3">
      <c r="C978" s="13"/>
      <c r="D978" s="53"/>
      <c r="E978" s="15"/>
      <c r="F978" s="15"/>
      <c r="G978" s="50"/>
      <c r="H978" s="15"/>
      <c r="L978"/>
      <c r="O978" s="52"/>
      <c r="P978" s="52"/>
    </row>
    <row r="979" spans="3:16" x14ac:dyDescent="0.3">
      <c r="C979" s="13"/>
      <c r="D979" s="53"/>
      <c r="E979" s="15"/>
      <c r="F979" s="15"/>
      <c r="G979" s="50"/>
      <c r="H979" s="15"/>
      <c r="L979"/>
      <c r="O979" s="52"/>
      <c r="P979" s="52"/>
    </row>
    <row r="980" spans="3:16" x14ac:dyDescent="0.3">
      <c r="C980" s="13"/>
      <c r="D980" s="53"/>
      <c r="E980" s="15"/>
      <c r="F980" s="15"/>
      <c r="G980" s="50"/>
      <c r="H980" s="15"/>
      <c r="L980"/>
      <c r="O980" s="52"/>
      <c r="P980" s="52"/>
    </row>
    <row r="981" spans="3:16" x14ac:dyDescent="0.3">
      <c r="C981" s="13"/>
      <c r="D981" s="53"/>
      <c r="E981" s="15"/>
      <c r="F981" s="15"/>
      <c r="G981" s="50"/>
      <c r="H981" s="15"/>
      <c r="L981"/>
      <c r="O981" s="52"/>
      <c r="P981" s="52"/>
    </row>
    <row r="982" spans="3:16" x14ac:dyDescent="0.3">
      <c r="C982" s="13"/>
      <c r="D982" s="53"/>
      <c r="E982" s="15"/>
      <c r="F982" s="15"/>
      <c r="G982" s="50"/>
      <c r="H982" s="15"/>
      <c r="L982"/>
      <c r="O982" s="52"/>
      <c r="P982" s="52"/>
    </row>
    <row r="983" spans="3:16" x14ac:dyDescent="0.3">
      <c r="C983" s="13"/>
      <c r="D983" s="53"/>
      <c r="E983" s="15"/>
      <c r="F983" s="15"/>
      <c r="G983" s="50"/>
      <c r="H983" s="15"/>
      <c r="L983"/>
      <c r="O983" s="52"/>
      <c r="P983" s="52"/>
    </row>
    <row r="984" spans="3:16" x14ac:dyDescent="0.3">
      <c r="C984" s="13"/>
      <c r="D984" s="53"/>
      <c r="E984" s="15"/>
      <c r="F984" s="15"/>
      <c r="G984" s="50"/>
      <c r="H984" s="15"/>
      <c r="L984"/>
      <c r="O984" s="52"/>
      <c r="P984" s="52"/>
    </row>
    <row r="985" spans="3:16" x14ac:dyDescent="0.3">
      <c r="C985" s="13"/>
      <c r="D985" s="53"/>
      <c r="E985" s="15"/>
      <c r="F985" s="15"/>
      <c r="G985" s="50"/>
      <c r="H985" s="15"/>
      <c r="L985"/>
      <c r="O985" s="52"/>
      <c r="P985" s="52"/>
    </row>
    <row r="986" spans="3:16" x14ac:dyDescent="0.3">
      <c r="C986" s="13"/>
      <c r="D986" s="53"/>
      <c r="E986" s="15"/>
      <c r="F986" s="15"/>
      <c r="G986" s="50"/>
      <c r="H986" s="15"/>
      <c r="L986"/>
      <c r="O986" s="52"/>
      <c r="P986" s="52"/>
    </row>
    <row r="987" spans="3:16" x14ac:dyDescent="0.3">
      <c r="C987" s="13"/>
      <c r="D987" s="53"/>
      <c r="E987" s="15"/>
      <c r="F987" s="15"/>
      <c r="G987" s="50"/>
      <c r="H987" s="15"/>
      <c r="L987"/>
      <c r="O987" s="52"/>
      <c r="P987" s="52"/>
    </row>
    <row r="988" spans="3:16" x14ac:dyDescent="0.3">
      <c r="C988" s="13"/>
      <c r="D988" s="53"/>
      <c r="E988" s="15"/>
      <c r="F988" s="15"/>
      <c r="G988" s="50"/>
      <c r="H988" s="15"/>
      <c r="L988"/>
      <c r="O988" s="52"/>
      <c r="P988" s="52"/>
    </row>
    <row r="989" spans="3:16" x14ac:dyDescent="0.3">
      <c r="C989" s="13"/>
      <c r="D989" s="53"/>
      <c r="E989" s="15"/>
      <c r="F989" s="15"/>
      <c r="G989" s="50"/>
      <c r="H989" s="15"/>
      <c r="L989"/>
      <c r="O989" s="52"/>
      <c r="P989" s="52"/>
    </row>
    <row r="990" spans="3:16" x14ac:dyDescent="0.3">
      <c r="C990" s="13"/>
      <c r="D990" s="53"/>
      <c r="E990" s="15"/>
      <c r="F990" s="15"/>
      <c r="G990" s="50"/>
      <c r="H990" s="15"/>
      <c r="L990"/>
      <c r="O990" s="52"/>
      <c r="P990" s="52"/>
    </row>
    <row r="991" spans="3:16" x14ac:dyDescent="0.3">
      <c r="L991"/>
      <c r="O991" s="52"/>
      <c r="P991" s="52"/>
    </row>
    <row r="992" spans="3:16" x14ac:dyDescent="0.3">
      <c r="L992"/>
      <c r="O992" s="52"/>
      <c r="P992" s="52"/>
    </row>
    <row r="993" spans="12:16" x14ac:dyDescent="0.3">
      <c r="L993"/>
      <c r="O993" s="52"/>
      <c r="P993" s="52"/>
    </row>
    <row r="994" spans="12:16" x14ac:dyDescent="0.3">
      <c r="L994"/>
      <c r="O994" s="52"/>
      <c r="P994" s="52"/>
    </row>
    <row r="995" spans="12:16" x14ac:dyDescent="0.3">
      <c r="L995"/>
      <c r="O995" s="52"/>
      <c r="P995" s="52"/>
    </row>
    <row r="996" spans="12:16" x14ac:dyDescent="0.3">
      <c r="L996"/>
      <c r="O996" s="52"/>
      <c r="P996" s="52"/>
    </row>
    <row r="997" spans="12:16" x14ac:dyDescent="0.3">
      <c r="L997"/>
      <c r="O997" s="52"/>
      <c r="P997" s="52"/>
    </row>
    <row r="998" spans="12:16" x14ac:dyDescent="0.3">
      <c r="L998"/>
      <c r="O998" s="52"/>
      <c r="P998" s="52"/>
    </row>
    <row r="999" spans="12:16" x14ac:dyDescent="0.3">
      <c r="L999"/>
      <c r="O999" s="52"/>
      <c r="P999" s="52"/>
    </row>
    <row r="1000" spans="12:16" x14ac:dyDescent="0.3">
      <c r="L1000"/>
      <c r="O1000" s="52"/>
      <c r="P1000" s="52"/>
    </row>
    <row r="1001" spans="12:16" x14ac:dyDescent="0.3">
      <c r="L1001"/>
      <c r="O1001" s="52"/>
      <c r="P1001" s="52"/>
    </row>
    <row r="1002" spans="12:16" x14ac:dyDescent="0.3">
      <c r="L1002"/>
      <c r="O1002" s="52"/>
      <c r="P1002" s="52"/>
    </row>
    <row r="1003" spans="12:16" x14ac:dyDescent="0.3">
      <c r="L1003"/>
      <c r="O1003" s="52"/>
      <c r="P1003" s="52"/>
    </row>
    <row r="1004" spans="12:16" x14ac:dyDescent="0.3">
      <c r="L1004"/>
      <c r="O1004" s="52"/>
      <c r="P1004" s="52"/>
    </row>
    <row r="1005" spans="12:16" x14ac:dyDescent="0.3">
      <c r="L1005"/>
      <c r="O1005" s="52"/>
      <c r="P1005" s="52"/>
    </row>
    <row r="1006" spans="12:16" x14ac:dyDescent="0.3">
      <c r="L1006"/>
      <c r="O1006" s="52"/>
      <c r="P1006" s="52"/>
    </row>
    <row r="1007" spans="12:16" x14ac:dyDescent="0.3">
      <c r="L1007"/>
      <c r="O1007" s="52"/>
      <c r="P1007" s="52"/>
    </row>
    <row r="1008" spans="12:16" x14ac:dyDescent="0.3">
      <c r="L1008"/>
      <c r="O1008" s="52"/>
      <c r="P1008" s="52"/>
    </row>
    <row r="1009" spans="12:16" x14ac:dyDescent="0.3">
      <c r="L1009"/>
      <c r="O1009" s="52"/>
      <c r="P1009" s="52"/>
    </row>
    <row r="1010" spans="12:16" x14ac:dyDescent="0.3">
      <c r="L1010"/>
      <c r="O1010" s="52"/>
      <c r="P1010" s="52"/>
    </row>
    <row r="1011" spans="12:16" x14ac:dyDescent="0.3">
      <c r="L1011"/>
      <c r="O1011" s="52"/>
      <c r="P1011" s="52"/>
    </row>
    <row r="1012" spans="12:16" x14ac:dyDescent="0.3">
      <c r="L1012"/>
      <c r="O1012" s="52"/>
      <c r="P1012" s="52"/>
    </row>
    <row r="1013" spans="12:16" x14ac:dyDescent="0.3">
      <c r="L1013"/>
      <c r="O1013" s="52"/>
      <c r="P1013" s="52"/>
    </row>
    <row r="1014" spans="12:16" x14ac:dyDescent="0.3">
      <c r="L1014"/>
      <c r="O1014" s="52"/>
      <c r="P1014" s="52"/>
    </row>
    <row r="1015" spans="12:16" x14ac:dyDescent="0.3">
      <c r="L1015"/>
      <c r="O1015" s="52"/>
      <c r="P1015" s="52"/>
    </row>
    <row r="1016" spans="12:16" x14ac:dyDescent="0.3">
      <c r="L1016"/>
      <c r="O1016" s="52"/>
      <c r="P1016" s="52"/>
    </row>
    <row r="1017" spans="12:16" x14ac:dyDescent="0.3">
      <c r="L1017"/>
      <c r="O1017" s="52"/>
      <c r="P1017" s="52"/>
    </row>
    <row r="1018" spans="12:16" x14ac:dyDescent="0.3">
      <c r="L1018"/>
      <c r="O1018" s="52"/>
      <c r="P1018" s="52"/>
    </row>
    <row r="1019" spans="12:16" x14ac:dyDescent="0.3">
      <c r="L1019"/>
      <c r="O1019" s="52"/>
      <c r="P1019" s="52"/>
    </row>
    <row r="1020" spans="12:16" x14ac:dyDescent="0.3">
      <c r="L1020"/>
      <c r="O1020" s="52"/>
      <c r="P1020" s="52"/>
    </row>
    <row r="1021" spans="12:16" x14ac:dyDescent="0.3">
      <c r="L1021"/>
      <c r="O1021" s="52"/>
      <c r="P1021" s="52"/>
    </row>
    <row r="1022" spans="12:16" x14ac:dyDescent="0.3">
      <c r="L1022"/>
      <c r="O1022" s="52"/>
      <c r="P1022" s="52"/>
    </row>
    <row r="1023" spans="12:16" x14ac:dyDescent="0.3">
      <c r="L1023"/>
      <c r="O1023" s="52"/>
      <c r="P1023" s="52"/>
    </row>
    <row r="1024" spans="12:16" x14ac:dyDescent="0.3">
      <c r="L1024"/>
      <c r="O1024" s="52"/>
      <c r="P1024" s="52"/>
    </row>
    <row r="1025" spans="12:16" x14ac:dyDescent="0.3">
      <c r="L1025"/>
      <c r="O1025" s="52"/>
      <c r="P1025" s="52"/>
    </row>
    <row r="1026" spans="12:16" x14ac:dyDescent="0.3">
      <c r="L1026"/>
      <c r="O1026" s="52"/>
      <c r="P1026" s="52"/>
    </row>
    <row r="1027" spans="12:16" x14ac:dyDescent="0.3">
      <c r="L1027"/>
      <c r="O1027" s="52"/>
      <c r="P1027" s="52"/>
    </row>
    <row r="1028" spans="12:16" x14ac:dyDescent="0.3">
      <c r="L1028"/>
      <c r="O1028" s="52"/>
      <c r="P1028" s="52"/>
    </row>
    <row r="1029" spans="12:16" x14ac:dyDescent="0.3">
      <c r="L1029"/>
      <c r="O1029" s="52"/>
      <c r="P1029" s="52"/>
    </row>
    <row r="1030" spans="12:16" x14ac:dyDescent="0.3">
      <c r="L1030"/>
      <c r="O1030" s="52"/>
      <c r="P1030" s="52"/>
    </row>
    <row r="1031" spans="12:16" x14ac:dyDescent="0.3">
      <c r="L1031"/>
      <c r="O1031" s="52"/>
      <c r="P1031" s="52"/>
    </row>
    <row r="1032" spans="12:16" x14ac:dyDescent="0.3">
      <c r="L1032"/>
      <c r="O1032" s="52"/>
      <c r="P1032" s="52"/>
    </row>
    <row r="1033" spans="12:16" x14ac:dyDescent="0.3">
      <c r="L1033"/>
      <c r="O1033" s="52"/>
      <c r="P1033" s="52"/>
    </row>
    <row r="1034" spans="12:16" x14ac:dyDescent="0.3">
      <c r="L1034"/>
      <c r="O1034" s="52"/>
      <c r="P1034" s="52"/>
    </row>
    <row r="1035" spans="12:16" x14ac:dyDescent="0.3">
      <c r="L1035"/>
      <c r="O1035" s="52"/>
      <c r="P1035" s="52"/>
    </row>
    <row r="1036" spans="12:16" x14ac:dyDescent="0.3">
      <c r="L1036"/>
      <c r="O1036" s="52"/>
      <c r="P1036" s="52"/>
    </row>
    <row r="1037" spans="12:16" x14ac:dyDescent="0.3">
      <c r="L1037"/>
      <c r="O1037" s="52"/>
      <c r="P1037" s="52"/>
    </row>
    <row r="1038" spans="12:16" x14ac:dyDescent="0.3">
      <c r="L1038"/>
      <c r="O1038" s="52"/>
      <c r="P1038" s="52"/>
    </row>
    <row r="1039" spans="12:16" x14ac:dyDescent="0.3">
      <c r="L1039"/>
      <c r="O1039" s="52"/>
      <c r="P1039" s="52"/>
    </row>
    <row r="1040" spans="12:16" x14ac:dyDescent="0.3">
      <c r="L1040"/>
      <c r="O1040" s="52"/>
      <c r="P1040" s="52"/>
    </row>
    <row r="1041" spans="12:16" x14ac:dyDescent="0.3">
      <c r="L1041"/>
      <c r="O1041" s="52"/>
      <c r="P1041" s="52"/>
    </row>
    <row r="1042" spans="12:16" x14ac:dyDescent="0.3">
      <c r="L1042"/>
      <c r="O1042" s="52"/>
      <c r="P1042" s="52"/>
    </row>
    <row r="1043" spans="12:16" x14ac:dyDescent="0.3">
      <c r="L1043"/>
      <c r="O1043" s="52"/>
      <c r="P1043" s="52"/>
    </row>
    <row r="1044" spans="12:16" x14ac:dyDescent="0.3">
      <c r="L1044"/>
      <c r="O1044" s="52"/>
      <c r="P1044" s="52"/>
    </row>
    <row r="1045" spans="12:16" x14ac:dyDescent="0.3">
      <c r="L1045"/>
      <c r="O1045" s="52"/>
      <c r="P1045" s="52"/>
    </row>
    <row r="1046" spans="12:16" x14ac:dyDescent="0.3">
      <c r="L1046"/>
      <c r="O1046" s="52"/>
      <c r="P1046" s="52"/>
    </row>
    <row r="1047" spans="12:16" x14ac:dyDescent="0.3">
      <c r="L1047"/>
      <c r="O1047" s="52"/>
      <c r="P1047" s="52"/>
    </row>
    <row r="1048" spans="12:16" x14ac:dyDescent="0.3">
      <c r="L1048"/>
      <c r="O1048" s="52"/>
      <c r="P1048" s="52"/>
    </row>
    <row r="1049" spans="12:16" x14ac:dyDescent="0.3">
      <c r="L1049"/>
      <c r="O1049" s="52"/>
      <c r="P1049" s="52"/>
    </row>
    <row r="1050" spans="12:16" x14ac:dyDescent="0.3">
      <c r="L1050"/>
      <c r="O1050" s="52"/>
      <c r="P1050" s="52"/>
    </row>
    <row r="1051" spans="12:16" x14ac:dyDescent="0.3">
      <c r="L1051"/>
      <c r="O1051" s="52"/>
      <c r="P1051" s="52"/>
    </row>
    <row r="1052" spans="12:16" x14ac:dyDescent="0.3">
      <c r="L1052"/>
      <c r="O1052" s="52"/>
      <c r="P1052" s="52"/>
    </row>
    <row r="1053" spans="12:16" x14ac:dyDescent="0.3">
      <c r="L1053"/>
      <c r="O1053" s="52"/>
      <c r="P1053" s="52"/>
    </row>
    <row r="1054" spans="12:16" x14ac:dyDescent="0.3">
      <c r="L1054"/>
      <c r="O1054" s="52"/>
      <c r="P1054" s="52"/>
    </row>
    <row r="1055" spans="12:16" x14ac:dyDescent="0.3">
      <c r="L1055"/>
      <c r="O1055" s="52"/>
      <c r="P1055" s="52"/>
    </row>
    <row r="1056" spans="12:16" x14ac:dyDescent="0.3">
      <c r="L1056"/>
      <c r="O1056" s="52"/>
      <c r="P1056" s="52"/>
    </row>
    <row r="1057" spans="12:16" x14ac:dyDescent="0.3">
      <c r="L1057"/>
      <c r="O1057" s="52"/>
      <c r="P1057" s="52"/>
    </row>
    <row r="1058" spans="12:16" x14ac:dyDescent="0.3">
      <c r="L1058"/>
      <c r="O1058" s="52"/>
      <c r="P1058" s="52"/>
    </row>
    <row r="1059" spans="12:16" x14ac:dyDescent="0.3">
      <c r="L1059"/>
      <c r="O1059" s="52"/>
      <c r="P1059" s="52"/>
    </row>
    <row r="1060" spans="12:16" x14ac:dyDescent="0.3">
      <c r="L1060"/>
      <c r="O1060" s="52"/>
      <c r="P1060" s="52"/>
    </row>
    <row r="1061" spans="12:16" x14ac:dyDescent="0.3">
      <c r="L1061"/>
      <c r="O1061" s="52"/>
      <c r="P1061" s="52"/>
    </row>
    <row r="1062" spans="12:16" x14ac:dyDescent="0.3">
      <c r="L1062"/>
      <c r="O1062" s="52"/>
      <c r="P1062" s="52"/>
    </row>
    <row r="1063" spans="12:16" x14ac:dyDescent="0.3">
      <c r="L1063"/>
      <c r="O1063" s="52"/>
      <c r="P1063" s="52"/>
    </row>
    <row r="1064" spans="12:16" x14ac:dyDescent="0.3">
      <c r="L1064"/>
      <c r="O1064" s="52"/>
      <c r="P1064" s="52"/>
    </row>
    <row r="1065" spans="12:16" x14ac:dyDescent="0.3">
      <c r="L1065"/>
      <c r="O1065" s="52"/>
      <c r="P1065" s="52"/>
    </row>
    <row r="1066" spans="12:16" x14ac:dyDescent="0.3">
      <c r="L1066"/>
      <c r="O1066" s="52"/>
      <c r="P1066" s="52"/>
    </row>
    <row r="1067" spans="12:16" x14ac:dyDescent="0.3">
      <c r="L1067"/>
      <c r="O1067" s="52"/>
      <c r="P1067" s="52"/>
    </row>
    <row r="1068" spans="12:16" x14ac:dyDescent="0.3">
      <c r="L1068"/>
      <c r="O1068" s="52"/>
      <c r="P1068" s="52"/>
    </row>
    <row r="1069" spans="12:16" x14ac:dyDescent="0.3">
      <c r="L1069"/>
      <c r="O1069" s="52"/>
      <c r="P1069" s="52"/>
    </row>
    <row r="1070" spans="12:16" x14ac:dyDescent="0.3">
      <c r="L1070"/>
      <c r="O1070" s="52"/>
      <c r="P1070" s="52"/>
    </row>
    <row r="1071" spans="12:16" x14ac:dyDescent="0.3">
      <c r="L1071"/>
      <c r="O1071" s="52"/>
      <c r="P1071" s="52"/>
    </row>
    <row r="1072" spans="12:16" x14ac:dyDescent="0.3">
      <c r="L1072"/>
      <c r="O1072" s="52"/>
      <c r="P1072" s="52"/>
    </row>
    <row r="1073" spans="12:16" x14ac:dyDescent="0.3">
      <c r="L1073"/>
      <c r="O1073" s="52"/>
      <c r="P1073" s="52"/>
    </row>
    <row r="1074" spans="12:16" x14ac:dyDescent="0.3">
      <c r="L1074"/>
      <c r="O1074" s="52"/>
      <c r="P1074" s="52"/>
    </row>
    <row r="1075" spans="12:16" x14ac:dyDescent="0.3">
      <c r="L1075"/>
      <c r="O1075" s="52"/>
      <c r="P1075" s="52"/>
    </row>
    <row r="1076" spans="12:16" x14ac:dyDescent="0.3">
      <c r="L1076"/>
      <c r="O1076" s="52"/>
      <c r="P1076" s="52"/>
    </row>
    <row r="1077" spans="12:16" x14ac:dyDescent="0.3">
      <c r="L1077"/>
      <c r="O1077" s="52"/>
      <c r="P1077" s="52"/>
    </row>
    <row r="1078" spans="12:16" x14ac:dyDescent="0.3">
      <c r="L1078"/>
      <c r="O1078" s="52"/>
      <c r="P1078" s="52"/>
    </row>
    <row r="1079" spans="12:16" x14ac:dyDescent="0.3">
      <c r="L1079"/>
      <c r="O1079" s="52"/>
      <c r="P1079" s="52"/>
    </row>
    <row r="1080" spans="12:16" x14ac:dyDescent="0.3">
      <c r="L1080"/>
      <c r="O1080" s="52"/>
      <c r="P1080" s="52"/>
    </row>
    <row r="1081" spans="12:16" x14ac:dyDescent="0.3">
      <c r="L1081"/>
      <c r="O1081" s="52"/>
      <c r="P1081" s="52"/>
    </row>
    <row r="1082" spans="12:16" x14ac:dyDescent="0.3">
      <c r="L1082"/>
      <c r="O1082" s="52"/>
      <c r="P1082" s="52"/>
    </row>
    <row r="1083" spans="12:16" x14ac:dyDescent="0.3">
      <c r="L1083"/>
      <c r="O1083" s="52"/>
      <c r="P1083" s="52"/>
    </row>
    <row r="1084" spans="12:16" x14ac:dyDescent="0.3">
      <c r="L1084"/>
      <c r="O1084" s="52"/>
      <c r="P1084" s="52"/>
    </row>
    <row r="1085" spans="12:16" x14ac:dyDescent="0.3">
      <c r="L1085"/>
      <c r="O1085" s="52"/>
      <c r="P1085" s="52"/>
    </row>
    <row r="1086" spans="12:16" x14ac:dyDescent="0.3">
      <c r="L1086"/>
      <c r="O1086" s="52"/>
      <c r="P1086" s="52"/>
    </row>
    <row r="1087" spans="12:16" x14ac:dyDescent="0.3">
      <c r="L1087"/>
      <c r="O1087" s="52"/>
      <c r="P1087" s="52"/>
    </row>
    <row r="1088" spans="12:16" x14ac:dyDescent="0.3">
      <c r="L1088"/>
      <c r="O1088" s="52"/>
      <c r="P1088" s="52"/>
    </row>
    <row r="1089" spans="12:16" x14ac:dyDescent="0.3">
      <c r="L1089"/>
      <c r="O1089" s="52"/>
      <c r="P1089" s="52"/>
    </row>
    <row r="1090" spans="12:16" x14ac:dyDescent="0.3">
      <c r="L1090"/>
      <c r="O1090" s="52"/>
      <c r="P1090" s="52"/>
    </row>
    <row r="1091" spans="12:16" x14ac:dyDescent="0.3">
      <c r="L1091"/>
      <c r="O1091" s="52"/>
      <c r="P1091" s="52"/>
    </row>
    <row r="1092" spans="12:16" x14ac:dyDescent="0.3">
      <c r="L1092"/>
      <c r="O1092" s="52"/>
      <c r="P1092" s="52"/>
    </row>
    <row r="1093" spans="12:16" x14ac:dyDescent="0.3">
      <c r="L1093"/>
      <c r="O1093" s="52"/>
      <c r="P1093" s="52"/>
    </row>
    <row r="1094" spans="12:16" x14ac:dyDescent="0.3">
      <c r="L1094"/>
      <c r="O1094" s="52"/>
      <c r="P1094" s="52"/>
    </row>
    <row r="1095" spans="12:16" x14ac:dyDescent="0.3">
      <c r="L1095"/>
      <c r="O1095" s="52"/>
      <c r="P1095" s="52"/>
    </row>
    <row r="1096" spans="12:16" x14ac:dyDescent="0.3">
      <c r="L1096"/>
      <c r="O1096" s="52"/>
      <c r="P1096" s="52"/>
    </row>
    <row r="1097" spans="12:16" x14ac:dyDescent="0.3">
      <c r="L1097"/>
      <c r="O1097" s="52"/>
      <c r="P1097" s="52"/>
    </row>
    <row r="1098" spans="12:16" x14ac:dyDescent="0.3">
      <c r="L1098"/>
      <c r="O1098" s="52"/>
      <c r="P1098" s="52"/>
    </row>
    <row r="1099" spans="12:16" x14ac:dyDescent="0.3">
      <c r="L1099"/>
      <c r="O1099" s="52"/>
      <c r="P1099" s="52"/>
    </row>
    <row r="1100" spans="12:16" x14ac:dyDescent="0.3">
      <c r="L1100"/>
      <c r="O1100" s="52"/>
      <c r="P1100" s="52"/>
    </row>
    <row r="1101" spans="12:16" x14ac:dyDescent="0.3">
      <c r="L1101"/>
      <c r="O1101" s="52"/>
      <c r="P1101" s="52"/>
    </row>
    <row r="1102" spans="12:16" x14ac:dyDescent="0.3">
      <c r="L1102"/>
      <c r="O1102" s="52"/>
      <c r="P1102" s="52"/>
    </row>
    <row r="1103" spans="12:16" x14ac:dyDescent="0.3">
      <c r="L1103"/>
      <c r="O1103" s="52"/>
      <c r="P1103" s="52"/>
    </row>
    <row r="1104" spans="12:16" x14ac:dyDescent="0.3">
      <c r="L1104"/>
      <c r="O1104" s="52"/>
      <c r="P1104" s="52"/>
    </row>
    <row r="1105" spans="12:16" x14ac:dyDescent="0.3">
      <c r="L1105"/>
      <c r="O1105" s="52"/>
      <c r="P1105" s="52"/>
    </row>
    <row r="1106" spans="12:16" x14ac:dyDescent="0.3">
      <c r="L1106"/>
      <c r="O1106" s="52"/>
      <c r="P1106" s="52"/>
    </row>
    <row r="1107" spans="12:16" x14ac:dyDescent="0.3">
      <c r="L1107"/>
      <c r="O1107" s="52"/>
      <c r="P1107" s="52"/>
    </row>
    <row r="1108" spans="12:16" x14ac:dyDescent="0.3">
      <c r="L1108"/>
      <c r="O1108" s="52"/>
      <c r="P1108" s="52"/>
    </row>
    <row r="1109" spans="12:16" x14ac:dyDescent="0.3">
      <c r="L1109"/>
      <c r="O1109" s="52"/>
      <c r="P1109" s="52"/>
    </row>
    <row r="1110" spans="12:16" x14ac:dyDescent="0.3">
      <c r="L1110"/>
      <c r="O1110" s="52"/>
      <c r="P1110" s="52"/>
    </row>
    <row r="1111" spans="12:16" x14ac:dyDescent="0.3">
      <c r="L1111"/>
      <c r="O1111" s="52"/>
      <c r="P1111" s="52"/>
    </row>
    <row r="1112" spans="12:16" x14ac:dyDescent="0.3">
      <c r="L1112"/>
      <c r="O1112" s="52"/>
      <c r="P1112" s="52"/>
    </row>
    <row r="1113" spans="12:16" x14ac:dyDescent="0.3">
      <c r="L1113"/>
      <c r="O1113" s="52"/>
      <c r="P1113" s="52"/>
    </row>
    <row r="1114" spans="12:16" x14ac:dyDescent="0.3">
      <c r="L1114"/>
      <c r="O1114" s="52"/>
      <c r="P1114" s="52"/>
    </row>
    <row r="1115" spans="12:16" x14ac:dyDescent="0.3">
      <c r="L1115"/>
      <c r="O1115" s="52"/>
      <c r="P1115" s="52"/>
    </row>
    <row r="1116" spans="12:16" x14ac:dyDescent="0.3">
      <c r="L1116"/>
      <c r="O1116" s="52"/>
      <c r="P1116" s="52"/>
    </row>
    <row r="1117" spans="12:16" x14ac:dyDescent="0.3">
      <c r="L1117"/>
      <c r="O1117" s="52"/>
      <c r="P1117" s="52"/>
    </row>
    <row r="1118" spans="12:16" x14ac:dyDescent="0.3">
      <c r="L1118"/>
      <c r="O1118" s="52"/>
      <c r="P1118" s="52"/>
    </row>
    <row r="1119" spans="12:16" x14ac:dyDescent="0.3">
      <c r="L1119"/>
      <c r="O1119" s="52"/>
      <c r="P1119" s="52"/>
    </row>
    <row r="1120" spans="12:16" x14ac:dyDescent="0.3">
      <c r="L1120"/>
      <c r="O1120" s="52"/>
      <c r="P1120" s="52"/>
    </row>
    <row r="1121" spans="12:16" x14ac:dyDescent="0.3">
      <c r="L1121"/>
      <c r="O1121" s="52"/>
      <c r="P1121" s="52"/>
    </row>
    <row r="1122" spans="12:16" x14ac:dyDescent="0.3">
      <c r="L1122"/>
      <c r="O1122" s="52"/>
      <c r="P1122" s="52"/>
    </row>
    <row r="1123" spans="12:16" x14ac:dyDescent="0.3">
      <c r="L1123"/>
      <c r="O1123" s="52"/>
      <c r="P1123" s="52"/>
    </row>
    <row r="1124" spans="12:16" x14ac:dyDescent="0.3">
      <c r="L1124"/>
      <c r="O1124" s="52"/>
      <c r="P1124" s="52"/>
    </row>
    <row r="1125" spans="12:16" x14ac:dyDescent="0.3">
      <c r="L1125"/>
      <c r="O1125" s="52"/>
      <c r="P1125" s="52"/>
    </row>
    <row r="1126" spans="12:16" x14ac:dyDescent="0.3">
      <c r="L1126"/>
      <c r="O1126" s="52"/>
      <c r="P1126" s="52"/>
    </row>
    <row r="1127" spans="12:16" x14ac:dyDescent="0.3">
      <c r="L1127"/>
      <c r="O1127" s="52"/>
      <c r="P1127" s="52"/>
    </row>
    <row r="1128" spans="12:16" x14ac:dyDescent="0.3">
      <c r="L1128"/>
      <c r="O1128" s="52"/>
      <c r="P1128" s="52"/>
    </row>
    <row r="1129" spans="12:16" x14ac:dyDescent="0.3">
      <c r="L1129"/>
      <c r="O1129" s="52"/>
      <c r="P1129" s="52"/>
    </row>
    <row r="1130" spans="12:16" x14ac:dyDescent="0.3">
      <c r="L1130"/>
      <c r="O1130" s="52"/>
      <c r="P1130" s="52"/>
    </row>
    <row r="1131" spans="12:16" x14ac:dyDescent="0.3">
      <c r="L1131"/>
      <c r="O1131" s="52"/>
      <c r="P1131" s="52"/>
    </row>
    <row r="1132" spans="12:16" x14ac:dyDescent="0.3">
      <c r="L1132"/>
      <c r="O1132" s="52"/>
      <c r="P1132" s="52"/>
    </row>
    <row r="1133" spans="12:16" x14ac:dyDescent="0.3">
      <c r="L1133"/>
      <c r="O1133" s="52"/>
      <c r="P1133" s="52"/>
    </row>
    <row r="1134" spans="12:16" x14ac:dyDescent="0.3">
      <c r="L1134"/>
      <c r="O1134" s="52"/>
      <c r="P1134" s="52"/>
    </row>
    <row r="1135" spans="12:16" x14ac:dyDescent="0.3">
      <c r="L1135"/>
      <c r="O1135" s="52"/>
      <c r="P1135" s="52"/>
    </row>
    <row r="1136" spans="12:16" x14ac:dyDescent="0.3">
      <c r="L1136"/>
      <c r="O1136" s="52"/>
      <c r="P1136" s="52"/>
    </row>
    <row r="1137" spans="12:16" x14ac:dyDescent="0.3">
      <c r="L1137"/>
      <c r="O1137" s="52"/>
      <c r="P1137" s="52"/>
    </row>
    <row r="1138" spans="12:16" x14ac:dyDescent="0.3">
      <c r="L1138"/>
      <c r="O1138" s="52"/>
      <c r="P1138" s="52"/>
    </row>
    <row r="1139" spans="12:16" x14ac:dyDescent="0.3">
      <c r="L1139"/>
      <c r="O1139" s="52"/>
      <c r="P1139" s="52"/>
    </row>
    <row r="1140" spans="12:16" x14ac:dyDescent="0.3">
      <c r="L1140"/>
      <c r="O1140" s="52"/>
      <c r="P1140" s="52"/>
    </row>
    <row r="1141" spans="12:16" x14ac:dyDescent="0.3">
      <c r="L1141"/>
      <c r="O1141" s="52"/>
      <c r="P1141" s="52"/>
    </row>
    <row r="1142" spans="12:16" x14ac:dyDescent="0.3">
      <c r="L1142"/>
      <c r="O1142" s="52"/>
      <c r="P1142" s="52"/>
    </row>
    <row r="1143" spans="12:16" x14ac:dyDescent="0.3">
      <c r="L1143"/>
      <c r="O1143" s="52"/>
      <c r="P1143" s="52"/>
    </row>
    <row r="1144" spans="12:16" x14ac:dyDescent="0.3">
      <c r="L1144"/>
      <c r="O1144" s="52"/>
      <c r="P1144" s="52"/>
    </row>
    <row r="1145" spans="12:16" x14ac:dyDescent="0.3">
      <c r="L1145"/>
      <c r="O1145" s="52"/>
      <c r="P1145" s="52"/>
    </row>
    <row r="1146" spans="12:16" x14ac:dyDescent="0.3">
      <c r="L1146"/>
      <c r="O1146" s="52"/>
      <c r="P1146" s="52"/>
    </row>
    <row r="1147" spans="12:16" x14ac:dyDescent="0.3">
      <c r="L1147"/>
      <c r="O1147" s="52"/>
      <c r="P1147" s="52"/>
    </row>
    <row r="1148" spans="12:16" x14ac:dyDescent="0.3">
      <c r="L1148"/>
      <c r="O1148" s="52"/>
      <c r="P1148" s="52"/>
    </row>
    <row r="1149" spans="12:16" x14ac:dyDescent="0.3">
      <c r="L1149"/>
      <c r="O1149" s="52"/>
      <c r="P1149" s="52"/>
    </row>
    <row r="1150" spans="12:16" x14ac:dyDescent="0.3">
      <c r="L1150"/>
      <c r="O1150" s="52"/>
      <c r="P1150" s="52"/>
    </row>
    <row r="1151" spans="12:16" x14ac:dyDescent="0.3">
      <c r="L1151"/>
      <c r="O1151" s="52"/>
      <c r="P1151" s="52"/>
    </row>
    <row r="1152" spans="12:16" x14ac:dyDescent="0.3">
      <c r="L1152"/>
      <c r="O1152" s="52"/>
      <c r="P1152" s="52"/>
    </row>
    <row r="1153" spans="12:16" x14ac:dyDescent="0.3">
      <c r="L1153"/>
      <c r="O1153" s="52"/>
      <c r="P1153" s="52"/>
    </row>
    <row r="1154" spans="12:16" x14ac:dyDescent="0.3">
      <c r="L1154"/>
      <c r="O1154" s="52"/>
      <c r="P1154" s="52"/>
    </row>
    <row r="1155" spans="12:16" x14ac:dyDescent="0.3">
      <c r="L1155"/>
      <c r="O1155" s="52"/>
      <c r="P1155" s="52"/>
    </row>
    <row r="1156" spans="12:16" x14ac:dyDescent="0.3">
      <c r="L1156"/>
      <c r="O1156" s="52"/>
      <c r="P1156" s="52"/>
    </row>
    <row r="1157" spans="12:16" x14ac:dyDescent="0.3">
      <c r="L1157"/>
      <c r="O1157" s="52"/>
      <c r="P1157" s="52"/>
    </row>
    <row r="1158" spans="12:16" x14ac:dyDescent="0.3">
      <c r="L1158"/>
      <c r="O1158" s="52"/>
      <c r="P1158" s="52"/>
    </row>
    <row r="1159" spans="12:16" x14ac:dyDescent="0.3">
      <c r="L1159"/>
      <c r="O1159" s="52"/>
      <c r="P1159" s="52"/>
    </row>
    <row r="1160" spans="12:16" x14ac:dyDescent="0.3">
      <c r="L1160"/>
      <c r="O1160" s="52"/>
      <c r="P1160" s="52"/>
    </row>
    <row r="1161" spans="12:16" x14ac:dyDescent="0.3">
      <c r="L1161"/>
      <c r="O1161" s="52"/>
      <c r="P1161" s="52"/>
    </row>
    <row r="1162" spans="12:16" x14ac:dyDescent="0.3">
      <c r="L1162"/>
      <c r="O1162" s="52"/>
      <c r="P1162" s="52"/>
    </row>
    <row r="1163" spans="12:16" x14ac:dyDescent="0.3">
      <c r="L1163"/>
      <c r="O1163" s="52"/>
      <c r="P1163" s="52"/>
    </row>
    <row r="1164" spans="12:16" x14ac:dyDescent="0.3">
      <c r="L1164"/>
      <c r="O1164" s="52"/>
      <c r="P1164" s="52"/>
    </row>
    <row r="1165" spans="12:16" x14ac:dyDescent="0.3">
      <c r="L1165"/>
      <c r="O1165" s="52"/>
      <c r="P1165" s="52"/>
    </row>
    <row r="1166" spans="12:16" x14ac:dyDescent="0.3">
      <c r="L1166"/>
      <c r="O1166" s="52"/>
      <c r="P1166" s="52"/>
    </row>
    <row r="1167" spans="12:16" x14ac:dyDescent="0.3">
      <c r="L1167"/>
      <c r="O1167" s="52"/>
      <c r="P1167" s="52"/>
    </row>
    <row r="1168" spans="12:16" x14ac:dyDescent="0.3">
      <c r="L1168"/>
      <c r="O1168" s="52"/>
      <c r="P1168" s="52"/>
    </row>
    <row r="1169" spans="12:16" x14ac:dyDescent="0.3">
      <c r="L1169"/>
      <c r="O1169" s="52"/>
      <c r="P1169" s="52"/>
    </row>
    <row r="1170" spans="12:16" x14ac:dyDescent="0.3">
      <c r="L1170"/>
      <c r="O1170" s="52"/>
      <c r="P1170" s="52"/>
    </row>
    <row r="1171" spans="12:16" x14ac:dyDescent="0.3">
      <c r="L1171"/>
      <c r="O1171" s="52"/>
      <c r="P1171" s="52"/>
    </row>
    <row r="1172" spans="12:16" x14ac:dyDescent="0.3">
      <c r="L1172"/>
      <c r="O1172" s="52"/>
      <c r="P1172" s="52"/>
    </row>
    <row r="1173" spans="12:16" x14ac:dyDescent="0.3">
      <c r="L1173"/>
      <c r="O1173" s="52"/>
      <c r="P1173" s="52"/>
    </row>
    <row r="1174" spans="12:16" x14ac:dyDescent="0.3">
      <c r="L1174"/>
      <c r="O1174" s="52"/>
      <c r="P1174" s="52"/>
    </row>
    <row r="1175" spans="12:16" x14ac:dyDescent="0.3">
      <c r="L1175"/>
      <c r="O1175" s="52"/>
      <c r="P1175" s="52"/>
    </row>
    <row r="1176" spans="12:16" x14ac:dyDescent="0.3">
      <c r="L1176"/>
      <c r="O1176" s="52"/>
      <c r="P1176" s="52"/>
    </row>
    <row r="1177" spans="12:16" x14ac:dyDescent="0.3">
      <c r="L1177"/>
      <c r="O1177" s="52"/>
      <c r="P1177" s="52"/>
    </row>
    <row r="1178" spans="12:16" x14ac:dyDescent="0.3">
      <c r="L1178"/>
      <c r="O1178" s="52"/>
      <c r="P1178" s="52"/>
    </row>
    <row r="1179" spans="12:16" x14ac:dyDescent="0.3">
      <c r="L1179"/>
      <c r="O1179" s="52"/>
      <c r="P1179" s="52"/>
    </row>
    <row r="1180" spans="12:16" x14ac:dyDescent="0.3">
      <c r="L1180"/>
      <c r="O1180" s="52"/>
      <c r="P1180" s="52"/>
    </row>
    <row r="1181" spans="12:16" x14ac:dyDescent="0.3">
      <c r="L1181"/>
      <c r="O1181" s="52"/>
      <c r="P1181" s="52"/>
    </row>
    <row r="1182" spans="12:16" x14ac:dyDescent="0.3">
      <c r="L1182"/>
      <c r="O1182" s="52"/>
      <c r="P1182" s="52"/>
    </row>
    <row r="1183" spans="12:16" x14ac:dyDescent="0.3">
      <c r="L1183"/>
      <c r="O1183" s="52"/>
      <c r="P1183" s="52"/>
    </row>
    <row r="1184" spans="12:16" x14ac:dyDescent="0.3">
      <c r="L1184"/>
      <c r="O1184" s="52"/>
      <c r="P1184" s="52"/>
    </row>
    <row r="1185" spans="12:16" x14ac:dyDescent="0.3">
      <c r="L1185"/>
      <c r="O1185" s="52"/>
      <c r="P1185" s="52"/>
    </row>
    <row r="1186" spans="12:16" x14ac:dyDescent="0.3">
      <c r="L1186"/>
      <c r="O1186" s="52"/>
      <c r="P1186" s="52"/>
    </row>
    <row r="1187" spans="12:16" x14ac:dyDescent="0.3">
      <c r="L1187"/>
      <c r="O1187" s="52"/>
      <c r="P1187" s="52"/>
    </row>
    <row r="1188" spans="12:16" x14ac:dyDescent="0.3">
      <c r="L1188"/>
      <c r="O1188" s="52"/>
      <c r="P1188" s="52"/>
    </row>
    <row r="1189" spans="12:16" x14ac:dyDescent="0.3">
      <c r="L1189"/>
      <c r="O1189" s="52"/>
      <c r="P1189" s="52"/>
    </row>
    <row r="1190" spans="12:16" x14ac:dyDescent="0.3">
      <c r="L1190"/>
      <c r="O1190" s="52"/>
      <c r="P1190" s="52"/>
    </row>
    <row r="1191" spans="12:16" x14ac:dyDescent="0.3">
      <c r="L1191"/>
      <c r="O1191" s="52"/>
      <c r="P1191" s="52"/>
    </row>
    <row r="1192" spans="12:16" x14ac:dyDescent="0.3">
      <c r="L1192"/>
      <c r="O1192" s="52"/>
      <c r="P1192" s="52"/>
    </row>
    <row r="1193" spans="12:16" x14ac:dyDescent="0.3">
      <c r="L1193"/>
      <c r="O1193" s="52"/>
      <c r="P1193" s="52"/>
    </row>
    <row r="1194" spans="12:16" x14ac:dyDescent="0.3">
      <c r="L1194"/>
      <c r="O1194" s="52"/>
      <c r="P1194" s="52"/>
    </row>
    <row r="1195" spans="12:16" x14ac:dyDescent="0.3">
      <c r="L1195"/>
      <c r="O1195" s="52"/>
      <c r="P1195" s="52"/>
    </row>
    <row r="1196" spans="12:16" x14ac:dyDescent="0.3">
      <c r="L1196"/>
      <c r="O1196" s="52"/>
      <c r="P1196" s="52"/>
    </row>
    <row r="1197" spans="12:16" x14ac:dyDescent="0.3">
      <c r="L1197"/>
      <c r="O1197" s="52"/>
      <c r="P1197" s="52"/>
    </row>
    <row r="1198" spans="12:16" x14ac:dyDescent="0.3">
      <c r="L1198"/>
      <c r="O1198" s="52"/>
      <c r="P1198" s="52"/>
    </row>
    <row r="1199" spans="12:16" x14ac:dyDescent="0.3">
      <c r="L1199"/>
      <c r="O1199" s="52"/>
      <c r="P1199" s="52"/>
    </row>
    <row r="1200" spans="12:16" x14ac:dyDescent="0.3">
      <c r="L1200"/>
      <c r="O1200" s="52"/>
      <c r="P1200" s="52"/>
    </row>
    <row r="1201" spans="12:16" x14ac:dyDescent="0.3">
      <c r="L1201"/>
      <c r="O1201" s="52"/>
      <c r="P1201" s="52"/>
    </row>
    <row r="1202" spans="12:16" x14ac:dyDescent="0.3">
      <c r="L1202"/>
      <c r="O1202" s="52"/>
      <c r="P1202" s="52"/>
    </row>
    <row r="1203" spans="12:16" x14ac:dyDescent="0.3">
      <c r="L1203"/>
      <c r="O1203" s="52"/>
      <c r="P1203" s="52"/>
    </row>
    <row r="1204" spans="12:16" x14ac:dyDescent="0.3">
      <c r="L1204"/>
      <c r="O1204" s="52"/>
      <c r="P1204" s="52"/>
    </row>
    <row r="1205" spans="12:16" x14ac:dyDescent="0.3">
      <c r="L1205"/>
      <c r="O1205" s="52"/>
      <c r="P1205" s="52"/>
    </row>
    <row r="1206" spans="12:16" x14ac:dyDescent="0.3">
      <c r="L1206"/>
      <c r="O1206" s="52"/>
      <c r="P1206" s="52"/>
    </row>
    <row r="1207" spans="12:16" x14ac:dyDescent="0.3">
      <c r="L1207"/>
      <c r="O1207" s="52"/>
      <c r="P1207" s="52"/>
    </row>
    <row r="1208" spans="12:16" x14ac:dyDescent="0.3">
      <c r="L1208"/>
      <c r="O1208" s="52"/>
      <c r="P1208" s="52"/>
    </row>
    <row r="1209" spans="12:16" x14ac:dyDescent="0.3">
      <c r="L1209"/>
      <c r="O1209" s="52"/>
      <c r="P1209" s="52"/>
    </row>
    <row r="1210" spans="12:16" x14ac:dyDescent="0.3">
      <c r="L1210"/>
      <c r="O1210" s="52"/>
      <c r="P1210" s="52"/>
    </row>
    <row r="1211" spans="12:16" x14ac:dyDescent="0.3">
      <c r="L1211"/>
      <c r="O1211" s="52"/>
      <c r="P1211" s="52"/>
    </row>
    <row r="1212" spans="12:16" x14ac:dyDescent="0.3">
      <c r="L1212"/>
      <c r="O1212" s="52"/>
      <c r="P1212" s="52"/>
    </row>
    <row r="1213" spans="12:16" x14ac:dyDescent="0.3">
      <c r="L1213"/>
      <c r="O1213" s="52"/>
      <c r="P1213" s="52"/>
    </row>
    <row r="1214" spans="12:16" x14ac:dyDescent="0.3">
      <c r="L1214"/>
      <c r="O1214" s="52"/>
      <c r="P1214" s="52"/>
    </row>
    <row r="1215" spans="12:16" x14ac:dyDescent="0.3">
      <c r="L1215"/>
      <c r="O1215" s="52"/>
      <c r="P1215" s="52"/>
    </row>
    <row r="1216" spans="12:16" x14ac:dyDescent="0.3">
      <c r="L1216"/>
      <c r="O1216" s="52"/>
      <c r="P1216" s="52"/>
    </row>
    <row r="1217" spans="12:16" x14ac:dyDescent="0.3">
      <c r="L1217"/>
      <c r="O1217" s="52"/>
      <c r="P1217" s="52"/>
    </row>
    <row r="1218" spans="12:16" x14ac:dyDescent="0.3">
      <c r="L1218"/>
      <c r="O1218" s="52"/>
      <c r="P1218" s="52"/>
    </row>
    <row r="1219" spans="12:16" x14ac:dyDescent="0.3">
      <c r="L1219"/>
      <c r="O1219" s="52"/>
      <c r="P1219" s="52"/>
    </row>
    <row r="1220" spans="12:16" x14ac:dyDescent="0.3">
      <c r="L1220"/>
      <c r="O1220" s="52"/>
      <c r="P1220" s="52"/>
    </row>
    <row r="1221" spans="12:16" x14ac:dyDescent="0.3">
      <c r="L1221"/>
      <c r="O1221" s="52"/>
      <c r="P1221" s="52"/>
    </row>
    <row r="1222" spans="12:16" x14ac:dyDescent="0.3">
      <c r="L1222"/>
      <c r="O1222" s="52"/>
      <c r="P1222" s="52"/>
    </row>
    <row r="1223" spans="12:16" x14ac:dyDescent="0.3">
      <c r="L1223"/>
      <c r="O1223" s="52"/>
      <c r="P1223" s="52"/>
    </row>
    <row r="1224" spans="12:16" x14ac:dyDescent="0.3">
      <c r="L1224"/>
      <c r="O1224" s="52"/>
      <c r="P1224" s="52"/>
    </row>
    <row r="1225" spans="12:16" x14ac:dyDescent="0.3">
      <c r="L1225"/>
      <c r="O1225" s="52"/>
      <c r="P1225" s="52"/>
    </row>
    <row r="1226" spans="12:16" x14ac:dyDescent="0.3">
      <c r="L1226"/>
      <c r="O1226" s="52"/>
      <c r="P1226" s="52"/>
    </row>
    <row r="1227" spans="12:16" x14ac:dyDescent="0.3">
      <c r="L1227"/>
      <c r="O1227" s="52"/>
      <c r="P1227" s="52"/>
    </row>
    <row r="1228" spans="12:16" x14ac:dyDescent="0.3">
      <c r="L1228"/>
      <c r="O1228" s="52"/>
      <c r="P1228" s="52"/>
    </row>
    <row r="1229" spans="12:16" x14ac:dyDescent="0.3">
      <c r="L1229"/>
      <c r="O1229" s="52"/>
      <c r="P1229" s="52"/>
    </row>
    <row r="1230" spans="12:16" x14ac:dyDescent="0.3">
      <c r="L1230"/>
      <c r="O1230" s="52"/>
      <c r="P1230" s="52"/>
    </row>
    <row r="1231" spans="12:16" x14ac:dyDescent="0.3">
      <c r="L1231"/>
      <c r="O1231" s="52"/>
      <c r="P1231" s="52"/>
    </row>
    <row r="1232" spans="12:16" x14ac:dyDescent="0.3">
      <c r="L1232"/>
      <c r="O1232" s="52"/>
      <c r="P1232" s="52"/>
    </row>
    <row r="1233" spans="12:16" x14ac:dyDescent="0.3">
      <c r="L1233"/>
      <c r="O1233" s="52"/>
      <c r="P1233" s="52"/>
    </row>
    <row r="1234" spans="12:16" x14ac:dyDescent="0.3">
      <c r="L1234"/>
      <c r="O1234" s="52"/>
      <c r="P1234" s="52"/>
    </row>
    <row r="1235" spans="12:16" x14ac:dyDescent="0.3">
      <c r="L1235"/>
      <c r="O1235" s="52"/>
      <c r="P1235" s="52"/>
    </row>
    <row r="1236" spans="12:16" x14ac:dyDescent="0.3">
      <c r="L1236"/>
      <c r="O1236" s="52"/>
      <c r="P1236" s="52"/>
    </row>
    <row r="1237" spans="12:16" x14ac:dyDescent="0.3">
      <c r="L1237"/>
      <c r="O1237" s="52"/>
      <c r="P1237" s="52"/>
    </row>
    <row r="1238" spans="12:16" x14ac:dyDescent="0.3">
      <c r="L1238"/>
      <c r="O1238" s="52"/>
      <c r="P1238" s="52"/>
    </row>
    <row r="1239" spans="12:16" x14ac:dyDescent="0.3">
      <c r="L1239"/>
      <c r="O1239" s="52"/>
      <c r="P1239" s="52"/>
    </row>
    <row r="1240" spans="12:16" x14ac:dyDescent="0.3">
      <c r="L1240"/>
      <c r="O1240" s="52"/>
      <c r="P1240" s="52"/>
    </row>
    <row r="1241" spans="12:16" x14ac:dyDescent="0.3">
      <c r="L1241"/>
      <c r="O1241" s="52"/>
      <c r="P1241" s="52"/>
    </row>
    <row r="1242" spans="12:16" x14ac:dyDescent="0.3">
      <c r="L1242"/>
      <c r="O1242" s="52"/>
      <c r="P1242" s="52"/>
    </row>
    <row r="1243" spans="12:16" x14ac:dyDescent="0.3">
      <c r="L1243"/>
      <c r="O1243" s="52"/>
      <c r="P1243" s="52"/>
    </row>
    <row r="1244" spans="12:16" x14ac:dyDescent="0.3">
      <c r="L1244"/>
      <c r="O1244" s="52"/>
      <c r="P1244" s="52"/>
    </row>
    <row r="1245" spans="12:16" x14ac:dyDescent="0.3">
      <c r="L1245"/>
      <c r="O1245" s="52"/>
      <c r="P1245" s="52"/>
    </row>
    <row r="1246" spans="12:16" x14ac:dyDescent="0.3">
      <c r="L1246"/>
      <c r="O1246" s="52"/>
      <c r="P1246" s="52"/>
    </row>
    <row r="1247" spans="12:16" x14ac:dyDescent="0.3">
      <c r="L1247"/>
      <c r="O1247" s="52"/>
      <c r="P1247" s="52"/>
    </row>
    <row r="1248" spans="12:16" x14ac:dyDescent="0.3">
      <c r="L1248"/>
      <c r="O1248" s="52"/>
      <c r="P1248" s="52"/>
    </row>
    <row r="1249" spans="12:16" x14ac:dyDescent="0.3">
      <c r="L1249"/>
      <c r="O1249" s="52"/>
      <c r="P1249" s="52"/>
    </row>
    <row r="1250" spans="12:16" x14ac:dyDescent="0.3">
      <c r="L1250"/>
      <c r="O1250" s="52"/>
      <c r="P1250" s="52"/>
    </row>
    <row r="1251" spans="12:16" x14ac:dyDescent="0.3">
      <c r="L1251"/>
      <c r="O1251" s="52"/>
      <c r="P1251" s="52"/>
    </row>
    <row r="1252" spans="12:16" x14ac:dyDescent="0.3">
      <c r="L1252"/>
      <c r="O1252" s="52"/>
      <c r="P1252" s="52"/>
    </row>
    <row r="1253" spans="12:16" x14ac:dyDescent="0.3">
      <c r="L1253"/>
      <c r="O1253" s="52"/>
      <c r="P1253" s="52"/>
    </row>
    <row r="1254" spans="12:16" x14ac:dyDescent="0.3">
      <c r="L1254"/>
      <c r="O1254" s="52"/>
      <c r="P1254" s="52"/>
    </row>
    <row r="1255" spans="12:16" x14ac:dyDescent="0.3">
      <c r="L1255"/>
      <c r="O1255" s="52"/>
      <c r="P1255" s="52"/>
    </row>
    <row r="1256" spans="12:16" x14ac:dyDescent="0.3">
      <c r="L1256"/>
      <c r="O1256" s="52"/>
      <c r="P1256" s="52"/>
    </row>
    <row r="1257" spans="12:16" x14ac:dyDescent="0.3">
      <c r="L1257"/>
      <c r="O1257" s="52"/>
      <c r="P1257" s="52"/>
    </row>
    <row r="1258" spans="12:16" x14ac:dyDescent="0.3">
      <c r="L1258"/>
      <c r="O1258" s="52"/>
      <c r="P1258" s="52"/>
    </row>
    <row r="1259" spans="12:16" x14ac:dyDescent="0.3">
      <c r="L1259"/>
      <c r="O1259" s="52"/>
      <c r="P1259" s="52"/>
    </row>
    <row r="1260" spans="12:16" x14ac:dyDescent="0.3">
      <c r="L1260"/>
      <c r="O1260" s="52"/>
      <c r="P1260" s="52"/>
    </row>
    <row r="1261" spans="12:16" x14ac:dyDescent="0.3">
      <c r="L1261"/>
      <c r="O1261" s="52"/>
      <c r="P1261" s="52"/>
    </row>
    <row r="1262" spans="12:16" x14ac:dyDescent="0.3">
      <c r="L1262"/>
      <c r="O1262" s="52"/>
      <c r="P1262" s="52"/>
    </row>
    <row r="1263" spans="12:16" x14ac:dyDescent="0.3">
      <c r="L1263"/>
      <c r="O1263" s="52"/>
      <c r="P1263" s="52"/>
    </row>
    <row r="1264" spans="12:16" x14ac:dyDescent="0.3">
      <c r="L1264"/>
      <c r="O1264" s="52"/>
      <c r="P1264" s="52"/>
    </row>
    <row r="1265" spans="12:16" x14ac:dyDescent="0.3">
      <c r="L1265"/>
      <c r="O1265" s="52"/>
      <c r="P1265" s="52"/>
    </row>
    <row r="1266" spans="12:16" x14ac:dyDescent="0.3">
      <c r="L1266"/>
      <c r="O1266" s="52"/>
      <c r="P1266" s="52"/>
    </row>
    <row r="1267" spans="12:16" x14ac:dyDescent="0.3">
      <c r="L1267"/>
      <c r="O1267" s="52"/>
      <c r="P1267" s="52"/>
    </row>
    <row r="1268" spans="12:16" x14ac:dyDescent="0.3">
      <c r="L1268"/>
      <c r="O1268" s="52"/>
      <c r="P1268" s="52"/>
    </row>
    <row r="1269" spans="12:16" x14ac:dyDescent="0.3">
      <c r="L1269"/>
      <c r="O1269" s="52"/>
      <c r="P1269" s="52"/>
    </row>
    <row r="1270" spans="12:16" x14ac:dyDescent="0.3">
      <c r="L1270"/>
      <c r="O1270" s="52"/>
      <c r="P1270" s="52"/>
    </row>
    <row r="1271" spans="12:16" x14ac:dyDescent="0.3">
      <c r="L1271"/>
      <c r="O1271" s="52"/>
      <c r="P1271" s="52"/>
    </row>
    <row r="1272" spans="12:16" x14ac:dyDescent="0.3">
      <c r="L1272"/>
      <c r="O1272" s="52"/>
      <c r="P1272" s="52"/>
    </row>
    <row r="1273" spans="12:16" x14ac:dyDescent="0.3">
      <c r="L1273"/>
      <c r="O1273" s="52"/>
      <c r="P1273" s="52"/>
    </row>
    <row r="1274" spans="12:16" x14ac:dyDescent="0.3">
      <c r="L1274"/>
      <c r="O1274" s="52"/>
      <c r="P1274" s="52"/>
    </row>
    <row r="1275" spans="12:16" x14ac:dyDescent="0.3">
      <c r="L1275"/>
      <c r="O1275" s="52"/>
      <c r="P1275" s="52"/>
    </row>
    <row r="1276" spans="12:16" x14ac:dyDescent="0.3">
      <c r="L1276"/>
      <c r="O1276" s="52"/>
      <c r="P1276" s="52"/>
    </row>
    <row r="1277" spans="12:16" x14ac:dyDescent="0.3">
      <c r="L1277"/>
      <c r="O1277" s="52"/>
      <c r="P1277" s="52"/>
    </row>
    <row r="1278" spans="12:16" x14ac:dyDescent="0.3">
      <c r="L1278"/>
      <c r="O1278" s="52"/>
      <c r="P1278" s="52"/>
    </row>
    <row r="1279" spans="12:16" x14ac:dyDescent="0.3">
      <c r="L1279"/>
      <c r="O1279" s="52"/>
      <c r="P1279" s="52"/>
    </row>
    <row r="1280" spans="12:16" x14ac:dyDescent="0.3">
      <c r="L1280"/>
      <c r="O1280" s="52"/>
      <c r="P1280" s="52"/>
    </row>
    <row r="1281" spans="12:16" x14ac:dyDescent="0.3">
      <c r="L1281"/>
      <c r="O1281" s="52"/>
      <c r="P1281" s="52"/>
    </row>
    <row r="1282" spans="12:16" x14ac:dyDescent="0.3">
      <c r="L1282"/>
      <c r="O1282" s="52"/>
      <c r="P1282" s="52"/>
    </row>
    <row r="1283" spans="12:16" x14ac:dyDescent="0.3">
      <c r="L1283"/>
      <c r="O1283" s="52"/>
      <c r="P1283" s="52"/>
    </row>
    <row r="1284" spans="12:16" x14ac:dyDescent="0.3">
      <c r="L1284"/>
      <c r="O1284" s="52"/>
      <c r="P1284" s="52"/>
    </row>
    <row r="1285" spans="12:16" x14ac:dyDescent="0.3">
      <c r="L1285"/>
      <c r="O1285" s="52"/>
      <c r="P1285" s="52"/>
    </row>
    <row r="1286" spans="12:16" x14ac:dyDescent="0.3">
      <c r="L1286"/>
      <c r="O1286" s="52"/>
      <c r="P1286" s="52"/>
    </row>
    <row r="1287" spans="12:16" x14ac:dyDescent="0.3">
      <c r="L1287"/>
      <c r="O1287" s="52"/>
      <c r="P1287" s="52"/>
    </row>
    <row r="1288" spans="12:16" x14ac:dyDescent="0.3">
      <c r="L1288"/>
      <c r="O1288" s="52"/>
      <c r="P1288" s="52"/>
    </row>
    <row r="1289" spans="12:16" x14ac:dyDescent="0.3">
      <c r="L1289"/>
      <c r="O1289" s="52"/>
      <c r="P1289" s="52"/>
    </row>
    <row r="1290" spans="12:16" x14ac:dyDescent="0.3">
      <c r="L1290"/>
      <c r="O1290" s="52"/>
      <c r="P1290" s="52"/>
    </row>
    <row r="1291" spans="12:16" x14ac:dyDescent="0.3">
      <c r="L1291"/>
      <c r="O1291" s="52"/>
      <c r="P1291" s="52"/>
    </row>
    <row r="1292" spans="12:16" x14ac:dyDescent="0.3">
      <c r="L1292"/>
      <c r="O1292" s="52"/>
      <c r="P1292" s="52"/>
    </row>
    <row r="1293" spans="12:16" x14ac:dyDescent="0.3">
      <c r="L1293"/>
      <c r="O1293" s="52"/>
      <c r="P1293" s="52"/>
    </row>
    <row r="1294" spans="12:16" x14ac:dyDescent="0.3">
      <c r="L1294"/>
      <c r="O1294" s="52"/>
      <c r="P1294" s="52"/>
    </row>
    <row r="1295" spans="12:16" x14ac:dyDescent="0.3">
      <c r="L1295"/>
      <c r="O1295" s="52"/>
      <c r="P1295" s="52"/>
    </row>
    <row r="1296" spans="12:16" x14ac:dyDescent="0.3">
      <c r="L1296"/>
      <c r="O1296" s="52"/>
      <c r="P1296" s="52"/>
    </row>
    <row r="1297" spans="12:16" x14ac:dyDescent="0.3">
      <c r="L1297"/>
      <c r="O1297" s="52"/>
      <c r="P1297" s="52"/>
    </row>
    <row r="1298" spans="12:16" x14ac:dyDescent="0.3">
      <c r="L1298"/>
      <c r="O1298" s="52"/>
      <c r="P1298" s="52"/>
    </row>
    <row r="1299" spans="12:16" x14ac:dyDescent="0.3">
      <c r="L1299"/>
      <c r="O1299" s="52"/>
      <c r="P1299" s="52"/>
    </row>
    <row r="1300" spans="12:16" x14ac:dyDescent="0.3">
      <c r="L1300"/>
      <c r="O1300" s="52"/>
      <c r="P1300" s="52"/>
    </row>
    <row r="1301" spans="12:16" x14ac:dyDescent="0.3">
      <c r="L1301"/>
      <c r="O1301" s="52"/>
      <c r="P1301" s="52"/>
    </row>
    <row r="1302" spans="12:16" x14ac:dyDescent="0.3">
      <c r="L1302"/>
      <c r="O1302" s="52"/>
      <c r="P1302" s="52"/>
    </row>
    <row r="1303" spans="12:16" x14ac:dyDescent="0.3">
      <c r="L1303"/>
      <c r="O1303" s="52"/>
      <c r="P1303" s="52"/>
    </row>
    <row r="1304" spans="12:16" x14ac:dyDescent="0.3">
      <c r="L1304"/>
      <c r="O1304" s="52"/>
      <c r="P1304" s="52"/>
    </row>
    <row r="1305" spans="12:16" x14ac:dyDescent="0.3">
      <c r="L1305"/>
      <c r="O1305" s="52"/>
      <c r="P1305" s="52"/>
    </row>
    <row r="1306" spans="12:16" x14ac:dyDescent="0.3">
      <c r="L1306"/>
      <c r="O1306" s="52"/>
      <c r="P1306" s="52"/>
    </row>
    <row r="1307" spans="12:16" x14ac:dyDescent="0.3">
      <c r="L1307"/>
      <c r="O1307" s="52"/>
      <c r="P1307" s="52"/>
    </row>
    <row r="1308" spans="12:16" x14ac:dyDescent="0.3">
      <c r="L1308"/>
      <c r="O1308" s="52"/>
      <c r="P1308" s="52"/>
    </row>
    <row r="1309" spans="12:16" x14ac:dyDescent="0.3">
      <c r="L1309"/>
      <c r="O1309" s="52"/>
      <c r="P1309" s="52"/>
    </row>
    <row r="1310" spans="12:16" x14ac:dyDescent="0.3">
      <c r="L1310"/>
      <c r="O1310" s="52"/>
      <c r="P1310" s="52"/>
    </row>
    <row r="1311" spans="12:16" x14ac:dyDescent="0.3">
      <c r="L1311"/>
      <c r="O1311" s="52"/>
      <c r="P1311" s="52"/>
    </row>
    <row r="1312" spans="12:16" x14ac:dyDescent="0.3">
      <c r="L1312"/>
      <c r="O1312" s="52"/>
      <c r="P1312" s="52"/>
    </row>
    <row r="1313" spans="12:16" x14ac:dyDescent="0.3">
      <c r="L1313"/>
      <c r="O1313" s="52"/>
      <c r="P1313" s="52"/>
    </row>
    <row r="1314" spans="12:16" x14ac:dyDescent="0.3">
      <c r="L1314"/>
      <c r="O1314" s="52"/>
      <c r="P1314" s="52"/>
    </row>
    <row r="1315" spans="12:16" x14ac:dyDescent="0.3">
      <c r="L1315"/>
      <c r="O1315" s="52"/>
      <c r="P1315" s="52"/>
    </row>
    <row r="1316" spans="12:16" x14ac:dyDescent="0.3">
      <c r="L1316"/>
      <c r="O1316" s="52"/>
      <c r="P1316" s="52"/>
    </row>
    <row r="1317" spans="12:16" x14ac:dyDescent="0.3">
      <c r="L1317"/>
      <c r="O1317" s="52"/>
      <c r="P1317" s="52"/>
    </row>
    <row r="1318" spans="12:16" x14ac:dyDescent="0.3">
      <c r="L1318"/>
      <c r="O1318" s="52"/>
      <c r="P1318" s="52"/>
    </row>
    <row r="1319" spans="12:16" x14ac:dyDescent="0.3">
      <c r="L1319"/>
      <c r="O1319" s="52"/>
      <c r="P1319" s="52"/>
    </row>
    <row r="1320" spans="12:16" x14ac:dyDescent="0.3">
      <c r="L1320"/>
      <c r="O1320" s="52"/>
      <c r="P1320" s="52"/>
    </row>
    <row r="1321" spans="12:16" x14ac:dyDescent="0.3">
      <c r="L1321"/>
      <c r="O1321" s="52"/>
      <c r="P1321" s="52"/>
    </row>
    <row r="1322" spans="12:16" x14ac:dyDescent="0.3">
      <c r="L1322"/>
      <c r="O1322" s="52"/>
      <c r="P1322" s="52"/>
    </row>
    <row r="1323" spans="12:16" x14ac:dyDescent="0.3">
      <c r="L1323"/>
      <c r="O1323" s="52"/>
      <c r="P1323" s="52"/>
    </row>
    <row r="1324" spans="12:16" x14ac:dyDescent="0.3">
      <c r="L1324"/>
      <c r="O1324" s="52"/>
      <c r="P1324" s="52"/>
    </row>
    <row r="1325" spans="12:16" x14ac:dyDescent="0.3">
      <c r="L1325"/>
      <c r="O1325" s="52"/>
      <c r="P1325" s="52"/>
    </row>
    <row r="1326" spans="12:16" x14ac:dyDescent="0.3">
      <c r="L1326"/>
      <c r="O1326" s="52"/>
      <c r="P1326" s="52"/>
    </row>
    <row r="1327" spans="12:16" x14ac:dyDescent="0.3">
      <c r="L1327"/>
      <c r="O1327" s="52"/>
      <c r="P1327" s="52"/>
    </row>
    <row r="1328" spans="12:16" x14ac:dyDescent="0.3">
      <c r="L1328"/>
      <c r="O1328" s="52"/>
      <c r="P1328" s="52"/>
    </row>
    <row r="1329" spans="12:16" x14ac:dyDescent="0.3">
      <c r="L1329"/>
      <c r="O1329" s="52"/>
      <c r="P1329" s="52"/>
    </row>
    <row r="1330" spans="12:16" x14ac:dyDescent="0.3">
      <c r="L1330"/>
      <c r="O1330" s="52"/>
      <c r="P1330" s="52"/>
    </row>
    <row r="1331" spans="12:16" x14ac:dyDescent="0.3">
      <c r="L1331"/>
      <c r="O1331" s="52"/>
      <c r="P1331" s="52"/>
    </row>
    <row r="1332" spans="12:16" x14ac:dyDescent="0.3">
      <c r="L1332"/>
      <c r="O1332" s="52"/>
      <c r="P1332" s="52"/>
    </row>
    <row r="1333" spans="12:16" x14ac:dyDescent="0.3">
      <c r="L1333"/>
      <c r="O1333" s="52"/>
      <c r="P1333" s="52"/>
    </row>
    <row r="1334" spans="12:16" x14ac:dyDescent="0.3">
      <c r="L1334"/>
      <c r="O1334" s="52"/>
      <c r="P1334" s="52"/>
    </row>
    <row r="1335" spans="12:16" x14ac:dyDescent="0.3">
      <c r="L1335"/>
      <c r="O1335" s="52"/>
      <c r="P1335" s="52"/>
    </row>
    <row r="1336" spans="12:16" x14ac:dyDescent="0.3">
      <c r="L1336"/>
      <c r="O1336" s="52"/>
      <c r="P1336" s="52"/>
    </row>
    <row r="1337" spans="12:16" x14ac:dyDescent="0.3">
      <c r="L1337"/>
      <c r="O1337" s="52"/>
      <c r="P1337" s="52"/>
    </row>
    <row r="1338" spans="12:16" x14ac:dyDescent="0.3">
      <c r="L1338"/>
      <c r="O1338" s="52"/>
      <c r="P1338" s="52"/>
    </row>
    <row r="1339" spans="12:16" x14ac:dyDescent="0.3">
      <c r="L1339"/>
      <c r="O1339" s="52"/>
      <c r="P1339" s="52"/>
    </row>
    <row r="1340" spans="12:16" x14ac:dyDescent="0.3">
      <c r="L1340"/>
      <c r="O1340" s="52"/>
      <c r="P1340" s="52"/>
    </row>
    <row r="1341" spans="12:16" x14ac:dyDescent="0.3">
      <c r="L1341"/>
      <c r="O1341" s="52"/>
      <c r="P1341" s="52"/>
    </row>
    <row r="1342" spans="12:16" x14ac:dyDescent="0.3">
      <c r="L1342"/>
      <c r="O1342" s="52"/>
      <c r="P1342" s="52"/>
    </row>
    <row r="1343" spans="12:16" x14ac:dyDescent="0.3">
      <c r="L1343"/>
      <c r="O1343" s="52"/>
      <c r="P1343" s="52"/>
    </row>
    <row r="1344" spans="12:16" x14ac:dyDescent="0.3">
      <c r="L1344"/>
      <c r="O1344" s="52"/>
      <c r="P1344" s="52"/>
    </row>
    <row r="1345" spans="12:16" x14ac:dyDescent="0.3">
      <c r="L1345"/>
      <c r="O1345" s="52"/>
      <c r="P1345" s="52"/>
    </row>
    <row r="1346" spans="12:16" x14ac:dyDescent="0.3">
      <c r="L1346"/>
      <c r="O1346" s="52"/>
      <c r="P1346" s="52"/>
    </row>
    <row r="1347" spans="12:16" x14ac:dyDescent="0.3">
      <c r="L1347"/>
      <c r="O1347" s="52"/>
      <c r="P1347" s="52"/>
    </row>
    <row r="1348" spans="12:16" x14ac:dyDescent="0.3">
      <c r="L1348"/>
      <c r="O1348" s="52"/>
      <c r="P1348" s="52"/>
    </row>
    <row r="1349" spans="12:16" x14ac:dyDescent="0.3">
      <c r="L1349"/>
      <c r="O1349" s="52"/>
      <c r="P1349" s="52"/>
    </row>
    <row r="1350" spans="12:16" x14ac:dyDescent="0.3">
      <c r="L1350"/>
      <c r="O1350" s="52"/>
      <c r="P1350" s="52"/>
    </row>
    <row r="1351" spans="12:16" x14ac:dyDescent="0.3">
      <c r="L1351"/>
      <c r="O1351" s="52"/>
      <c r="P1351" s="52"/>
    </row>
    <row r="1352" spans="12:16" x14ac:dyDescent="0.3">
      <c r="L1352"/>
      <c r="O1352" s="52"/>
      <c r="P1352" s="52"/>
    </row>
    <row r="1353" spans="12:16" x14ac:dyDescent="0.3">
      <c r="L1353"/>
      <c r="O1353" s="52"/>
      <c r="P1353" s="52"/>
    </row>
    <row r="1354" spans="12:16" x14ac:dyDescent="0.3">
      <c r="L1354"/>
      <c r="O1354" s="52"/>
      <c r="P1354" s="52"/>
    </row>
    <row r="1355" spans="12:16" x14ac:dyDescent="0.3">
      <c r="L1355"/>
      <c r="O1355" s="52"/>
      <c r="P1355" s="52"/>
    </row>
    <row r="1356" spans="12:16" x14ac:dyDescent="0.3">
      <c r="L1356"/>
      <c r="O1356" s="52"/>
      <c r="P1356" s="52"/>
    </row>
    <row r="1357" spans="12:16" x14ac:dyDescent="0.3">
      <c r="L1357"/>
      <c r="O1357" s="52"/>
      <c r="P1357" s="52"/>
    </row>
    <row r="1358" spans="12:16" x14ac:dyDescent="0.3">
      <c r="L1358"/>
      <c r="O1358" s="52"/>
      <c r="P1358" s="52"/>
    </row>
    <row r="1359" spans="12:16" x14ac:dyDescent="0.3">
      <c r="L1359"/>
      <c r="O1359" s="52"/>
      <c r="P1359" s="52"/>
    </row>
    <row r="1360" spans="12:16" x14ac:dyDescent="0.3">
      <c r="L1360"/>
      <c r="O1360" s="52"/>
      <c r="P1360" s="52"/>
    </row>
    <row r="1361" spans="12:16" x14ac:dyDescent="0.3">
      <c r="L1361"/>
      <c r="O1361" s="52"/>
      <c r="P1361" s="52"/>
    </row>
    <row r="1362" spans="12:16" x14ac:dyDescent="0.3">
      <c r="L1362"/>
      <c r="O1362" s="52"/>
      <c r="P1362" s="52"/>
    </row>
    <row r="1363" spans="12:16" x14ac:dyDescent="0.3">
      <c r="L1363"/>
      <c r="O1363" s="52"/>
      <c r="P1363" s="52"/>
    </row>
    <row r="1364" spans="12:16" x14ac:dyDescent="0.3">
      <c r="L1364"/>
      <c r="O1364" s="52"/>
      <c r="P1364" s="52"/>
    </row>
    <row r="1365" spans="12:16" x14ac:dyDescent="0.3">
      <c r="L1365"/>
      <c r="O1365" s="52"/>
      <c r="P1365" s="52"/>
    </row>
    <row r="1366" spans="12:16" x14ac:dyDescent="0.3">
      <c r="L1366"/>
      <c r="O1366" s="52"/>
      <c r="P1366" s="52"/>
    </row>
    <row r="1367" spans="12:16" x14ac:dyDescent="0.3">
      <c r="L1367"/>
      <c r="O1367" s="52"/>
      <c r="P1367" s="52"/>
    </row>
    <row r="1368" spans="12:16" x14ac:dyDescent="0.3">
      <c r="L1368"/>
      <c r="O1368" s="52"/>
      <c r="P1368" s="52"/>
    </row>
    <row r="1369" spans="12:16" x14ac:dyDescent="0.3">
      <c r="L1369"/>
      <c r="O1369" s="52"/>
      <c r="P1369" s="52"/>
    </row>
    <row r="1370" spans="12:16" x14ac:dyDescent="0.3">
      <c r="L1370"/>
      <c r="O1370" s="52"/>
      <c r="P1370" s="52"/>
    </row>
    <row r="1371" spans="12:16" x14ac:dyDescent="0.3">
      <c r="L1371"/>
      <c r="O1371" s="52"/>
      <c r="P1371" s="52"/>
    </row>
    <row r="1372" spans="12:16" x14ac:dyDescent="0.3">
      <c r="L1372"/>
      <c r="O1372" s="52"/>
      <c r="P1372" s="52"/>
    </row>
    <row r="1373" spans="12:16" x14ac:dyDescent="0.3">
      <c r="L1373"/>
      <c r="O1373" s="52"/>
      <c r="P1373" s="52"/>
    </row>
    <row r="1374" spans="12:16" x14ac:dyDescent="0.3">
      <c r="L1374"/>
      <c r="O1374" s="52"/>
      <c r="P1374" s="52"/>
    </row>
    <row r="1375" spans="12:16" x14ac:dyDescent="0.3">
      <c r="L1375"/>
      <c r="O1375" s="52"/>
      <c r="P1375" s="52"/>
    </row>
    <row r="1376" spans="12:16" x14ac:dyDescent="0.3">
      <c r="L1376"/>
      <c r="O1376" s="52"/>
      <c r="P1376" s="52"/>
    </row>
    <row r="1377" spans="12:16" x14ac:dyDescent="0.3">
      <c r="L1377"/>
      <c r="O1377" s="52"/>
      <c r="P1377" s="52"/>
    </row>
    <row r="1378" spans="12:16" x14ac:dyDescent="0.3">
      <c r="L1378"/>
      <c r="O1378" s="52"/>
      <c r="P1378" s="52"/>
    </row>
    <row r="1379" spans="12:16" x14ac:dyDescent="0.3">
      <c r="L1379"/>
      <c r="O1379" s="52"/>
      <c r="P1379" s="52"/>
    </row>
    <row r="1380" spans="12:16" x14ac:dyDescent="0.3">
      <c r="L1380"/>
      <c r="O1380" s="52"/>
      <c r="P1380" s="52"/>
    </row>
    <row r="1381" spans="12:16" x14ac:dyDescent="0.3">
      <c r="L1381"/>
      <c r="O1381" s="52"/>
      <c r="P1381" s="52"/>
    </row>
    <row r="1382" spans="12:16" x14ac:dyDescent="0.3">
      <c r="L1382"/>
      <c r="O1382" s="52"/>
      <c r="P1382" s="52"/>
    </row>
    <row r="1383" spans="12:16" x14ac:dyDescent="0.3">
      <c r="L1383"/>
      <c r="O1383" s="52"/>
      <c r="P1383" s="52"/>
    </row>
    <row r="1384" spans="12:16" x14ac:dyDescent="0.3">
      <c r="L1384"/>
      <c r="O1384" s="52"/>
      <c r="P1384" s="52"/>
    </row>
    <row r="1385" spans="12:16" x14ac:dyDescent="0.3">
      <c r="L1385"/>
      <c r="O1385" s="52"/>
      <c r="P1385" s="52"/>
    </row>
    <row r="1386" spans="12:16" x14ac:dyDescent="0.3">
      <c r="L1386"/>
      <c r="O1386" s="52"/>
      <c r="P1386" s="52"/>
    </row>
    <row r="1387" spans="12:16" x14ac:dyDescent="0.3">
      <c r="L1387"/>
      <c r="O1387" s="52"/>
      <c r="P1387" s="52"/>
    </row>
    <row r="1388" spans="12:16" x14ac:dyDescent="0.3">
      <c r="L1388"/>
      <c r="O1388" s="52"/>
      <c r="P1388" s="52"/>
    </row>
    <row r="1389" spans="12:16" x14ac:dyDescent="0.3">
      <c r="L1389"/>
      <c r="O1389" s="52"/>
      <c r="P1389" s="52"/>
    </row>
    <row r="1390" spans="12:16" x14ac:dyDescent="0.3">
      <c r="L1390"/>
      <c r="O1390" s="52"/>
      <c r="P1390" s="52"/>
    </row>
    <row r="1391" spans="12:16" x14ac:dyDescent="0.3">
      <c r="L1391"/>
      <c r="O1391" s="52"/>
      <c r="P1391" s="52"/>
    </row>
    <row r="1392" spans="12:16" x14ac:dyDescent="0.3">
      <c r="L1392"/>
      <c r="O1392" s="52"/>
      <c r="P1392" s="52"/>
    </row>
    <row r="1393" spans="12:16" x14ac:dyDescent="0.3">
      <c r="L1393"/>
      <c r="O1393" s="52"/>
      <c r="P1393" s="52"/>
    </row>
    <row r="1394" spans="12:16" x14ac:dyDescent="0.3">
      <c r="L1394"/>
      <c r="O1394" s="52"/>
      <c r="P1394" s="52"/>
    </row>
    <row r="1395" spans="12:16" x14ac:dyDescent="0.3">
      <c r="L1395"/>
      <c r="O1395" s="52"/>
      <c r="P1395" s="52"/>
    </row>
    <row r="1396" spans="12:16" x14ac:dyDescent="0.3">
      <c r="L1396"/>
      <c r="O1396" s="52"/>
      <c r="P1396" s="52"/>
    </row>
    <row r="1397" spans="12:16" x14ac:dyDescent="0.3">
      <c r="L1397"/>
      <c r="O1397" s="52"/>
      <c r="P1397" s="52"/>
    </row>
    <row r="1398" spans="12:16" x14ac:dyDescent="0.3">
      <c r="L1398"/>
      <c r="O1398" s="52"/>
      <c r="P1398" s="52"/>
    </row>
    <row r="1399" spans="12:16" x14ac:dyDescent="0.3">
      <c r="L1399"/>
      <c r="O1399" s="52"/>
      <c r="P1399" s="52"/>
    </row>
    <row r="1400" spans="12:16" x14ac:dyDescent="0.3">
      <c r="L1400"/>
      <c r="O1400" s="52"/>
      <c r="P1400" s="52"/>
    </row>
    <row r="1401" spans="12:16" x14ac:dyDescent="0.3">
      <c r="L1401"/>
      <c r="O1401" s="52"/>
      <c r="P1401" s="52"/>
    </row>
    <row r="1402" spans="12:16" x14ac:dyDescent="0.3">
      <c r="L1402"/>
      <c r="O1402" s="52"/>
      <c r="P1402" s="52"/>
    </row>
    <row r="1403" spans="12:16" x14ac:dyDescent="0.3">
      <c r="L1403"/>
      <c r="O1403" s="52"/>
      <c r="P1403" s="52"/>
    </row>
    <row r="1404" spans="12:16" x14ac:dyDescent="0.3">
      <c r="L1404"/>
      <c r="O1404" s="52"/>
      <c r="P1404" s="52"/>
    </row>
    <row r="1405" spans="12:16" x14ac:dyDescent="0.3">
      <c r="L1405"/>
      <c r="O1405" s="52"/>
      <c r="P1405" s="52"/>
    </row>
    <row r="1406" spans="12:16" x14ac:dyDescent="0.3">
      <c r="L1406"/>
      <c r="O1406" s="52"/>
      <c r="P1406" s="52"/>
    </row>
    <row r="1407" spans="12:16" x14ac:dyDescent="0.3">
      <c r="L1407"/>
      <c r="O1407" s="52"/>
      <c r="P1407" s="52"/>
    </row>
    <row r="1408" spans="12:16" x14ac:dyDescent="0.3">
      <c r="L1408"/>
      <c r="O1408" s="52"/>
      <c r="P1408" s="52"/>
    </row>
    <row r="1409" spans="12:16" x14ac:dyDescent="0.3">
      <c r="L1409"/>
      <c r="O1409" s="52"/>
      <c r="P1409" s="52"/>
    </row>
    <row r="1410" spans="12:16" x14ac:dyDescent="0.3">
      <c r="L1410"/>
      <c r="O1410" s="52"/>
      <c r="P1410" s="52"/>
    </row>
    <row r="1411" spans="12:16" x14ac:dyDescent="0.3">
      <c r="L1411"/>
      <c r="O1411" s="52"/>
      <c r="P1411" s="52"/>
    </row>
    <row r="1412" spans="12:16" x14ac:dyDescent="0.3">
      <c r="L1412"/>
      <c r="O1412" s="52"/>
      <c r="P1412" s="52"/>
    </row>
    <row r="1413" spans="12:16" x14ac:dyDescent="0.3">
      <c r="L1413"/>
      <c r="O1413" s="52"/>
      <c r="P1413" s="52"/>
    </row>
    <row r="1414" spans="12:16" x14ac:dyDescent="0.3">
      <c r="L1414"/>
      <c r="O1414" s="52"/>
      <c r="P1414" s="52"/>
    </row>
    <row r="1415" spans="12:16" x14ac:dyDescent="0.3">
      <c r="L1415"/>
      <c r="O1415" s="52"/>
      <c r="P1415" s="52"/>
    </row>
    <row r="1416" spans="12:16" x14ac:dyDescent="0.3">
      <c r="L1416"/>
      <c r="O1416" s="52"/>
      <c r="P1416" s="52"/>
    </row>
    <row r="1417" spans="12:16" x14ac:dyDescent="0.3">
      <c r="L1417"/>
      <c r="O1417" s="52"/>
      <c r="P1417" s="52"/>
    </row>
    <row r="1418" spans="12:16" x14ac:dyDescent="0.3">
      <c r="L1418"/>
      <c r="O1418" s="52"/>
      <c r="P1418" s="52"/>
    </row>
    <row r="1419" spans="12:16" x14ac:dyDescent="0.3">
      <c r="L1419"/>
      <c r="O1419" s="52"/>
      <c r="P1419" s="52"/>
    </row>
    <row r="1420" spans="12:16" x14ac:dyDescent="0.3">
      <c r="L1420"/>
      <c r="O1420" s="52"/>
      <c r="P1420" s="52"/>
    </row>
    <row r="1421" spans="12:16" x14ac:dyDescent="0.3">
      <c r="L1421"/>
      <c r="O1421" s="52"/>
      <c r="P1421" s="52"/>
    </row>
    <row r="1422" spans="12:16" x14ac:dyDescent="0.3">
      <c r="L1422"/>
      <c r="O1422" s="52"/>
      <c r="P1422" s="52"/>
    </row>
    <row r="1423" spans="12:16" x14ac:dyDescent="0.3">
      <c r="L1423"/>
      <c r="O1423" s="52"/>
      <c r="P1423" s="52"/>
    </row>
    <row r="1424" spans="12:16" x14ac:dyDescent="0.3">
      <c r="L1424"/>
      <c r="O1424" s="52"/>
      <c r="P1424" s="52"/>
    </row>
    <row r="1425" spans="12:16" x14ac:dyDescent="0.3">
      <c r="L1425"/>
      <c r="O1425" s="52"/>
      <c r="P1425" s="52"/>
    </row>
    <row r="1426" spans="12:16" x14ac:dyDescent="0.3">
      <c r="L1426"/>
      <c r="O1426" s="52"/>
      <c r="P1426" s="52"/>
    </row>
    <row r="1427" spans="12:16" x14ac:dyDescent="0.3">
      <c r="L1427"/>
      <c r="O1427" s="52"/>
      <c r="P1427" s="52"/>
    </row>
    <row r="1428" spans="12:16" x14ac:dyDescent="0.3">
      <c r="L1428"/>
      <c r="O1428" s="52"/>
      <c r="P1428" s="52"/>
    </row>
    <row r="1429" spans="12:16" x14ac:dyDescent="0.3">
      <c r="L1429"/>
      <c r="O1429" s="52"/>
      <c r="P1429" s="52"/>
    </row>
    <row r="1430" spans="12:16" x14ac:dyDescent="0.3">
      <c r="L1430"/>
      <c r="O1430" s="52"/>
      <c r="P1430" s="52"/>
    </row>
    <row r="1431" spans="12:16" x14ac:dyDescent="0.3">
      <c r="L1431"/>
      <c r="O1431" s="52"/>
      <c r="P1431" s="52"/>
    </row>
    <row r="1432" spans="12:16" x14ac:dyDescent="0.3">
      <c r="L1432"/>
      <c r="O1432" s="52"/>
      <c r="P1432" s="52"/>
    </row>
    <row r="1433" spans="12:16" x14ac:dyDescent="0.3">
      <c r="L1433"/>
      <c r="O1433" s="52"/>
      <c r="P1433" s="52"/>
    </row>
    <row r="1434" spans="12:16" x14ac:dyDescent="0.3">
      <c r="L1434"/>
      <c r="O1434" s="52"/>
      <c r="P1434" s="52"/>
    </row>
    <row r="1435" spans="12:16" x14ac:dyDescent="0.3">
      <c r="L1435"/>
      <c r="O1435" s="52"/>
      <c r="P1435" s="52"/>
    </row>
    <row r="1436" spans="12:16" x14ac:dyDescent="0.3">
      <c r="L1436"/>
      <c r="O1436" s="52"/>
      <c r="P1436" s="52"/>
    </row>
    <row r="1437" spans="12:16" x14ac:dyDescent="0.3">
      <c r="L1437"/>
      <c r="O1437" s="52"/>
      <c r="P1437" s="52"/>
    </row>
    <row r="1438" spans="12:16" x14ac:dyDescent="0.3">
      <c r="L1438"/>
      <c r="O1438" s="52"/>
      <c r="P1438" s="52"/>
    </row>
    <row r="1439" spans="12:16" x14ac:dyDescent="0.3">
      <c r="L1439"/>
      <c r="O1439" s="52"/>
      <c r="P1439" s="52"/>
    </row>
    <row r="1440" spans="12:16" x14ac:dyDescent="0.3">
      <c r="L1440"/>
      <c r="O1440" s="52"/>
      <c r="P1440" s="52"/>
    </row>
    <row r="1441" spans="12:16" x14ac:dyDescent="0.3">
      <c r="L1441"/>
      <c r="O1441" s="52"/>
      <c r="P1441" s="52"/>
    </row>
    <row r="1442" spans="12:16" x14ac:dyDescent="0.3">
      <c r="L1442"/>
      <c r="O1442" s="52"/>
      <c r="P1442" s="52"/>
    </row>
    <row r="1443" spans="12:16" x14ac:dyDescent="0.3">
      <c r="L1443"/>
      <c r="O1443" s="52"/>
      <c r="P1443" s="52"/>
    </row>
    <row r="1444" spans="12:16" x14ac:dyDescent="0.3">
      <c r="L1444"/>
      <c r="O1444" s="52"/>
      <c r="P1444" s="52"/>
    </row>
    <row r="1445" spans="12:16" x14ac:dyDescent="0.3">
      <c r="L1445"/>
      <c r="O1445" s="52"/>
      <c r="P1445" s="52"/>
    </row>
    <row r="1446" spans="12:16" x14ac:dyDescent="0.3">
      <c r="L1446"/>
      <c r="O1446" s="52"/>
      <c r="P1446" s="52"/>
    </row>
    <row r="1447" spans="12:16" x14ac:dyDescent="0.3">
      <c r="L1447"/>
      <c r="O1447" s="52"/>
      <c r="P1447" s="52"/>
    </row>
    <row r="1448" spans="12:16" x14ac:dyDescent="0.3">
      <c r="L1448"/>
      <c r="O1448" s="52"/>
      <c r="P1448" s="52"/>
    </row>
    <row r="1449" spans="12:16" x14ac:dyDescent="0.3">
      <c r="L1449"/>
      <c r="O1449" s="52"/>
      <c r="P1449" s="52"/>
    </row>
    <row r="1450" spans="12:16" x14ac:dyDescent="0.3">
      <c r="L1450"/>
      <c r="O1450" s="52"/>
      <c r="P1450" s="52"/>
    </row>
    <row r="1451" spans="12:16" x14ac:dyDescent="0.3">
      <c r="L1451"/>
      <c r="O1451" s="52"/>
      <c r="P1451" s="52"/>
    </row>
    <row r="1452" spans="12:16" x14ac:dyDescent="0.3">
      <c r="L1452"/>
      <c r="O1452" s="52"/>
      <c r="P1452" s="52"/>
    </row>
    <row r="1453" spans="12:16" x14ac:dyDescent="0.3">
      <c r="L1453"/>
      <c r="O1453" s="52"/>
      <c r="P1453" s="52"/>
    </row>
    <row r="1454" spans="12:16" x14ac:dyDescent="0.3">
      <c r="L1454"/>
      <c r="O1454" s="52"/>
      <c r="P1454" s="52"/>
    </row>
    <row r="1455" spans="12:16" x14ac:dyDescent="0.3">
      <c r="L1455"/>
      <c r="O1455" s="52"/>
      <c r="P1455" s="52"/>
    </row>
    <row r="1456" spans="12:16" x14ac:dyDescent="0.3">
      <c r="L1456"/>
      <c r="O1456" s="52"/>
      <c r="P1456" s="52"/>
    </row>
    <row r="1457" spans="12:16" x14ac:dyDescent="0.3">
      <c r="L1457"/>
      <c r="O1457" s="52"/>
      <c r="P1457" s="52"/>
    </row>
    <row r="1458" spans="12:16" x14ac:dyDescent="0.3">
      <c r="L1458"/>
      <c r="O1458" s="52"/>
      <c r="P1458" s="52"/>
    </row>
    <row r="1459" spans="12:16" x14ac:dyDescent="0.3">
      <c r="L1459"/>
      <c r="O1459" s="52"/>
      <c r="P1459" s="52"/>
    </row>
    <row r="1460" spans="12:16" x14ac:dyDescent="0.3">
      <c r="L1460"/>
      <c r="O1460" s="52"/>
      <c r="P1460" s="52"/>
    </row>
    <row r="1461" spans="12:16" x14ac:dyDescent="0.3">
      <c r="L1461"/>
      <c r="O1461" s="52"/>
      <c r="P1461" s="52"/>
    </row>
    <row r="1462" spans="12:16" x14ac:dyDescent="0.3">
      <c r="L1462"/>
      <c r="O1462" s="52"/>
      <c r="P1462" s="52"/>
    </row>
    <row r="1463" spans="12:16" x14ac:dyDescent="0.3">
      <c r="L1463"/>
      <c r="O1463" s="52"/>
      <c r="P1463" s="52"/>
    </row>
    <row r="1464" spans="12:16" x14ac:dyDescent="0.3">
      <c r="L1464"/>
      <c r="O1464" s="52"/>
      <c r="P1464" s="52"/>
    </row>
    <row r="1465" spans="12:16" x14ac:dyDescent="0.3">
      <c r="L1465"/>
      <c r="O1465" s="52"/>
      <c r="P1465" s="52"/>
    </row>
    <row r="1466" spans="12:16" x14ac:dyDescent="0.3">
      <c r="L1466"/>
      <c r="O1466" s="52"/>
      <c r="P1466" s="52"/>
    </row>
    <row r="1467" spans="12:16" x14ac:dyDescent="0.3">
      <c r="L1467"/>
      <c r="O1467" s="52"/>
      <c r="P1467" s="52"/>
    </row>
    <row r="1468" spans="12:16" x14ac:dyDescent="0.3">
      <c r="L1468"/>
      <c r="O1468" s="52"/>
      <c r="P1468" s="52"/>
    </row>
    <row r="1469" spans="12:16" x14ac:dyDescent="0.3">
      <c r="L1469"/>
      <c r="O1469" s="52"/>
      <c r="P1469" s="52"/>
    </row>
    <row r="1470" spans="12:16" x14ac:dyDescent="0.3">
      <c r="L1470"/>
      <c r="O1470" s="52"/>
      <c r="P1470" s="52"/>
    </row>
    <row r="1471" spans="12:16" x14ac:dyDescent="0.3">
      <c r="L1471"/>
      <c r="O1471" s="52"/>
      <c r="P1471" s="52"/>
    </row>
    <row r="1472" spans="12:16" x14ac:dyDescent="0.3">
      <c r="L1472"/>
      <c r="O1472" s="52"/>
      <c r="P1472" s="52"/>
    </row>
    <row r="1473" spans="12:16" x14ac:dyDescent="0.3">
      <c r="L1473"/>
      <c r="O1473" s="52"/>
      <c r="P1473" s="52"/>
    </row>
    <row r="1474" spans="12:16" x14ac:dyDescent="0.3">
      <c r="L1474"/>
      <c r="O1474" s="52"/>
      <c r="P1474" s="52"/>
    </row>
    <row r="1475" spans="12:16" x14ac:dyDescent="0.3">
      <c r="L1475"/>
      <c r="O1475" s="52"/>
      <c r="P1475" s="52"/>
    </row>
    <row r="1476" spans="12:16" x14ac:dyDescent="0.3">
      <c r="L1476"/>
      <c r="O1476" s="52"/>
      <c r="P1476" s="52"/>
    </row>
    <row r="1477" spans="12:16" x14ac:dyDescent="0.3">
      <c r="L1477"/>
      <c r="O1477" s="52"/>
      <c r="P1477" s="52"/>
    </row>
    <row r="1478" spans="12:16" x14ac:dyDescent="0.3">
      <c r="L1478"/>
      <c r="O1478" s="52"/>
      <c r="P1478" s="52"/>
    </row>
    <row r="1479" spans="12:16" x14ac:dyDescent="0.3">
      <c r="L1479"/>
      <c r="O1479" s="52"/>
      <c r="P1479" s="52"/>
    </row>
    <row r="1480" spans="12:16" x14ac:dyDescent="0.3">
      <c r="L1480"/>
      <c r="O1480" s="52"/>
      <c r="P1480" s="52"/>
    </row>
    <row r="1481" spans="12:16" x14ac:dyDescent="0.3">
      <c r="L1481"/>
      <c r="O1481" s="52"/>
      <c r="P1481" s="52"/>
    </row>
    <row r="1482" spans="12:16" x14ac:dyDescent="0.3">
      <c r="L1482"/>
      <c r="O1482" s="52"/>
      <c r="P1482" s="52"/>
    </row>
    <row r="1483" spans="12:16" x14ac:dyDescent="0.3">
      <c r="L1483"/>
      <c r="O1483" s="52"/>
      <c r="P1483" s="52"/>
    </row>
    <row r="1484" spans="12:16" x14ac:dyDescent="0.3">
      <c r="L1484"/>
      <c r="O1484" s="52"/>
      <c r="P1484" s="52"/>
    </row>
    <row r="1485" spans="12:16" x14ac:dyDescent="0.3">
      <c r="L1485"/>
      <c r="O1485" s="52"/>
      <c r="P1485" s="52"/>
    </row>
    <row r="1486" spans="12:16" x14ac:dyDescent="0.3">
      <c r="L1486"/>
      <c r="O1486" s="52"/>
      <c r="P1486" s="52"/>
    </row>
    <row r="1487" spans="12:16" x14ac:dyDescent="0.3">
      <c r="L1487"/>
      <c r="O1487" s="52"/>
      <c r="P1487" s="52"/>
    </row>
    <row r="1488" spans="12:16" x14ac:dyDescent="0.3">
      <c r="L1488"/>
      <c r="O1488" s="52"/>
      <c r="P1488" s="52"/>
    </row>
    <row r="1489" spans="12:16" x14ac:dyDescent="0.3">
      <c r="L1489"/>
      <c r="O1489" s="52"/>
      <c r="P1489" s="52"/>
    </row>
    <row r="1490" spans="12:16" x14ac:dyDescent="0.3">
      <c r="L1490"/>
      <c r="O1490" s="52"/>
      <c r="P1490" s="52"/>
    </row>
    <row r="1491" spans="12:16" x14ac:dyDescent="0.3">
      <c r="L1491"/>
      <c r="O1491" s="52"/>
      <c r="P1491" s="52"/>
    </row>
    <row r="1492" spans="12:16" x14ac:dyDescent="0.3">
      <c r="L1492"/>
      <c r="O1492" s="52"/>
      <c r="P1492" s="52"/>
    </row>
    <row r="1493" spans="12:16" x14ac:dyDescent="0.3">
      <c r="L1493"/>
      <c r="O1493" s="52"/>
      <c r="P1493" s="52"/>
    </row>
    <row r="1494" spans="12:16" x14ac:dyDescent="0.3">
      <c r="L1494"/>
      <c r="O1494" s="52"/>
      <c r="P1494" s="52"/>
    </row>
    <row r="1495" spans="12:16" x14ac:dyDescent="0.3">
      <c r="L1495"/>
      <c r="O1495" s="52"/>
      <c r="P1495" s="52"/>
    </row>
    <row r="1496" spans="12:16" x14ac:dyDescent="0.3">
      <c r="L1496"/>
      <c r="O1496" s="52"/>
      <c r="P1496" s="52"/>
    </row>
    <row r="1497" spans="12:16" x14ac:dyDescent="0.3">
      <c r="L1497"/>
      <c r="O1497" s="52"/>
      <c r="P1497" s="52"/>
    </row>
    <row r="1498" spans="12:16" x14ac:dyDescent="0.3">
      <c r="L1498"/>
      <c r="O1498" s="52"/>
      <c r="P1498" s="52"/>
    </row>
    <row r="1499" spans="12:16" x14ac:dyDescent="0.3">
      <c r="L1499"/>
      <c r="O1499" s="52"/>
      <c r="P1499" s="52"/>
    </row>
    <row r="1500" spans="12:16" x14ac:dyDescent="0.3">
      <c r="L1500"/>
      <c r="O1500" s="52"/>
      <c r="P1500" s="52"/>
    </row>
    <row r="1501" spans="12:16" x14ac:dyDescent="0.3">
      <c r="L1501"/>
      <c r="O1501" s="52"/>
      <c r="P1501" s="52"/>
    </row>
    <row r="1502" spans="12:16" x14ac:dyDescent="0.3">
      <c r="L1502"/>
      <c r="O1502" s="52"/>
      <c r="P1502" s="52"/>
    </row>
    <row r="1503" spans="12:16" x14ac:dyDescent="0.3">
      <c r="L1503"/>
      <c r="O1503" s="52"/>
      <c r="P1503" s="52"/>
    </row>
    <row r="1504" spans="12:16" x14ac:dyDescent="0.3">
      <c r="L1504"/>
      <c r="O1504" s="52"/>
      <c r="P1504" s="52"/>
    </row>
    <row r="1505" spans="12:16" x14ac:dyDescent="0.3">
      <c r="L1505"/>
      <c r="O1505" s="52"/>
      <c r="P1505" s="52"/>
    </row>
    <row r="1506" spans="12:16" x14ac:dyDescent="0.3">
      <c r="L1506"/>
      <c r="O1506" s="52"/>
      <c r="P1506" s="52"/>
    </row>
    <row r="1507" spans="12:16" x14ac:dyDescent="0.3">
      <c r="L1507"/>
      <c r="O1507" s="52"/>
      <c r="P1507" s="52"/>
    </row>
    <row r="1508" spans="12:16" x14ac:dyDescent="0.3">
      <c r="L1508"/>
      <c r="O1508" s="52"/>
      <c r="P1508" s="52"/>
    </row>
    <row r="1509" spans="12:16" x14ac:dyDescent="0.3">
      <c r="L1509"/>
      <c r="O1509" s="52"/>
      <c r="P1509" s="52"/>
    </row>
    <row r="1510" spans="12:16" x14ac:dyDescent="0.3">
      <c r="L1510"/>
      <c r="O1510" s="52"/>
      <c r="P1510" s="52"/>
    </row>
    <row r="1511" spans="12:16" x14ac:dyDescent="0.3">
      <c r="L1511"/>
      <c r="O1511" s="52"/>
      <c r="P1511" s="52"/>
    </row>
    <row r="1512" spans="12:16" x14ac:dyDescent="0.3">
      <c r="L1512"/>
      <c r="O1512" s="52"/>
      <c r="P1512" s="52"/>
    </row>
    <row r="1513" spans="12:16" x14ac:dyDescent="0.3">
      <c r="L1513"/>
      <c r="O1513" s="52"/>
      <c r="P1513" s="52"/>
    </row>
    <row r="1514" spans="12:16" x14ac:dyDescent="0.3">
      <c r="L1514"/>
      <c r="O1514" s="52"/>
      <c r="P1514" s="52"/>
    </row>
    <row r="1515" spans="12:16" x14ac:dyDescent="0.3">
      <c r="L1515"/>
      <c r="O1515" s="52"/>
      <c r="P1515" s="52"/>
    </row>
    <row r="1516" spans="12:16" x14ac:dyDescent="0.3">
      <c r="L1516"/>
      <c r="O1516" s="52"/>
      <c r="P1516" s="52"/>
    </row>
    <row r="1517" spans="12:16" x14ac:dyDescent="0.3">
      <c r="L1517"/>
      <c r="O1517" s="52"/>
      <c r="P1517" s="52"/>
    </row>
    <row r="1518" spans="12:16" x14ac:dyDescent="0.3">
      <c r="L1518"/>
      <c r="O1518" s="52"/>
      <c r="P1518" s="52"/>
    </row>
    <row r="1519" spans="12:16" x14ac:dyDescent="0.3">
      <c r="L1519"/>
      <c r="O1519" s="52"/>
      <c r="P1519" s="52"/>
    </row>
    <row r="1520" spans="12:16" x14ac:dyDescent="0.3">
      <c r="L1520"/>
      <c r="O1520" s="52"/>
      <c r="P1520" s="52"/>
    </row>
    <row r="1521" spans="12:16" x14ac:dyDescent="0.3">
      <c r="L1521"/>
      <c r="O1521" s="52"/>
      <c r="P1521" s="52"/>
    </row>
    <row r="1522" spans="12:16" x14ac:dyDescent="0.3">
      <c r="L1522"/>
      <c r="O1522" s="52"/>
      <c r="P1522" s="52"/>
    </row>
    <row r="1523" spans="12:16" x14ac:dyDescent="0.3">
      <c r="L1523"/>
      <c r="O1523" s="52"/>
      <c r="P1523" s="52"/>
    </row>
    <row r="1524" spans="12:16" x14ac:dyDescent="0.3">
      <c r="L1524"/>
      <c r="O1524" s="52"/>
      <c r="P1524" s="52"/>
    </row>
    <row r="1525" spans="12:16" x14ac:dyDescent="0.3">
      <c r="L1525"/>
      <c r="O1525" s="52"/>
      <c r="P1525" s="52"/>
    </row>
    <row r="1526" spans="12:16" x14ac:dyDescent="0.3">
      <c r="L1526"/>
      <c r="O1526" s="52"/>
      <c r="P1526" s="52"/>
    </row>
    <row r="1527" spans="12:16" x14ac:dyDescent="0.3">
      <c r="L1527"/>
      <c r="O1527" s="52"/>
      <c r="P1527" s="52"/>
    </row>
    <row r="1528" spans="12:16" x14ac:dyDescent="0.3">
      <c r="L1528"/>
      <c r="O1528" s="52"/>
      <c r="P1528" s="52"/>
    </row>
    <row r="1529" spans="12:16" x14ac:dyDescent="0.3">
      <c r="L1529"/>
      <c r="O1529" s="52"/>
      <c r="P1529" s="52"/>
    </row>
    <row r="1530" spans="12:16" x14ac:dyDescent="0.3">
      <c r="L1530"/>
      <c r="O1530" s="52"/>
      <c r="P1530" s="52"/>
    </row>
    <row r="1531" spans="12:16" x14ac:dyDescent="0.3">
      <c r="L1531"/>
      <c r="O1531" s="52"/>
      <c r="P1531" s="52"/>
    </row>
    <row r="1532" spans="12:16" x14ac:dyDescent="0.3">
      <c r="L1532"/>
      <c r="O1532" s="52"/>
      <c r="P1532" s="52"/>
    </row>
    <row r="1533" spans="12:16" x14ac:dyDescent="0.3">
      <c r="L1533"/>
      <c r="O1533" s="52"/>
      <c r="P1533" s="52"/>
    </row>
    <row r="1534" spans="12:16" x14ac:dyDescent="0.3">
      <c r="L1534"/>
      <c r="O1534" s="52"/>
      <c r="P1534" s="52"/>
    </row>
    <row r="1535" spans="12:16" x14ac:dyDescent="0.3">
      <c r="L1535"/>
      <c r="O1535" s="52"/>
      <c r="P1535" s="52"/>
    </row>
    <row r="1536" spans="12:16" x14ac:dyDescent="0.3">
      <c r="L1536"/>
      <c r="O1536" s="52"/>
      <c r="P1536" s="52"/>
    </row>
    <row r="1537" spans="12:16" x14ac:dyDescent="0.3">
      <c r="L1537"/>
      <c r="O1537" s="52"/>
      <c r="P1537" s="52"/>
    </row>
    <row r="1538" spans="12:16" x14ac:dyDescent="0.3">
      <c r="L1538"/>
      <c r="O1538" s="52"/>
      <c r="P1538" s="52"/>
    </row>
    <row r="1539" spans="12:16" x14ac:dyDescent="0.3">
      <c r="L1539"/>
      <c r="O1539" s="52"/>
      <c r="P1539" s="52"/>
    </row>
    <row r="1540" spans="12:16" x14ac:dyDescent="0.3">
      <c r="L1540"/>
      <c r="O1540" s="52"/>
      <c r="P1540" s="52"/>
    </row>
    <row r="1541" spans="12:16" x14ac:dyDescent="0.3">
      <c r="L1541"/>
      <c r="O1541" s="52"/>
      <c r="P1541" s="52"/>
    </row>
    <row r="1542" spans="12:16" x14ac:dyDescent="0.3">
      <c r="L1542"/>
      <c r="O1542" s="52"/>
      <c r="P1542" s="52"/>
    </row>
    <row r="1543" spans="12:16" x14ac:dyDescent="0.3">
      <c r="L1543"/>
      <c r="O1543" s="52"/>
      <c r="P1543" s="52"/>
    </row>
    <row r="1544" spans="12:16" x14ac:dyDescent="0.3">
      <c r="L1544"/>
      <c r="O1544" s="52"/>
      <c r="P1544" s="52"/>
    </row>
    <row r="1545" spans="12:16" x14ac:dyDescent="0.3">
      <c r="L1545"/>
      <c r="O1545" s="52"/>
      <c r="P1545" s="52"/>
    </row>
    <row r="1546" spans="12:16" x14ac:dyDescent="0.3">
      <c r="L1546"/>
      <c r="O1546" s="52"/>
      <c r="P1546" s="52"/>
    </row>
    <row r="1547" spans="12:16" x14ac:dyDescent="0.3">
      <c r="L1547"/>
      <c r="O1547" s="52"/>
      <c r="P1547" s="52"/>
    </row>
    <row r="1548" spans="12:16" x14ac:dyDescent="0.3">
      <c r="L1548"/>
      <c r="O1548" s="52"/>
      <c r="P1548" s="52"/>
    </row>
    <row r="1549" spans="12:16" x14ac:dyDescent="0.3">
      <c r="L1549"/>
      <c r="O1549" s="52"/>
      <c r="P1549" s="52"/>
    </row>
    <row r="1550" spans="12:16" x14ac:dyDescent="0.3">
      <c r="L1550"/>
      <c r="O1550" s="52"/>
      <c r="P1550" s="52"/>
    </row>
    <row r="1551" spans="12:16" x14ac:dyDescent="0.3">
      <c r="L1551"/>
      <c r="O1551" s="52"/>
      <c r="P1551" s="52"/>
    </row>
    <row r="1552" spans="12:16" x14ac:dyDescent="0.3">
      <c r="L1552"/>
      <c r="O1552" s="52"/>
      <c r="P1552" s="52"/>
    </row>
    <row r="1553" spans="12:16" x14ac:dyDescent="0.3">
      <c r="L1553"/>
      <c r="O1553" s="52"/>
      <c r="P1553" s="52"/>
    </row>
    <row r="1554" spans="12:16" x14ac:dyDescent="0.3">
      <c r="L1554"/>
      <c r="O1554" s="52"/>
      <c r="P1554" s="52"/>
    </row>
    <row r="1555" spans="12:16" x14ac:dyDescent="0.3">
      <c r="L1555"/>
      <c r="O1555" s="52"/>
      <c r="P1555" s="52"/>
    </row>
    <row r="1556" spans="12:16" x14ac:dyDescent="0.3">
      <c r="L1556"/>
      <c r="O1556" s="52"/>
      <c r="P1556" s="52"/>
    </row>
    <row r="1557" spans="12:16" x14ac:dyDescent="0.3">
      <c r="L1557"/>
      <c r="O1557" s="52"/>
      <c r="P1557" s="52"/>
    </row>
    <row r="1558" spans="12:16" x14ac:dyDescent="0.3">
      <c r="L1558"/>
      <c r="O1558" s="52"/>
      <c r="P1558" s="52"/>
    </row>
    <row r="1559" spans="12:16" x14ac:dyDescent="0.3">
      <c r="L1559"/>
      <c r="O1559" s="52"/>
      <c r="P1559" s="52"/>
    </row>
    <row r="1560" spans="12:16" x14ac:dyDescent="0.3">
      <c r="L1560"/>
      <c r="O1560" s="52"/>
      <c r="P1560" s="52"/>
    </row>
    <row r="1561" spans="12:16" x14ac:dyDescent="0.3">
      <c r="L1561"/>
      <c r="O1561" s="52"/>
      <c r="P1561" s="52"/>
    </row>
    <row r="1562" spans="12:16" x14ac:dyDescent="0.3">
      <c r="L1562"/>
      <c r="O1562" s="52"/>
      <c r="P1562" s="52"/>
    </row>
    <row r="1563" spans="12:16" x14ac:dyDescent="0.3">
      <c r="L1563"/>
      <c r="O1563" s="52"/>
      <c r="P1563" s="52"/>
    </row>
    <row r="1564" spans="12:16" x14ac:dyDescent="0.3">
      <c r="L1564"/>
      <c r="O1564" s="52"/>
      <c r="P1564" s="52"/>
    </row>
    <row r="1565" spans="12:16" x14ac:dyDescent="0.3">
      <c r="L1565"/>
      <c r="O1565" s="52"/>
      <c r="P1565" s="52"/>
    </row>
    <row r="1566" spans="12:16" x14ac:dyDescent="0.3">
      <c r="L1566"/>
      <c r="O1566" s="52"/>
      <c r="P1566" s="52"/>
    </row>
    <row r="1567" spans="12:16" x14ac:dyDescent="0.3">
      <c r="L1567"/>
      <c r="O1567" s="52"/>
      <c r="P1567" s="52"/>
    </row>
    <row r="1568" spans="12:16" x14ac:dyDescent="0.3">
      <c r="L1568"/>
      <c r="O1568" s="52"/>
      <c r="P1568" s="52"/>
    </row>
    <row r="1569" spans="12:16" x14ac:dyDescent="0.3">
      <c r="L1569"/>
      <c r="O1569" s="52"/>
      <c r="P1569" s="52"/>
    </row>
    <row r="1570" spans="12:16" x14ac:dyDescent="0.3">
      <c r="L1570"/>
      <c r="O1570" s="52"/>
      <c r="P1570" s="52"/>
    </row>
    <row r="1571" spans="12:16" x14ac:dyDescent="0.3">
      <c r="L1571"/>
      <c r="O1571" s="52"/>
      <c r="P1571" s="52"/>
    </row>
    <row r="1572" spans="12:16" x14ac:dyDescent="0.3">
      <c r="L1572"/>
      <c r="O1572" s="52"/>
      <c r="P1572" s="52"/>
    </row>
    <row r="1573" spans="12:16" x14ac:dyDescent="0.3">
      <c r="L1573"/>
      <c r="O1573" s="52"/>
      <c r="P1573" s="52"/>
    </row>
    <row r="1574" spans="12:16" x14ac:dyDescent="0.3">
      <c r="L1574"/>
      <c r="O1574" s="52"/>
      <c r="P1574" s="52"/>
    </row>
    <row r="1575" spans="12:16" x14ac:dyDescent="0.3">
      <c r="L1575"/>
      <c r="O1575" s="52"/>
      <c r="P1575" s="52"/>
    </row>
    <row r="1576" spans="12:16" x14ac:dyDescent="0.3">
      <c r="L1576"/>
      <c r="O1576" s="52"/>
      <c r="P1576" s="52"/>
    </row>
    <row r="1577" spans="12:16" x14ac:dyDescent="0.3">
      <c r="L1577"/>
      <c r="O1577" s="52"/>
      <c r="P1577" s="52"/>
    </row>
    <row r="1578" spans="12:16" x14ac:dyDescent="0.3">
      <c r="L1578"/>
      <c r="O1578" s="52"/>
      <c r="P1578" s="52"/>
    </row>
    <row r="1579" spans="12:16" x14ac:dyDescent="0.3">
      <c r="L1579"/>
      <c r="O1579" s="52"/>
      <c r="P1579" s="52"/>
    </row>
    <row r="1580" spans="12:16" x14ac:dyDescent="0.3">
      <c r="L1580"/>
      <c r="O1580" s="52"/>
      <c r="P1580" s="52"/>
    </row>
    <row r="1581" spans="12:16" x14ac:dyDescent="0.3">
      <c r="L1581"/>
      <c r="O1581" s="52"/>
      <c r="P1581" s="52"/>
    </row>
    <row r="1582" spans="12:16" x14ac:dyDescent="0.3">
      <c r="L1582"/>
      <c r="O1582" s="52"/>
      <c r="P1582" s="52"/>
    </row>
    <row r="1583" spans="12:16" x14ac:dyDescent="0.3">
      <c r="L1583"/>
      <c r="O1583" s="52"/>
      <c r="P1583" s="52"/>
    </row>
    <row r="1584" spans="12:16" x14ac:dyDescent="0.3">
      <c r="L1584"/>
      <c r="O1584" s="52"/>
      <c r="P1584" s="52"/>
    </row>
    <row r="1585" spans="12:16" x14ac:dyDescent="0.3">
      <c r="L1585"/>
      <c r="O1585" s="52"/>
      <c r="P1585" s="52"/>
    </row>
    <row r="1586" spans="12:16" x14ac:dyDescent="0.3">
      <c r="L1586"/>
      <c r="O1586" s="52"/>
      <c r="P1586" s="52"/>
    </row>
    <row r="1587" spans="12:16" x14ac:dyDescent="0.3">
      <c r="L1587"/>
      <c r="O1587" s="52"/>
      <c r="P1587" s="52"/>
    </row>
    <row r="1588" spans="12:16" x14ac:dyDescent="0.3">
      <c r="L1588"/>
      <c r="O1588" s="52"/>
      <c r="P1588" s="52"/>
    </row>
    <row r="1589" spans="12:16" x14ac:dyDescent="0.3">
      <c r="L1589"/>
      <c r="O1589" s="52"/>
      <c r="P1589" s="52"/>
    </row>
    <row r="1590" spans="12:16" x14ac:dyDescent="0.3">
      <c r="L1590"/>
      <c r="O1590" s="52"/>
      <c r="P1590" s="52"/>
    </row>
    <row r="1591" spans="12:16" x14ac:dyDescent="0.3">
      <c r="L1591"/>
      <c r="O1591" s="52"/>
      <c r="P1591" s="52"/>
    </row>
    <row r="1592" spans="12:16" x14ac:dyDescent="0.3">
      <c r="L1592"/>
      <c r="O1592" s="52"/>
      <c r="P1592" s="52"/>
    </row>
    <row r="1593" spans="12:16" x14ac:dyDescent="0.3">
      <c r="L1593"/>
      <c r="O1593" s="52"/>
      <c r="P1593" s="52"/>
    </row>
    <row r="1594" spans="12:16" x14ac:dyDescent="0.3">
      <c r="L1594"/>
      <c r="O1594" s="52"/>
      <c r="P1594" s="52"/>
    </row>
    <row r="1595" spans="12:16" x14ac:dyDescent="0.3">
      <c r="L1595"/>
      <c r="O1595" s="52"/>
      <c r="P1595" s="52"/>
    </row>
    <row r="1596" spans="12:16" x14ac:dyDescent="0.3">
      <c r="L1596"/>
      <c r="O1596" s="52"/>
      <c r="P1596" s="52"/>
    </row>
    <row r="1597" spans="12:16" x14ac:dyDescent="0.3">
      <c r="L1597"/>
      <c r="O1597" s="52"/>
      <c r="P1597" s="52"/>
    </row>
    <row r="1598" spans="12:16" x14ac:dyDescent="0.3">
      <c r="L1598"/>
      <c r="O1598" s="52"/>
      <c r="P1598" s="52"/>
    </row>
    <row r="1599" spans="12:16" x14ac:dyDescent="0.3">
      <c r="L1599"/>
      <c r="O1599" s="52"/>
      <c r="P1599" s="52"/>
    </row>
    <row r="1600" spans="12:16" x14ac:dyDescent="0.3">
      <c r="L1600"/>
      <c r="O1600" s="52"/>
      <c r="P1600" s="52"/>
    </row>
    <row r="1601" spans="12:16" x14ac:dyDescent="0.3">
      <c r="L1601"/>
      <c r="O1601" s="52"/>
      <c r="P1601" s="52"/>
    </row>
    <row r="1602" spans="12:16" x14ac:dyDescent="0.3">
      <c r="L1602"/>
      <c r="O1602" s="52"/>
      <c r="P1602" s="52"/>
    </row>
    <row r="1603" spans="12:16" x14ac:dyDescent="0.3">
      <c r="L1603"/>
      <c r="O1603" s="52"/>
      <c r="P1603" s="52"/>
    </row>
    <row r="1604" spans="12:16" x14ac:dyDescent="0.3">
      <c r="L1604"/>
      <c r="O1604" s="52"/>
      <c r="P1604" s="52"/>
    </row>
    <row r="1605" spans="12:16" x14ac:dyDescent="0.3">
      <c r="L1605"/>
      <c r="O1605" s="52"/>
      <c r="P1605" s="52"/>
    </row>
    <row r="1606" spans="12:16" x14ac:dyDescent="0.3">
      <c r="L1606"/>
      <c r="O1606" s="52"/>
      <c r="P1606" s="52"/>
    </row>
    <row r="1607" spans="12:16" x14ac:dyDescent="0.3">
      <c r="L1607"/>
      <c r="O1607" s="52"/>
      <c r="P1607" s="52"/>
    </row>
    <row r="1608" spans="12:16" x14ac:dyDescent="0.3">
      <c r="L1608"/>
      <c r="O1608" s="52"/>
      <c r="P1608" s="52"/>
    </row>
    <row r="1609" spans="12:16" x14ac:dyDescent="0.3">
      <c r="L1609"/>
      <c r="O1609" s="52"/>
      <c r="P1609" s="52"/>
    </row>
    <row r="1610" spans="12:16" x14ac:dyDescent="0.3">
      <c r="L1610"/>
      <c r="O1610" s="52"/>
      <c r="P1610" s="52"/>
    </row>
    <row r="1611" spans="12:16" x14ac:dyDescent="0.3">
      <c r="L1611"/>
      <c r="O1611" s="52"/>
      <c r="P1611" s="52"/>
    </row>
    <row r="1612" spans="12:16" x14ac:dyDescent="0.3">
      <c r="L1612"/>
      <c r="O1612" s="52"/>
      <c r="P1612" s="52"/>
    </row>
    <row r="1613" spans="12:16" x14ac:dyDescent="0.3">
      <c r="L1613"/>
      <c r="O1613" s="52"/>
      <c r="P1613" s="52"/>
    </row>
    <row r="1614" spans="12:16" x14ac:dyDescent="0.3">
      <c r="L1614"/>
      <c r="O1614" s="52"/>
      <c r="P1614" s="52"/>
    </row>
    <row r="1615" spans="12:16" x14ac:dyDescent="0.3">
      <c r="L1615"/>
      <c r="O1615" s="52"/>
      <c r="P1615" s="52"/>
    </row>
    <row r="1616" spans="12:16" x14ac:dyDescent="0.3">
      <c r="L1616"/>
      <c r="O1616" s="52"/>
      <c r="P1616" s="52"/>
    </row>
    <row r="1617" spans="12:16" x14ac:dyDescent="0.3">
      <c r="L1617"/>
      <c r="O1617" s="52"/>
      <c r="P1617" s="52"/>
    </row>
    <row r="1618" spans="12:16" x14ac:dyDescent="0.3">
      <c r="L1618"/>
      <c r="O1618" s="52"/>
      <c r="P1618" s="52"/>
    </row>
    <row r="1619" spans="12:16" x14ac:dyDescent="0.3">
      <c r="L1619"/>
      <c r="O1619" s="52"/>
      <c r="P1619" s="52"/>
    </row>
    <row r="1620" spans="12:16" x14ac:dyDescent="0.3">
      <c r="L1620"/>
      <c r="O1620" s="52"/>
      <c r="P1620" s="52"/>
    </row>
    <row r="1621" spans="12:16" x14ac:dyDescent="0.3">
      <c r="L1621"/>
      <c r="O1621" s="52"/>
      <c r="P1621" s="52"/>
    </row>
    <row r="1622" spans="12:16" x14ac:dyDescent="0.3">
      <c r="L1622"/>
      <c r="O1622" s="52"/>
      <c r="P1622" s="52"/>
    </row>
    <row r="1623" spans="12:16" x14ac:dyDescent="0.3">
      <c r="L1623"/>
      <c r="O1623" s="52"/>
      <c r="P1623" s="52"/>
    </row>
    <row r="1624" spans="12:16" x14ac:dyDescent="0.3">
      <c r="L1624"/>
      <c r="O1624" s="52"/>
      <c r="P1624" s="52"/>
    </row>
    <row r="1625" spans="12:16" x14ac:dyDescent="0.3">
      <c r="L1625"/>
      <c r="O1625" s="52"/>
      <c r="P1625" s="52"/>
    </row>
    <row r="1626" spans="12:16" x14ac:dyDescent="0.3">
      <c r="L1626"/>
      <c r="O1626" s="52"/>
      <c r="P1626" s="52"/>
    </row>
    <row r="1627" spans="12:16" x14ac:dyDescent="0.3">
      <c r="O1627" s="52"/>
      <c r="P1627" s="52"/>
    </row>
    <row r="1628" spans="12:16" x14ac:dyDescent="0.3">
      <c r="O1628" s="52"/>
      <c r="P1628" s="52"/>
    </row>
    <row r="1629" spans="12:16" x14ac:dyDescent="0.3">
      <c r="O1629" s="52"/>
      <c r="P1629" s="52"/>
    </row>
    <row r="1630" spans="12:16" x14ac:dyDescent="0.3">
      <c r="O1630" s="52"/>
      <c r="P1630" s="52"/>
    </row>
    <row r="1631" spans="12:16" x14ac:dyDescent="0.3">
      <c r="O1631" s="52"/>
      <c r="P1631" s="52"/>
    </row>
    <row r="1632" spans="12:16" x14ac:dyDescent="0.3">
      <c r="O1632" s="52"/>
      <c r="P1632" s="52"/>
    </row>
    <row r="1633" spans="15:16" x14ac:dyDescent="0.3">
      <c r="O1633" s="52"/>
      <c r="P1633" s="52"/>
    </row>
    <row r="1634" spans="15:16" x14ac:dyDescent="0.3">
      <c r="O1634" s="52"/>
      <c r="P1634" s="52"/>
    </row>
    <row r="1635" spans="15:16" x14ac:dyDescent="0.3">
      <c r="O1635" s="52"/>
      <c r="P1635" s="52"/>
    </row>
    <row r="1636" spans="15:16" x14ac:dyDescent="0.3">
      <c r="O1636" s="52"/>
      <c r="P1636" s="52"/>
    </row>
    <row r="1637" spans="15:16" x14ac:dyDescent="0.3">
      <c r="O1637" s="52"/>
      <c r="P1637" s="52"/>
    </row>
    <row r="1638" spans="15:16" x14ac:dyDescent="0.3">
      <c r="O1638" s="52"/>
      <c r="P1638" s="52"/>
    </row>
    <row r="1639" spans="15:16" x14ac:dyDescent="0.3">
      <c r="O1639" s="52"/>
      <c r="P1639" s="52"/>
    </row>
    <row r="1640" spans="15:16" x14ac:dyDescent="0.3">
      <c r="O1640" s="52"/>
      <c r="P1640" s="52"/>
    </row>
    <row r="1641" spans="15:16" x14ac:dyDescent="0.3">
      <c r="O1641" s="52"/>
      <c r="P1641" s="52"/>
    </row>
    <row r="1642" spans="15:16" x14ac:dyDescent="0.3">
      <c r="O1642" s="52"/>
      <c r="P1642" s="52"/>
    </row>
    <row r="1643" spans="15:16" x14ac:dyDescent="0.3">
      <c r="O1643" s="52"/>
      <c r="P1643" s="52"/>
    </row>
    <row r="1644" spans="15:16" x14ac:dyDescent="0.3">
      <c r="O1644" s="52"/>
      <c r="P1644" s="52"/>
    </row>
    <row r="1645" spans="15:16" x14ac:dyDescent="0.3">
      <c r="O1645" s="52"/>
      <c r="P1645" s="52"/>
    </row>
    <row r="1646" spans="15:16" x14ac:dyDescent="0.3">
      <c r="O1646" s="52"/>
      <c r="P1646" s="52"/>
    </row>
    <row r="1647" spans="15:16" x14ac:dyDescent="0.3">
      <c r="O1647" s="52"/>
      <c r="P1647" s="52"/>
    </row>
    <row r="1648" spans="15:16" x14ac:dyDescent="0.3">
      <c r="O1648" s="52"/>
      <c r="P1648" s="52"/>
    </row>
    <row r="1649" spans="15:16" x14ac:dyDescent="0.3">
      <c r="O1649" s="52"/>
      <c r="P1649" s="52"/>
    </row>
    <row r="1650" spans="15:16" x14ac:dyDescent="0.3">
      <c r="O1650" s="52"/>
      <c r="P1650" s="52"/>
    </row>
    <row r="1651" spans="15:16" x14ac:dyDescent="0.3">
      <c r="O1651" s="52"/>
      <c r="P1651" s="52"/>
    </row>
    <row r="1652" spans="15:16" x14ac:dyDescent="0.3">
      <c r="O1652" s="52"/>
      <c r="P1652" s="52"/>
    </row>
    <row r="1653" spans="15:16" x14ac:dyDescent="0.3">
      <c r="O1653" s="52"/>
      <c r="P1653" s="52"/>
    </row>
    <row r="1654" spans="15:16" x14ac:dyDescent="0.3">
      <c r="O1654" s="52"/>
      <c r="P1654" s="52"/>
    </row>
    <row r="1655" spans="15:16" x14ac:dyDescent="0.3">
      <c r="O1655" s="52"/>
      <c r="P1655" s="52"/>
    </row>
    <row r="1656" spans="15:16" x14ac:dyDescent="0.3">
      <c r="O1656" s="52"/>
      <c r="P1656" s="52"/>
    </row>
    <row r="1657" spans="15:16" x14ac:dyDescent="0.3">
      <c r="O1657" s="52"/>
      <c r="P1657" s="52"/>
    </row>
    <row r="1658" spans="15:16" x14ac:dyDescent="0.3">
      <c r="O1658" s="52"/>
      <c r="P1658" s="52"/>
    </row>
    <row r="1659" spans="15:16" x14ac:dyDescent="0.3">
      <c r="O1659" s="52"/>
      <c r="P1659" s="52"/>
    </row>
    <row r="1660" spans="15:16" x14ac:dyDescent="0.3">
      <c r="O1660" s="52"/>
      <c r="P1660" s="52"/>
    </row>
    <row r="1661" spans="15:16" x14ac:dyDescent="0.3">
      <c r="O1661" s="52"/>
      <c r="P1661" s="52"/>
    </row>
    <row r="1662" spans="15:16" x14ac:dyDescent="0.3">
      <c r="O1662" s="52"/>
      <c r="P1662" s="52"/>
    </row>
    <row r="1663" spans="15:16" x14ac:dyDescent="0.3">
      <c r="O1663" s="52"/>
      <c r="P1663" s="52"/>
    </row>
    <row r="1664" spans="15:16" x14ac:dyDescent="0.3">
      <c r="O1664" s="52"/>
      <c r="P1664" s="52"/>
    </row>
    <row r="1665" spans="15:16" x14ac:dyDescent="0.3">
      <c r="O1665" s="52"/>
      <c r="P1665" s="52"/>
    </row>
    <row r="1666" spans="15:16" x14ac:dyDescent="0.3">
      <c r="O1666" s="52"/>
      <c r="P1666" s="52"/>
    </row>
    <row r="1667" spans="15:16" x14ac:dyDescent="0.3">
      <c r="O1667" s="52"/>
      <c r="P1667" s="52"/>
    </row>
    <row r="1668" spans="15:16" x14ac:dyDescent="0.3">
      <c r="O1668" s="52"/>
      <c r="P1668" s="52"/>
    </row>
    <row r="1669" spans="15:16" x14ac:dyDescent="0.3">
      <c r="O1669" s="52"/>
      <c r="P1669" s="52"/>
    </row>
    <row r="1670" spans="15:16" x14ac:dyDescent="0.3">
      <c r="O1670" s="52"/>
      <c r="P1670" s="52"/>
    </row>
    <row r="1671" spans="15:16" x14ac:dyDescent="0.3">
      <c r="O1671" s="52"/>
      <c r="P1671" s="52"/>
    </row>
    <row r="1672" spans="15:16" x14ac:dyDescent="0.3">
      <c r="O1672" s="52"/>
      <c r="P1672" s="52"/>
    </row>
    <row r="1673" spans="15:16" x14ac:dyDescent="0.3">
      <c r="O1673" s="52"/>
      <c r="P1673" s="52"/>
    </row>
    <row r="1674" spans="15:16" x14ac:dyDescent="0.3">
      <c r="O1674" s="52"/>
      <c r="P1674" s="52"/>
    </row>
    <row r="1675" spans="15:16" x14ac:dyDescent="0.3">
      <c r="O1675" s="52"/>
      <c r="P1675" s="52"/>
    </row>
    <row r="1676" spans="15:16" x14ac:dyDescent="0.3">
      <c r="O1676" s="52"/>
      <c r="P1676" s="52"/>
    </row>
    <row r="1677" spans="15:16" x14ac:dyDescent="0.3">
      <c r="O1677" s="52"/>
      <c r="P1677" s="52"/>
    </row>
    <row r="1678" spans="15:16" x14ac:dyDescent="0.3">
      <c r="O1678" s="52"/>
      <c r="P1678" s="52"/>
    </row>
    <row r="1679" spans="15:16" x14ac:dyDescent="0.3">
      <c r="O1679" s="52"/>
      <c r="P1679" s="52"/>
    </row>
    <row r="1680" spans="15:16" x14ac:dyDescent="0.3">
      <c r="O1680" s="52"/>
      <c r="P1680" s="52"/>
    </row>
    <row r="1681" spans="15:16" x14ac:dyDescent="0.3">
      <c r="O1681" s="52"/>
      <c r="P1681" s="52"/>
    </row>
    <row r="1682" spans="15:16" x14ac:dyDescent="0.3">
      <c r="O1682" s="52"/>
      <c r="P1682" s="52"/>
    </row>
    <row r="1683" spans="15:16" x14ac:dyDescent="0.3">
      <c r="O1683" s="52"/>
      <c r="P1683" s="52"/>
    </row>
    <row r="1684" spans="15:16" x14ac:dyDescent="0.3">
      <c r="O1684" s="52"/>
      <c r="P1684" s="52"/>
    </row>
    <row r="1685" spans="15:16" x14ac:dyDescent="0.3">
      <c r="O1685" s="52"/>
      <c r="P1685" s="52"/>
    </row>
    <row r="1686" spans="15:16" x14ac:dyDescent="0.3">
      <c r="O1686" s="52"/>
      <c r="P1686" s="52"/>
    </row>
    <row r="1687" spans="15:16" x14ac:dyDescent="0.3">
      <c r="O1687" s="52"/>
      <c r="P1687" s="52"/>
    </row>
    <row r="1688" spans="15:16" x14ac:dyDescent="0.3">
      <c r="O1688" s="52"/>
      <c r="P1688" s="52"/>
    </row>
    <row r="1689" spans="15:16" x14ac:dyDescent="0.3">
      <c r="O1689" s="52"/>
      <c r="P1689" s="52"/>
    </row>
    <row r="1690" spans="15:16" x14ac:dyDescent="0.3">
      <c r="O1690" s="52"/>
      <c r="P1690" s="52"/>
    </row>
    <row r="1691" spans="15:16" x14ac:dyDescent="0.3">
      <c r="O1691" s="52"/>
      <c r="P1691" s="52"/>
    </row>
    <row r="1692" spans="15:16" x14ac:dyDescent="0.3">
      <c r="O1692" s="52"/>
      <c r="P1692" s="52"/>
    </row>
    <row r="1693" spans="15:16" x14ac:dyDescent="0.3">
      <c r="O1693" s="52"/>
      <c r="P1693" s="52"/>
    </row>
    <row r="1694" spans="15:16" x14ac:dyDescent="0.3">
      <c r="O1694" s="52"/>
      <c r="P1694" s="52"/>
    </row>
    <row r="1695" spans="15:16" x14ac:dyDescent="0.3">
      <c r="O1695" s="52"/>
      <c r="P1695" s="52"/>
    </row>
    <row r="1696" spans="15:16" x14ac:dyDescent="0.3">
      <c r="O1696" s="52"/>
      <c r="P1696" s="52"/>
    </row>
    <row r="1697" spans="15:16" x14ac:dyDescent="0.3">
      <c r="O1697" s="52"/>
      <c r="P1697" s="52"/>
    </row>
    <row r="1698" spans="15:16" x14ac:dyDescent="0.3">
      <c r="O1698" s="52"/>
      <c r="P1698" s="52"/>
    </row>
    <row r="1699" spans="15:16" x14ac:dyDescent="0.3">
      <c r="O1699" s="52"/>
      <c r="P1699" s="52"/>
    </row>
    <row r="1700" spans="15:16" x14ac:dyDescent="0.3">
      <c r="O1700" s="52"/>
      <c r="P1700" s="52"/>
    </row>
    <row r="1701" spans="15:16" x14ac:dyDescent="0.3">
      <c r="O1701" s="52"/>
      <c r="P1701" s="52"/>
    </row>
    <row r="1702" spans="15:16" x14ac:dyDescent="0.3">
      <c r="O1702" s="52"/>
      <c r="P1702" s="52"/>
    </row>
    <row r="1703" spans="15:16" x14ac:dyDescent="0.3">
      <c r="O1703" s="52"/>
      <c r="P1703" s="52"/>
    </row>
    <row r="1704" spans="15:16" x14ac:dyDescent="0.3">
      <c r="O1704" s="52"/>
      <c r="P1704" s="52"/>
    </row>
    <row r="1705" spans="15:16" x14ac:dyDescent="0.3">
      <c r="O1705" s="52"/>
      <c r="P1705" s="52"/>
    </row>
    <row r="1706" spans="15:16" x14ac:dyDescent="0.3">
      <c r="O1706" s="52"/>
      <c r="P1706" s="52"/>
    </row>
    <row r="1707" spans="15:16" x14ac:dyDescent="0.3">
      <c r="O1707" s="52"/>
      <c r="P1707" s="52"/>
    </row>
    <row r="1708" spans="15:16" x14ac:dyDescent="0.3">
      <c r="O1708" s="52"/>
      <c r="P1708" s="52"/>
    </row>
    <row r="1709" spans="15:16" x14ac:dyDescent="0.3">
      <c r="O1709" s="52"/>
      <c r="P1709" s="52"/>
    </row>
    <row r="1710" spans="15:16" x14ac:dyDescent="0.3">
      <c r="O1710" s="52"/>
      <c r="P1710" s="52"/>
    </row>
    <row r="1711" spans="15:16" x14ac:dyDescent="0.3">
      <c r="O1711" s="52"/>
      <c r="P1711" s="52"/>
    </row>
    <row r="1712" spans="15:16" x14ac:dyDescent="0.3">
      <c r="O1712" s="52"/>
      <c r="P1712" s="52"/>
    </row>
    <row r="1713" spans="15:16" x14ac:dyDescent="0.3">
      <c r="O1713" s="52"/>
      <c r="P1713" s="52"/>
    </row>
    <row r="1714" spans="15:16" x14ac:dyDescent="0.3">
      <c r="O1714" s="52"/>
      <c r="P1714" s="52"/>
    </row>
    <row r="1715" spans="15:16" x14ac:dyDescent="0.3">
      <c r="O1715" s="52"/>
      <c r="P1715" s="52"/>
    </row>
    <row r="1716" spans="15:16" x14ac:dyDescent="0.3">
      <c r="O1716" s="52"/>
      <c r="P1716" s="52"/>
    </row>
    <row r="1717" spans="15:16" x14ac:dyDescent="0.3">
      <c r="O1717" s="52"/>
      <c r="P1717" s="52"/>
    </row>
    <row r="1718" spans="15:16" x14ac:dyDescent="0.3">
      <c r="O1718" s="52"/>
      <c r="P1718" s="52"/>
    </row>
    <row r="1719" spans="15:16" x14ac:dyDescent="0.3">
      <c r="O1719" s="52"/>
      <c r="P1719" s="52"/>
    </row>
    <row r="1720" spans="15:16" x14ac:dyDescent="0.3">
      <c r="O1720" s="52"/>
      <c r="P1720" s="52"/>
    </row>
    <row r="1721" spans="15:16" x14ac:dyDescent="0.3">
      <c r="O1721" s="52"/>
      <c r="P1721" s="52"/>
    </row>
    <row r="1722" spans="15:16" x14ac:dyDescent="0.3">
      <c r="O1722" s="52"/>
      <c r="P1722" s="52"/>
    </row>
    <row r="1723" spans="15:16" x14ac:dyDescent="0.3">
      <c r="O1723" s="52"/>
      <c r="P1723" s="52"/>
    </row>
    <row r="1724" spans="15:16" x14ac:dyDescent="0.3">
      <c r="O1724" s="52"/>
      <c r="P1724" s="52"/>
    </row>
    <row r="1725" spans="15:16" x14ac:dyDescent="0.3">
      <c r="O1725" s="52"/>
      <c r="P1725" s="52"/>
    </row>
    <row r="1726" spans="15:16" x14ac:dyDescent="0.3">
      <c r="O1726" s="52"/>
      <c r="P1726" s="52"/>
    </row>
    <row r="1727" spans="15:16" x14ac:dyDescent="0.3">
      <c r="O1727" s="52"/>
      <c r="P1727" s="52"/>
    </row>
    <row r="1728" spans="15:16" x14ac:dyDescent="0.3">
      <c r="O1728" s="52"/>
      <c r="P1728" s="52"/>
    </row>
    <row r="1729" spans="15:16" x14ac:dyDescent="0.3">
      <c r="O1729" s="52"/>
      <c r="P1729" s="52"/>
    </row>
    <row r="1730" spans="15:16" x14ac:dyDescent="0.3">
      <c r="O1730" s="52"/>
      <c r="P1730" s="52"/>
    </row>
    <row r="1731" spans="15:16" x14ac:dyDescent="0.3">
      <c r="O1731" s="52"/>
      <c r="P1731" s="52"/>
    </row>
    <row r="1732" spans="15:16" x14ac:dyDescent="0.3">
      <c r="O1732" s="52"/>
      <c r="P1732" s="52"/>
    </row>
    <row r="1733" spans="15:16" x14ac:dyDescent="0.3">
      <c r="O1733" s="52"/>
      <c r="P1733" s="52"/>
    </row>
    <row r="1734" spans="15:16" x14ac:dyDescent="0.3">
      <c r="O1734" s="52"/>
      <c r="P1734" s="52"/>
    </row>
    <row r="1735" spans="15:16" x14ac:dyDescent="0.3">
      <c r="O1735" s="52"/>
      <c r="P1735" s="52"/>
    </row>
    <row r="1736" spans="15:16" x14ac:dyDescent="0.3">
      <c r="O1736" s="52"/>
      <c r="P1736" s="52"/>
    </row>
    <row r="1737" spans="15:16" x14ac:dyDescent="0.3">
      <c r="O1737" s="52"/>
      <c r="P1737" s="52"/>
    </row>
    <row r="1738" spans="15:16" x14ac:dyDescent="0.3">
      <c r="O1738" s="52"/>
      <c r="P1738" s="52"/>
    </row>
    <row r="1739" spans="15:16" x14ac:dyDescent="0.3">
      <c r="O1739" s="52"/>
      <c r="P1739" s="52"/>
    </row>
    <row r="1740" spans="15:16" x14ac:dyDescent="0.3">
      <c r="O1740" s="52"/>
      <c r="P1740" s="52"/>
    </row>
    <row r="1741" spans="15:16" x14ac:dyDescent="0.3">
      <c r="O1741" s="52"/>
      <c r="P1741" s="52"/>
    </row>
    <row r="1742" spans="15:16" x14ac:dyDescent="0.3">
      <c r="O1742" s="52"/>
      <c r="P1742" s="52"/>
    </row>
    <row r="1743" spans="15:16" x14ac:dyDescent="0.3">
      <c r="O1743" s="52"/>
      <c r="P1743" s="52"/>
    </row>
    <row r="1744" spans="15:16" x14ac:dyDescent="0.3">
      <c r="O1744" s="52"/>
      <c r="P1744" s="52"/>
    </row>
    <row r="1745" spans="15:16" x14ac:dyDescent="0.3">
      <c r="O1745" s="52"/>
      <c r="P1745" s="52"/>
    </row>
    <row r="1746" spans="15:16" x14ac:dyDescent="0.3">
      <c r="O1746" s="52"/>
      <c r="P1746" s="52"/>
    </row>
    <row r="1747" spans="15:16" x14ac:dyDescent="0.3">
      <c r="O1747" s="52"/>
      <c r="P1747" s="52"/>
    </row>
    <row r="1748" spans="15:16" x14ac:dyDescent="0.3">
      <c r="O1748" s="52"/>
      <c r="P1748" s="52"/>
    </row>
    <row r="1749" spans="15:16" x14ac:dyDescent="0.3">
      <c r="O1749" s="52"/>
      <c r="P1749" s="52"/>
    </row>
    <row r="1750" spans="15:16" x14ac:dyDescent="0.3">
      <c r="O1750" s="52"/>
      <c r="P1750" s="52"/>
    </row>
    <row r="1751" spans="15:16" x14ac:dyDescent="0.3">
      <c r="O1751" s="52"/>
      <c r="P1751" s="52"/>
    </row>
    <row r="1752" spans="15:16" x14ac:dyDescent="0.3">
      <c r="O1752" s="52"/>
      <c r="P1752" s="52"/>
    </row>
    <row r="1753" spans="15:16" x14ac:dyDescent="0.3">
      <c r="O1753" s="52"/>
      <c r="P1753" s="52"/>
    </row>
    <row r="1754" spans="15:16" x14ac:dyDescent="0.3">
      <c r="O1754" s="52"/>
      <c r="P1754" s="52"/>
    </row>
    <row r="1755" spans="15:16" x14ac:dyDescent="0.3">
      <c r="O1755" s="52"/>
      <c r="P1755" s="52"/>
    </row>
    <row r="1756" spans="15:16" x14ac:dyDescent="0.3">
      <c r="O1756" s="52"/>
      <c r="P1756" s="52"/>
    </row>
    <row r="1757" spans="15:16" x14ac:dyDescent="0.3">
      <c r="O1757" s="52"/>
      <c r="P1757" s="52"/>
    </row>
    <row r="1758" spans="15:16" x14ac:dyDescent="0.3">
      <c r="O1758" s="52"/>
      <c r="P1758" s="52"/>
    </row>
    <row r="1759" spans="15:16" x14ac:dyDescent="0.3">
      <c r="O1759" s="52"/>
      <c r="P1759" s="52"/>
    </row>
    <row r="1760" spans="15:16" x14ac:dyDescent="0.3">
      <c r="O1760" s="52"/>
      <c r="P1760" s="52"/>
    </row>
    <row r="1761" spans="15:16" x14ac:dyDescent="0.3">
      <c r="O1761" s="52"/>
      <c r="P1761" s="52"/>
    </row>
    <row r="1762" spans="15:16" x14ac:dyDescent="0.3">
      <c r="O1762" s="52"/>
      <c r="P1762" s="52"/>
    </row>
    <row r="1763" spans="15:16" x14ac:dyDescent="0.3">
      <c r="O1763" s="52"/>
      <c r="P1763" s="52"/>
    </row>
    <row r="1764" spans="15:16" x14ac:dyDescent="0.3">
      <c r="O1764" s="52"/>
      <c r="P1764" s="52"/>
    </row>
    <row r="1765" spans="15:16" x14ac:dyDescent="0.3">
      <c r="O1765" s="52"/>
      <c r="P1765" s="52"/>
    </row>
    <row r="1766" spans="15:16" x14ac:dyDescent="0.3">
      <c r="O1766" s="52"/>
      <c r="P1766" s="52"/>
    </row>
    <row r="1767" spans="15:16" x14ac:dyDescent="0.3">
      <c r="O1767" s="52"/>
      <c r="P1767" s="52"/>
    </row>
    <row r="1768" spans="15:16" x14ac:dyDescent="0.3">
      <c r="O1768" s="52"/>
      <c r="P1768" s="52"/>
    </row>
    <row r="1769" spans="15:16" x14ac:dyDescent="0.3">
      <c r="O1769" s="52"/>
      <c r="P1769" s="52"/>
    </row>
    <row r="1770" spans="15:16" x14ac:dyDescent="0.3">
      <c r="O1770" s="52"/>
      <c r="P1770" s="52"/>
    </row>
    <row r="1771" spans="15:16" x14ac:dyDescent="0.3">
      <c r="O1771" s="52"/>
      <c r="P1771" s="52"/>
    </row>
    <row r="1772" spans="15:16" x14ac:dyDescent="0.3">
      <c r="O1772" s="52"/>
      <c r="P1772" s="52"/>
    </row>
    <row r="1773" spans="15:16" x14ac:dyDescent="0.3">
      <c r="O1773" s="52"/>
      <c r="P1773" s="52"/>
    </row>
    <row r="1774" spans="15:16" x14ac:dyDescent="0.3">
      <c r="O1774" s="52"/>
      <c r="P1774" s="52"/>
    </row>
    <row r="1775" spans="15:16" x14ac:dyDescent="0.3">
      <c r="O1775" s="52"/>
      <c r="P1775" s="52"/>
    </row>
    <row r="1776" spans="15:16" x14ac:dyDescent="0.3">
      <c r="O1776" s="52"/>
      <c r="P1776" s="52"/>
    </row>
    <row r="1777" spans="15:16" x14ac:dyDescent="0.3">
      <c r="O1777" s="52"/>
      <c r="P1777" s="52"/>
    </row>
    <row r="1778" spans="15:16" x14ac:dyDescent="0.3">
      <c r="O1778" s="52"/>
      <c r="P1778" s="52"/>
    </row>
    <row r="1779" spans="15:16" x14ac:dyDescent="0.3">
      <c r="O1779" s="52"/>
      <c r="P1779" s="52"/>
    </row>
    <row r="1780" spans="15:16" x14ac:dyDescent="0.3">
      <c r="O1780" s="52"/>
      <c r="P1780" s="52"/>
    </row>
    <row r="1781" spans="15:16" x14ac:dyDescent="0.3">
      <c r="O1781" s="52"/>
      <c r="P1781" s="52"/>
    </row>
    <row r="1782" spans="15:16" x14ac:dyDescent="0.3">
      <c r="O1782" s="52"/>
      <c r="P1782" s="52"/>
    </row>
    <row r="1783" spans="15:16" x14ac:dyDescent="0.3">
      <c r="O1783" s="52"/>
      <c r="P1783" s="52"/>
    </row>
    <row r="1784" spans="15:16" x14ac:dyDescent="0.3">
      <c r="O1784" s="52"/>
      <c r="P1784" s="52"/>
    </row>
    <row r="1785" spans="15:16" x14ac:dyDescent="0.3">
      <c r="O1785" s="52"/>
      <c r="P1785" s="52"/>
    </row>
    <row r="1786" spans="15:16" x14ac:dyDescent="0.3">
      <c r="O1786" s="52"/>
      <c r="P1786" s="52"/>
    </row>
    <row r="1787" spans="15:16" x14ac:dyDescent="0.3">
      <c r="O1787" s="52"/>
      <c r="P1787" s="52"/>
    </row>
    <row r="1788" spans="15:16" x14ac:dyDescent="0.3">
      <c r="O1788" s="52"/>
      <c r="P1788" s="52"/>
    </row>
    <row r="1789" spans="15:16" x14ac:dyDescent="0.3">
      <c r="O1789" s="52"/>
      <c r="P1789" s="52"/>
    </row>
    <row r="1790" spans="15:16" x14ac:dyDescent="0.3">
      <c r="O1790" s="52"/>
      <c r="P1790" s="52"/>
    </row>
    <row r="1791" spans="15:16" x14ac:dyDescent="0.3">
      <c r="O1791" s="52"/>
      <c r="P1791" s="52"/>
    </row>
    <row r="1792" spans="15:16" x14ac:dyDescent="0.3">
      <c r="O1792" s="52"/>
      <c r="P1792" s="52"/>
    </row>
    <row r="1793" spans="15:16" x14ac:dyDescent="0.3">
      <c r="O1793" s="52"/>
      <c r="P1793" s="52"/>
    </row>
    <row r="1794" spans="15:16" x14ac:dyDescent="0.3">
      <c r="O1794" s="52"/>
      <c r="P1794" s="52"/>
    </row>
    <row r="1795" spans="15:16" x14ac:dyDescent="0.3">
      <c r="O1795" s="52"/>
      <c r="P1795" s="52"/>
    </row>
    <row r="1796" spans="15:16" x14ac:dyDescent="0.3">
      <c r="O1796" s="52"/>
      <c r="P1796" s="52"/>
    </row>
    <row r="1797" spans="15:16" x14ac:dyDescent="0.3">
      <c r="O1797" s="52"/>
      <c r="P1797" s="52"/>
    </row>
    <row r="1798" spans="15:16" x14ac:dyDescent="0.3">
      <c r="O1798" s="52"/>
      <c r="P1798" s="52"/>
    </row>
    <row r="1799" spans="15:16" x14ac:dyDescent="0.3">
      <c r="O1799" s="52"/>
      <c r="P1799" s="52"/>
    </row>
    <row r="1800" spans="15:16" x14ac:dyDescent="0.3">
      <c r="O1800" s="52"/>
      <c r="P1800" s="52"/>
    </row>
    <row r="1801" spans="15:16" x14ac:dyDescent="0.3">
      <c r="O1801" s="52"/>
      <c r="P1801" s="52"/>
    </row>
    <row r="1802" spans="15:16" x14ac:dyDescent="0.3">
      <c r="O1802" s="52"/>
      <c r="P1802" s="52"/>
    </row>
    <row r="1803" spans="15:16" x14ac:dyDescent="0.3">
      <c r="O1803" s="52"/>
      <c r="P1803" s="52"/>
    </row>
    <row r="1804" spans="15:16" x14ac:dyDescent="0.3">
      <c r="O1804" s="52"/>
      <c r="P1804" s="52"/>
    </row>
    <row r="1805" spans="15:16" x14ac:dyDescent="0.3">
      <c r="O1805" s="52"/>
      <c r="P1805" s="52"/>
    </row>
    <row r="1806" spans="15:16" x14ac:dyDescent="0.3">
      <c r="O1806" s="52"/>
      <c r="P1806" s="52"/>
    </row>
    <row r="1807" spans="15:16" x14ac:dyDescent="0.3">
      <c r="O1807" s="52"/>
      <c r="P1807" s="52"/>
    </row>
    <row r="1808" spans="15:16" x14ac:dyDescent="0.3">
      <c r="O1808" s="52"/>
      <c r="P1808" s="52"/>
    </row>
    <row r="1809" spans="15:16" x14ac:dyDescent="0.3">
      <c r="O1809" s="52"/>
      <c r="P1809" s="52"/>
    </row>
    <row r="1810" spans="15:16" x14ac:dyDescent="0.3">
      <c r="O1810" s="52"/>
      <c r="P1810" s="52"/>
    </row>
    <row r="1811" spans="15:16" x14ac:dyDescent="0.3">
      <c r="O1811" s="52"/>
      <c r="P1811" s="52"/>
    </row>
    <row r="1812" spans="15:16" x14ac:dyDescent="0.3">
      <c r="O1812" s="52"/>
      <c r="P1812" s="52"/>
    </row>
    <row r="1813" spans="15:16" x14ac:dyDescent="0.3">
      <c r="O1813" s="52"/>
      <c r="P1813" s="52"/>
    </row>
    <row r="1814" spans="15:16" x14ac:dyDescent="0.3">
      <c r="O1814" s="52"/>
      <c r="P1814" s="52"/>
    </row>
    <row r="1815" spans="15:16" x14ac:dyDescent="0.3">
      <c r="O1815" s="52"/>
      <c r="P1815" s="52"/>
    </row>
    <row r="1816" spans="15:16" x14ac:dyDescent="0.3">
      <c r="O1816" s="52"/>
      <c r="P1816" s="52"/>
    </row>
    <row r="1817" spans="15:16" x14ac:dyDescent="0.3">
      <c r="O1817" s="52"/>
      <c r="P1817" s="52"/>
    </row>
    <row r="1818" spans="15:16" x14ac:dyDescent="0.3">
      <c r="O1818" s="52"/>
      <c r="P1818" s="52"/>
    </row>
    <row r="1819" spans="15:16" x14ac:dyDescent="0.3">
      <c r="O1819" s="52"/>
      <c r="P1819" s="52"/>
    </row>
    <row r="1820" spans="15:16" x14ac:dyDescent="0.3">
      <c r="O1820" s="52"/>
      <c r="P1820" s="52"/>
    </row>
    <row r="1821" spans="15:16" x14ac:dyDescent="0.3">
      <c r="O1821" s="52"/>
      <c r="P1821" s="52"/>
    </row>
    <row r="1822" spans="15:16" x14ac:dyDescent="0.3">
      <c r="O1822" s="52"/>
      <c r="P1822" s="52"/>
    </row>
    <row r="1823" spans="15:16" x14ac:dyDescent="0.3">
      <c r="O1823" s="52"/>
      <c r="P1823" s="52"/>
    </row>
    <row r="1824" spans="15:16" x14ac:dyDescent="0.3">
      <c r="O1824" s="52"/>
      <c r="P1824" s="52"/>
    </row>
    <row r="1825" spans="15:16" x14ac:dyDescent="0.3">
      <c r="O1825" s="52"/>
      <c r="P1825" s="52"/>
    </row>
    <row r="1826" spans="15:16" x14ac:dyDescent="0.3">
      <c r="O1826" s="52"/>
      <c r="P1826" s="52"/>
    </row>
    <row r="1827" spans="15:16" x14ac:dyDescent="0.3">
      <c r="O1827" s="52"/>
      <c r="P1827" s="52"/>
    </row>
    <row r="1828" spans="15:16" x14ac:dyDescent="0.3">
      <c r="O1828" s="52"/>
      <c r="P1828" s="52"/>
    </row>
    <row r="1829" spans="15:16" x14ac:dyDescent="0.3">
      <c r="O1829" s="52"/>
      <c r="P1829" s="52"/>
    </row>
    <row r="1830" spans="15:16" x14ac:dyDescent="0.3">
      <c r="O1830" s="52"/>
      <c r="P1830" s="52"/>
    </row>
    <row r="1831" spans="15:16" x14ac:dyDescent="0.3">
      <c r="O1831" s="52"/>
      <c r="P1831" s="52"/>
    </row>
    <row r="1832" spans="15:16" x14ac:dyDescent="0.3">
      <c r="O1832" s="52"/>
      <c r="P1832" s="52"/>
    </row>
    <row r="1833" spans="15:16" x14ac:dyDescent="0.3">
      <c r="O1833" s="52"/>
      <c r="P1833" s="52"/>
    </row>
    <row r="1834" spans="15:16" x14ac:dyDescent="0.3">
      <c r="O1834" s="52"/>
      <c r="P1834" s="52"/>
    </row>
    <row r="1835" spans="15:16" x14ac:dyDescent="0.3">
      <c r="O1835" s="52"/>
      <c r="P1835" s="52"/>
    </row>
    <row r="1836" spans="15:16" x14ac:dyDescent="0.3">
      <c r="O1836" s="52"/>
      <c r="P1836" s="52"/>
    </row>
    <row r="1837" spans="15:16" x14ac:dyDescent="0.3">
      <c r="O1837" s="52"/>
      <c r="P1837" s="52"/>
    </row>
    <row r="1838" spans="15:16" x14ac:dyDescent="0.3">
      <c r="O1838" s="52"/>
      <c r="P1838" s="52"/>
    </row>
    <row r="1839" spans="15:16" x14ac:dyDescent="0.3">
      <c r="O1839" s="52"/>
      <c r="P1839" s="52"/>
    </row>
    <row r="1840" spans="15:16" x14ac:dyDescent="0.3">
      <c r="O1840" s="52"/>
      <c r="P1840" s="52"/>
    </row>
    <row r="1841" spans="15:16" x14ac:dyDescent="0.3">
      <c r="O1841" s="52"/>
      <c r="P1841" s="52"/>
    </row>
    <row r="1842" spans="15:16" x14ac:dyDescent="0.3">
      <c r="O1842" s="52"/>
      <c r="P1842" s="52"/>
    </row>
    <row r="1843" spans="15:16" x14ac:dyDescent="0.3">
      <c r="O1843" s="52"/>
      <c r="P1843" s="52"/>
    </row>
    <row r="1844" spans="15:16" x14ac:dyDescent="0.3">
      <c r="O1844" s="52"/>
      <c r="P1844" s="52"/>
    </row>
    <row r="1845" spans="15:16" x14ac:dyDescent="0.3">
      <c r="O1845" s="52"/>
      <c r="P1845" s="52"/>
    </row>
    <row r="1846" spans="15:16" x14ac:dyDescent="0.3">
      <c r="O1846" s="52"/>
      <c r="P1846" s="52"/>
    </row>
    <row r="1847" spans="15:16" x14ac:dyDescent="0.3">
      <c r="O1847" s="52"/>
      <c r="P1847" s="52"/>
    </row>
    <row r="1848" spans="15:16" x14ac:dyDescent="0.3">
      <c r="O1848" s="52"/>
      <c r="P1848" s="52"/>
    </row>
    <row r="1849" spans="15:16" x14ac:dyDescent="0.3">
      <c r="O1849" s="52"/>
      <c r="P1849" s="52"/>
    </row>
    <row r="1850" spans="15:16" x14ac:dyDescent="0.3">
      <c r="O1850" s="52"/>
      <c r="P1850" s="52"/>
    </row>
    <row r="1851" spans="15:16" x14ac:dyDescent="0.3">
      <c r="O1851" s="52"/>
      <c r="P1851" s="52"/>
    </row>
    <row r="1852" spans="15:16" x14ac:dyDescent="0.3">
      <c r="O1852" s="52"/>
      <c r="P1852" s="52"/>
    </row>
    <row r="1853" spans="15:16" x14ac:dyDescent="0.3">
      <c r="O1853" s="52"/>
      <c r="P1853" s="52"/>
    </row>
    <row r="1854" spans="15:16" x14ac:dyDescent="0.3">
      <c r="O1854" s="52"/>
      <c r="P1854" s="52"/>
    </row>
    <row r="1855" spans="15:16" x14ac:dyDescent="0.3">
      <c r="O1855" s="52"/>
      <c r="P1855" s="52"/>
    </row>
    <row r="1856" spans="15:16" x14ac:dyDescent="0.3">
      <c r="O1856" s="52"/>
      <c r="P1856" s="52"/>
    </row>
    <row r="1857" spans="15:16" x14ac:dyDescent="0.3">
      <c r="O1857" s="52"/>
      <c r="P1857" s="52"/>
    </row>
    <row r="1858" spans="15:16" x14ac:dyDescent="0.3">
      <c r="O1858" s="52"/>
      <c r="P1858" s="52"/>
    </row>
    <row r="1859" spans="15:16" x14ac:dyDescent="0.3">
      <c r="O1859" s="52"/>
      <c r="P1859" s="52"/>
    </row>
    <row r="1860" spans="15:16" x14ac:dyDescent="0.3">
      <c r="O1860" s="52"/>
      <c r="P1860" s="52"/>
    </row>
    <row r="1861" spans="15:16" x14ac:dyDescent="0.3">
      <c r="O1861" s="52"/>
      <c r="P1861" s="52"/>
    </row>
    <row r="1862" spans="15:16" x14ac:dyDescent="0.3">
      <c r="O1862" s="52"/>
      <c r="P1862" s="52"/>
    </row>
    <row r="1863" spans="15:16" x14ac:dyDescent="0.3">
      <c r="O1863" s="52"/>
      <c r="P1863" s="52"/>
    </row>
    <row r="1864" spans="15:16" x14ac:dyDescent="0.3">
      <c r="O1864" s="52"/>
      <c r="P1864" s="52"/>
    </row>
    <row r="1865" spans="15:16" x14ac:dyDescent="0.3">
      <c r="O1865" s="52"/>
      <c r="P1865" s="52"/>
    </row>
    <row r="1866" spans="15:16" x14ac:dyDescent="0.3">
      <c r="O1866" s="52"/>
      <c r="P1866" s="52"/>
    </row>
    <row r="1867" spans="15:16" x14ac:dyDescent="0.3">
      <c r="O1867" s="52"/>
      <c r="P1867" s="52"/>
    </row>
    <row r="1868" spans="15:16" x14ac:dyDescent="0.3">
      <c r="O1868" s="52"/>
      <c r="P1868" s="52"/>
    </row>
    <row r="1869" spans="15:16" x14ac:dyDescent="0.3">
      <c r="O1869" s="52"/>
      <c r="P1869" s="52"/>
    </row>
    <row r="1870" spans="15:16" x14ac:dyDescent="0.3">
      <c r="O1870" s="52"/>
      <c r="P1870" s="52"/>
    </row>
    <row r="1871" spans="15:16" x14ac:dyDescent="0.3">
      <c r="O1871" s="52"/>
      <c r="P1871" s="52"/>
    </row>
    <row r="1872" spans="15:16" x14ac:dyDescent="0.3">
      <c r="O1872" s="52"/>
      <c r="P1872" s="52"/>
    </row>
    <row r="1873" spans="15:16" x14ac:dyDescent="0.3">
      <c r="O1873" s="52"/>
      <c r="P1873" s="52"/>
    </row>
    <row r="1874" spans="15:16" x14ac:dyDescent="0.3">
      <c r="O1874" s="52"/>
      <c r="P1874" s="52"/>
    </row>
    <row r="1875" spans="15:16" x14ac:dyDescent="0.3">
      <c r="O1875" s="52"/>
      <c r="P1875" s="52"/>
    </row>
    <row r="1876" spans="15:16" x14ac:dyDescent="0.3">
      <c r="O1876" s="52"/>
      <c r="P1876" s="52"/>
    </row>
    <row r="1877" spans="15:16" x14ac:dyDescent="0.3">
      <c r="O1877" s="52"/>
      <c r="P1877" s="52"/>
    </row>
    <row r="1878" spans="15:16" x14ac:dyDescent="0.3">
      <c r="O1878" s="52"/>
      <c r="P1878" s="52"/>
    </row>
    <row r="1879" spans="15:16" x14ac:dyDescent="0.3">
      <c r="O1879" s="52"/>
      <c r="P1879" s="52"/>
    </row>
    <row r="1880" spans="15:16" x14ac:dyDescent="0.3">
      <c r="O1880" s="52"/>
      <c r="P1880" s="52"/>
    </row>
    <row r="1881" spans="15:16" x14ac:dyDescent="0.3">
      <c r="O1881" s="52"/>
      <c r="P1881" s="52"/>
    </row>
    <row r="1882" spans="15:16" x14ac:dyDescent="0.3">
      <c r="O1882" s="52"/>
      <c r="P1882" s="52"/>
    </row>
    <row r="1883" spans="15:16" x14ac:dyDescent="0.3">
      <c r="O1883" s="52"/>
      <c r="P1883" s="52"/>
    </row>
    <row r="1884" spans="15:16" x14ac:dyDescent="0.3">
      <c r="O1884" s="52"/>
      <c r="P1884" s="52"/>
    </row>
    <row r="1885" spans="15:16" x14ac:dyDescent="0.3">
      <c r="O1885" s="52"/>
      <c r="P1885" s="52"/>
    </row>
    <row r="1886" spans="15:16" x14ac:dyDescent="0.3">
      <c r="O1886" s="52"/>
      <c r="P1886" s="52"/>
    </row>
    <row r="1887" spans="15:16" x14ac:dyDescent="0.3">
      <c r="O1887" s="52"/>
      <c r="P1887" s="52"/>
    </row>
    <row r="1888" spans="15:16" x14ac:dyDescent="0.3">
      <c r="O1888" s="52"/>
      <c r="P1888" s="52"/>
    </row>
    <row r="1889" spans="15:16" x14ac:dyDescent="0.3">
      <c r="O1889" s="52"/>
      <c r="P1889" s="52"/>
    </row>
    <row r="1890" spans="15:16" x14ac:dyDescent="0.3">
      <c r="O1890" s="52"/>
      <c r="P1890" s="52"/>
    </row>
    <row r="1891" spans="15:16" x14ac:dyDescent="0.3">
      <c r="O1891" s="52"/>
      <c r="P1891" s="52"/>
    </row>
    <row r="1892" spans="15:16" x14ac:dyDescent="0.3">
      <c r="O1892" s="52"/>
      <c r="P1892" s="52"/>
    </row>
    <row r="1893" spans="15:16" x14ac:dyDescent="0.3">
      <c r="O1893" s="52"/>
      <c r="P1893" s="52"/>
    </row>
    <row r="1894" spans="15:16" x14ac:dyDescent="0.3">
      <c r="O1894" s="52"/>
      <c r="P1894" s="52"/>
    </row>
    <row r="1895" spans="15:16" x14ac:dyDescent="0.3">
      <c r="O1895" s="52"/>
      <c r="P1895" s="52"/>
    </row>
    <row r="1896" spans="15:16" x14ac:dyDescent="0.3">
      <c r="O1896" s="52"/>
      <c r="P1896" s="52"/>
    </row>
    <row r="1897" spans="15:16" x14ac:dyDescent="0.3">
      <c r="O1897" s="52"/>
      <c r="P1897" s="52"/>
    </row>
    <row r="1898" spans="15:16" x14ac:dyDescent="0.3">
      <c r="O1898" s="52"/>
      <c r="P1898" s="52"/>
    </row>
    <row r="1899" spans="15:16" x14ac:dyDescent="0.3">
      <c r="O1899" s="52"/>
      <c r="P1899" s="52"/>
    </row>
    <row r="1900" spans="15:16" x14ac:dyDescent="0.3">
      <c r="O1900" s="52"/>
      <c r="P1900" s="52"/>
    </row>
    <row r="1901" spans="15:16" x14ac:dyDescent="0.3">
      <c r="O1901" s="52"/>
      <c r="P1901" s="52"/>
    </row>
    <row r="1902" spans="15:16" x14ac:dyDescent="0.3">
      <c r="O1902" s="52"/>
      <c r="P1902" s="52"/>
    </row>
    <row r="1903" spans="15:16" x14ac:dyDescent="0.3">
      <c r="O1903" s="52"/>
      <c r="P1903" s="52"/>
    </row>
    <row r="1904" spans="15:16" x14ac:dyDescent="0.3">
      <c r="O1904" s="52"/>
      <c r="P1904" s="52"/>
    </row>
    <row r="1905" spans="15:16" x14ac:dyDescent="0.3">
      <c r="O1905" s="52"/>
      <c r="P1905" s="52"/>
    </row>
    <row r="1906" spans="15:16" x14ac:dyDescent="0.3">
      <c r="O1906" s="52"/>
      <c r="P1906" s="52"/>
    </row>
    <row r="1907" spans="15:16" x14ac:dyDescent="0.3">
      <c r="O1907" s="52"/>
      <c r="P1907" s="52"/>
    </row>
    <row r="1908" spans="15:16" x14ac:dyDescent="0.3">
      <c r="O1908" s="52"/>
      <c r="P1908" s="52"/>
    </row>
    <row r="1909" spans="15:16" x14ac:dyDescent="0.3">
      <c r="O1909" s="52"/>
      <c r="P1909" s="52"/>
    </row>
    <row r="1910" spans="15:16" x14ac:dyDescent="0.3">
      <c r="O1910" s="52"/>
      <c r="P1910" s="52"/>
    </row>
    <row r="1911" spans="15:16" x14ac:dyDescent="0.3">
      <c r="O1911" s="52"/>
      <c r="P1911" s="52"/>
    </row>
    <row r="1912" spans="15:16" x14ac:dyDescent="0.3">
      <c r="O1912" s="52"/>
      <c r="P1912" s="52"/>
    </row>
    <row r="1913" spans="15:16" x14ac:dyDescent="0.3">
      <c r="O1913" s="52"/>
      <c r="P1913" s="52"/>
    </row>
    <row r="1914" spans="15:16" x14ac:dyDescent="0.3">
      <c r="O1914" s="52"/>
      <c r="P1914" s="52"/>
    </row>
    <row r="1915" spans="15:16" x14ac:dyDescent="0.3">
      <c r="O1915" s="52"/>
      <c r="P1915" s="52"/>
    </row>
    <row r="1916" spans="15:16" x14ac:dyDescent="0.3">
      <c r="O1916" s="52"/>
      <c r="P1916" s="52"/>
    </row>
    <row r="1917" spans="15:16" x14ac:dyDescent="0.3">
      <c r="O1917" s="52"/>
      <c r="P1917" s="52"/>
    </row>
    <row r="1918" spans="15:16" x14ac:dyDescent="0.3">
      <c r="O1918" s="52"/>
      <c r="P1918" s="52"/>
    </row>
    <row r="1919" spans="15:16" x14ac:dyDescent="0.3">
      <c r="O1919" s="52"/>
      <c r="P1919" s="52"/>
    </row>
    <row r="1920" spans="15:16" x14ac:dyDescent="0.3">
      <c r="O1920" s="52"/>
      <c r="P1920" s="52"/>
    </row>
    <row r="1921" spans="15:16" x14ac:dyDescent="0.3">
      <c r="O1921" s="52"/>
      <c r="P1921" s="52"/>
    </row>
    <row r="1922" spans="15:16" x14ac:dyDescent="0.3">
      <c r="O1922" s="52"/>
      <c r="P1922" s="52"/>
    </row>
    <row r="1923" spans="15:16" x14ac:dyDescent="0.3">
      <c r="O1923" s="52"/>
      <c r="P1923" s="52"/>
    </row>
    <row r="1924" spans="15:16" x14ac:dyDescent="0.3">
      <c r="O1924" s="52"/>
      <c r="P1924" s="52"/>
    </row>
    <row r="1925" spans="15:16" x14ac:dyDescent="0.3">
      <c r="O1925" s="52"/>
      <c r="P1925" s="52"/>
    </row>
    <row r="1926" spans="15:16" x14ac:dyDescent="0.3">
      <c r="O1926" s="52"/>
      <c r="P1926" s="52"/>
    </row>
    <row r="1927" spans="15:16" x14ac:dyDescent="0.3">
      <c r="O1927" s="52"/>
      <c r="P1927" s="52"/>
    </row>
    <row r="1928" spans="15:16" x14ac:dyDescent="0.3">
      <c r="O1928" s="52"/>
      <c r="P1928" s="52"/>
    </row>
    <row r="1929" spans="15:16" x14ac:dyDescent="0.3">
      <c r="O1929" s="52"/>
      <c r="P1929" s="52"/>
    </row>
    <row r="1930" spans="15:16" x14ac:dyDescent="0.3">
      <c r="O1930" s="52"/>
      <c r="P1930" s="52"/>
    </row>
    <row r="1931" spans="15:16" x14ac:dyDescent="0.3">
      <c r="O1931" s="52"/>
      <c r="P1931" s="52"/>
    </row>
    <row r="1932" spans="15:16" x14ac:dyDescent="0.3">
      <c r="O1932" s="52"/>
      <c r="P1932" s="52"/>
    </row>
    <row r="1933" spans="15:16" x14ac:dyDescent="0.3">
      <c r="O1933" s="52"/>
      <c r="P1933" s="52"/>
    </row>
    <row r="1934" spans="15:16" x14ac:dyDescent="0.3">
      <c r="O1934" s="52"/>
      <c r="P1934" s="52"/>
    </row>
    <row r="1935" spans="15:16" x14ac:dyDescent="0.3">
      <c r="O1935" s="52"/>
      <c r="P1935" s="52"/>
    </row>
    <row r="1936" spans="15:16" x14ac:dyDescent="0.3">
      <c r="O1936" s="52"/>
      <c r="P1936" s="52"/>
    </row>
    <row r="1937" spans="15:16" x14ac:dyDescent="0.3">
      <c r="O1937" s="52"/>
      <c r="P1937" s="52"/>
    </row>
    <row r="1938" spans="15:16" x14ac:dyDescent="0.3">
      <c r="O1938" s="52"/>
      <c r="P1938" s="52"/>
    </row>
    <row r="1939" spans="15:16" x14ac:dyDescent="0.3">
      <c r="O1939" s="52"/>
      <c r="P1939" s="52"/>
    </row>
    <row r="1940" spans="15:16" x14ac:dyDescent="0.3">
      <c r="O1940" s="52"/>
      <c r="P1940" s="52"/>
    </row>
    <row r="1941" spans="15:16" x14ac:dyDescent="0.3">
      <c r="O1941" s="52"/>
      <c r="P1941" s="52"/>
    </row>
    <row r="1942" spans="15:16" x14ac:dyDescent="0.3">
      <c r="O1942" s="52"/>
      <c r="P1942" s="52"/>
    </row>
    <row r="1943" spans="15:16" x14ac:dyDescent="0.3">
      <c r="O1943" s="52"/>
      <c r="P1943" s="52"/>
    </row>
    <row r="1944" spans="15:16" x14ac:dyDescent="0.3">
      <c r="O1944" s="52"/>
      <c r="P1944" s="52"/>
    </row>
    <row r="1945" spans="15:16" x14ac:dyDescent="0.3">
      <c r="O1945" s="52"/>
      <c r="P1945" s="52"/>
    </row>
    <row r="1946" spans="15:16" x14ac:dyDescent="0.3">
      <c r="O1946" s="52"/>
      <c r="P1946" s="52"/>
    </row>
    <row r="1947" spans="15:16" x14ac:dyDescent="0.3">
      <c r="O1947" s="52"/>
      <c r="P1947" s="52"/>
    </row>
    <row r="1948" spans="15:16" x14ac:dyDescent="0.3">
      <c r="O1948" s="52"/>
      <c r="P1948" s="52"/>
    </row>
    <row r="1949" spans="15:16" x14ac:dyDescent="0.3">
      <c r="O1949" s="52"/>
      <c r="P1949" s="52"/>
    </row>
    <row r="1950" spans="15:16" x14ac:dyDescent="0.3">
      <c r="O1950" s="52"/>
      <c r="P1950" s="52"/>
    </row>
    <row r="1951" spans="15:16" x14ac:dyDescent="0.3">
      <c r="O1951" s="52"/>
      <c r="P1951" s="52"/>
    </row>
    <row r="1952" spans="15:16" x14ac:dyDescent="0.3">
      <c r="O1952" s="52"/>
      <c r="P1952" s="52"/>
    </row>
    <row r="1953" spans="15:16" x14ac:dyDescent="0.3">
      <c r="O1953" s="52"/>
      <c r="P1953" s="52"/>
    </row>
    <row r="1954" spans="15:16" x14ac:dyDescent="0.3">
      <c r="O1954" s="52"/>
      <c r="P1954" s="52"/>
    </row>
    <row r="1955" spans="15:16" x14ac:dyDescent="0.3">
      <c r="O1955" s="52"/>
      <c r="P1955" s="52"/>
    </row>
    <row r="1956" spans="15:16" x14ac:dyDescent="0.3">
      <c r="O1956" s="52"/>
      <c r="P1956" s="52"/>
    </row>
    <row r="1957" spans="15:16" x14ac:dyDescent="0.3">
      <c r="O1957" s="52"/>
      <c r="P1957" s="52"/>
    </row>
    <row r="1958" spans="15:16" x14ac:dyDescent="0.3">
      <c r="O1958" s="52"/>
      <c r="P1958" s="52"/>
    </row>
    <row r="1959" spans="15:16" x14ac:dyDescent="0.3">
      <c r="O1959" s="52"/>
      <c r="P1959" s="52"/>
    </row>
    <row r="1960" spans="15:16" x14ac:dyDescent="0.3">
      <c r="O1960" s="52"/>
      <c r="P1960" s="52"/>
    </row>
    <row r="1961" spans="15:16" x14ac:dyDescent="0.3">
      <c r="O1961" s="52"/>
      <c r="P1961" s="52"/>
    </row>
    <row r="1962" spans="15:16" x14ac:dyDescent="0.3">
      <c r="O1962" s="52"/>
      <c r="P1962" s="52"/>
    </row>
    <row r="1963" spans="15:16" x14ac:dyDescent="0.3">
      <c r="O1963" s="52"/>
      <c r="P1963" s="52"/>
    </row>
    <row r="1964" spans="15:16" x14ac:dyDescent="0.3">
      <c r="O1964" s="52"/>
      <c r="P1964" s="52"/>
    </row>
    <row r="1965" spans="15:16" x14ac:dyDescent="0.3">
      <c r="O1965" s="52"/>
      <c r="P1965" s="52"/>
    </row>
    <row r="1966" spans="15:16" x14ac:dyDescent="0.3">
      <c r="O1966" s="52"/>
      <c r="P1966" s="52"/>
    </row>
    <row r="1967" spans="15:16" x14ac:dyDescent="0.3">
      <c r="O1967" s="52"/>
      <c r="P1967" s="52"/>
    </row>
    <row r="1968" spans="15:16" x14ac:dyDescent="0.3">
      <c r="O1968" s="52"/>
      <c r="P1968" s="52"/>
    </row>
    <row r="1969" spans="15:16" x14ac:dyDescent="0.3">
      <c r="O1969" s="52"/>
      <c r="P1969" s="52"/>
    </row>
    <row r="1970" spans="15:16" x14ac:dyDescent="0.3">
      <c r="O1970" s="52"/>
      <c r="P1970" s="52"/>
    </row>
    <row r="1971" spans="15:16" x14ac:dyDescent="0.3">
      <c r="O1971" s="52"/>
      <c r="P1971" s="52"/>
    </row>
    <row r="1972" spans="15:16" x14ac:dyDescent="0.3">
      <c r="O1972" s="52"/>
      <c r="P1972" s="52"/>
    </row>
    <row r="1973" spans="15:16" x14ac:dyDescent="0.3">
      <c r="O1973" s="52"/>
      <c r="P1973" s="52"/>
    </row>
    <row r="1974" spans="15:16" x14ac:dyDescent="0.3">
      <c r="O1974" s="52"/>
      <c r="P1974" s="52"/>
    </row>
    <row r="1975" spans="15:16" x14ac:dyDescent="0.3">
      <c r="O1975" s="52"/>
      <c r="P1975" s="52"/>
    </row>
    <row r="1976" spans="15:16" x14ac:dyDescent="0.3">
      <c r="O1976" s="52"/>
      <c r="P1976" s="52"/>
    </row>
    <row r="1977" spans="15:16" x14ac:dyDescent="0.3">
      <c r="O1977" s="52"/>
      <c r="P1977" s="52"/>
    </row>
    <row r="1978" spans="15:16" x14ac:dyDescent="0.3">
      <c r="O1978" s="52"/>
      <c r="P1978" s="52"/>
    </row>
    <row r="1979" spans="15:16" x14ac:dyDescent="0.3">
      <c r="O1979" s="52"/>
      <c r="P1979" s="52"/>
    </row>
    <row r="1980" spans="15:16" x14ac:dyDescent="0.3">
      <c r="O1980" s="52"/>
      <c r="P1980" s="52"/>
    </row>
    <row r="1981" spans="15:16" x14ac:dyDescent="0.3">
      <c r="O1981" s="52"/>
      <c r="P1981" s="52"/>
    </row>
    <row r="1982" spans="15:16" x14ac:dyDescent="0.3">
      <c r="O1982" s="52"/>
      <c r="P1982" s="52"/>
    </row>
    <row r="1983" spans="15:16" x14ac:dyDescent="0.3">
      <c r="O1983" s="52"/>
      <c r="P1983" s="52"/>
    </row>
    <row r="1984" spans="15:16" x14ac:dyDescent="0.3">
      <c r="O1984" s="52"/>
      <c r="P1984" s="52"/>
    </row>
    <row r="1985" spans="15:16" x14ac:dyDescent="0.3">
      <c r="O1985" s="52"/>
      <c r="P1985" s="52"/>
    </row>
    <row r="1986" spans="15:16" x14ac:dyDescent="0.3">
      <c r="O1986" s="52"/>
      <c r="P1986" s="52"/>
    </row>
    <row r="1987" spans="15:16" x14ac:dyDescent="0.3">
      <c r="O1987" s="52"/>
      <c r="P1987" s="52"/>
    </row>
    <row r="1988" spans="15:16" x14ac:dyDescent="0.3">
      <c r="O1988" s="52"/>
      <c r="P1988" s="52"/>
    </row>
    <row r="1989" spans="15:16" x14ac:dyDescent="0.3">
      <c r="O1989" s="52"/>
      <c r="P1989" s="52"/>
    </row>
    <row r="1990" spans="15:16" x14ac:dyDescent="0.3">
      <c r="O1990" s="52"/>
      <c r="P1990" s="52"/>
    </row>
    <row r="1991" spans="15:16" x14ac:dyDescent="0.3">
      <c r="O1991" s="52"/>
      <c r="P1991" s="52"/>
    </row>
    <row r="1992" spans="15:16" x14ac:dyDescent="0.3">
      <c r="O1992" s="52"/>
      <c r="P1992" s="52"/>
    </row>
    <row r="1993" spans="15:16" x14ac:dyDescent="0.3">
      <c r="O1993" s="52"/>
      <c r="P1993" s="52"/>
    </row>
    <row r="1994" spans="15:16" x14ac:dyDescent="0.3">
      <c r="O1994" s="52"/>
      <c r="P1994" s="52"/>
    </row>
    <row r="1995" spans="15:16" x14ac:dyDescent="0.3">
      <c r="O1995" s="52"/>
      <c r="P1995" s="52"/>
    </row>
    <row r="1996" spans="15:16" x14ac:dyDescent="0.3">
      <c r="O1996" s="52"/>
      <c r="P1996" s="52"/>
    </row>
    <row r="1997" spans="15:16" x14ac:dyDescent="0.3">
      <c r="O1997" s="52"/>
      <c r="P1997" s="52"/>
    </row>
    <row r="1998" spans="15:16" x14ac:dyDescent="0.3">
      <c r="O1998" s="52"/>
      <c r="P1998" s="52"/>
    </row>
    <row r="1999" spans="15:16" x14ac:dyDescent="0.3">
      <c r="O1999" s="52"/>
      <c r="P1999" s="52"/>
    </row>
    <row r="2000" spans="15:16" x14ac:dyDescent="0.3">
      <c r="O2000" s="52"/>
      <c r="P2000" s="52"/>
    </row>
    <row r="2001" spans="15:16" x14ac:dyDescent="0.3">
      <c r="O2001" s="52"/>
      <c r="P2001" s="52"/>
    </row>
    <row r="2002" spans="15:16" x14ac:dyDescent="0.3">
      <c r="O2002" s="52"/>
      <c r="P2002" s="52"/>
    </row>
    <row r="2003" spans="15:16" x14ac:dyDescent="0.3">
      <c r="O2003" s="52"/>
      <c r="P2003" s="52"/>
    </row>
    <row r="2004" spans="15:16" x14ac:dyDescent="0.3">
      <c r="O2004" s="52"/>
      <c r="P2004" s="52"/>
    </row>
    <row r="2005" spans="15:16" x14ac:dyDescent="0.3">
      <c r="O2005" s="52"/>
      <c r="P2005" s="52"/>
    </row>
    <row r="2006" spans="15:16" x14ac:dyDescent="0.3">
      <c r="O2006" s="52"/>
      <c r="P2006" s="52"/>
    </row>
    <row r="2007" spans="15:16" x14ac:dyDescent="0.3">
      <c r="O2007" s="52"/>
      <c r="P2007" s="52"/>
    </row>
    <row r="2008" spans="15:16" x14ac:dyDescent="0.3">
      <c r="O2008" s="52"/>
      <c r="P2008" s="52"/>
    </row>
    <row r="2009" spans="15:16" x14ac:dyDescent="0.3">
      <c r="O2009" s="52"/>
      <c r="P2009" s="52"/>
    </row>
    <row r="2010" spans="15:16" x14ac:dyDescent="0.3">
      <c r="O2010" s="52"/>
      <c r="P2010" s="52"/>
    </row>
    <row r="2011" spans="15:16" x14ac:dyDescent="0.3">
      <c r="O2011" s="52"/>
      <c r="P2011" s="52"/>
    </row>
    <row r="2012" spans="15:16" x14ac:dyDescent="0.3">
      <c r="O2012" s="52"/>
      <c r="P2012" s="52"/>
    </row>
    <row r="2013" spans="15:16" x14ac:dyDescent="0.3">
      <c r="O2013" s="52"/>
      <c r="P2013" s="52"/>
    </row>
    <row r="2014" spans="15:16" x14ac:dyDescent="0.3">
      <c r="O2014" s="52"/>
      <c r="P2014" s="52"/>
    </row>
    <row r="2015" spans="15:16" x14ac:dyDescent="0.3">
      <c r="O2015" s="52"/>
      <c r="P2015" s="52"/>
    </row>
    <row r="2016" spans="15:16" x14ac:dyDescent="0.3">
      <c r="O2016" s="52"/>
      <c r="P2016" s="52"/>
    </row>
    <row r="2017" spans="15:16" x14ac:dyDescent="0.3">
      <c r="O2017" s="52"/>
      <c r="P2017" s="52"/>
    </row>
    <row r="2018" spans="15:16" x14ac:dyDescent="0.3">
      <c r="O2018" s="52"/>
      <c r="P2018" s="52"/>
    </row>
    <row r="2019" spans="15:16" x14ac:dyDescent="0.3">
      <c r="O2019" s="52"/>
      <c r="P2019" s="52"/>
    </row>
    <row r="2020" spans="15:16" x14ac:dyDescent="0.3">
      <c r="O2020" s="52"/>
      <c r="P2020" s="52"/>
    </row>
    <row r="2021" spans="15:16" x14ac:dyDescent="0.3">
      <c r="O2021" s="52"/>
      <c r="P2021" s="52"/>
    </row>
    <row r="2022" spans="15:16" x14ac:dyDescent="0.3">
      <c r="O2022" s="52"/>
      <c r="P2022" s="52"/>
    </row>
    <row r="2023" spans="15:16" x14ac:dyDescent="0.3">
      <c r="O2023" s="52"/>
      <c r="P2023" s="52"/>
    </row>
    <row r="2024" spans="15:16" x14ac:dyDescent="0.3">
      <c r="O2024" s="52"/>
      <c r="P2024" s="52"/>
    </row>
    <row r="2025" spans="15:16" x14ac:dyDescent="0.3">
      <c r="O2025" s="52"/>
      <c r="P2025" s="52"/>
    </row>
    <row r="2026" spans="15:16" x14ac:dyDescent="0.3">
      <c r="O2026" s="52"/>
      <c r="P2026" s="52"/>
    </row>
    <row r="2027" spans="15:16" x14ac:dyDescent="0.3">
      <c r="O2027" s="52"/>
      <c r="P2027" s="52"/>
    </row>
    <row r="2028" spans="15:16" x14ac:dyDescent="0.3">
      <c r="O2028" s="52"/>
      <c r="P2028" s="52"/>
    </row>
    <row r="2029" spans="15:16" x14ac:dyDescent="0.3">
      <c r="O2029" s="52"/>
      <c r="P2029" s="52"/>
    </row>
    <row r="2030" spans="15:16" x14ac:dyDescent="0.3">
      <c r="O2030" s="52"/>
      <c r="P2030" s="52"/>
    </row>
    <row r="2031" spans="15:16" x14ac:dyDescent="0.3">
      <c r="O2031" s="52"/>
      <c r="P2031" s="52"/>
    </row>
    <row r="2032" spans="15:16" x14ac:dyDescent="0.3">
      <c r="O2032" s="52"/>
      <c r="P2032" s="52"/>
    </row>
    <row r="2033" spans="15:16" x14ac:dyDescent="0.3">
      <c r="O2033" s="52"/>
      <c r="P2033" s="52"/>
    </row>
    <row r="2034" spans="15:16" x14ac:dyDescent="0.3">
      <c r="O2034" s="52"/>
      <c r="P2034" s="52"/>
    </row>
    <row r="2035" spans="15:16" x14ac:dyDescent="0.3">
      <c r="O2035" s="52"/>
      <c r="P2035" s="52"/>
    </row>
    <row r="2036" spans="15:16" x14ac:dyDescent="0.3">
      <c r="O2036" s="52"/>
      <c r="P2036" s="52"/>
    </row>
    <row r="2037" spans="15:16" x14ac:dyDescent="0.3">
      <c r="O2037" s="52"/>
      <c r="P2037" s="52"/>
    </row>
    <row r="2038" spans="15:16" x14ac:dyDescent="0.3">
      <c r="O2038" s="52"/>
      <c r="P2038" s="52"/>
    </row>
    <row r="2039" spans="15:16" x14ac:dyDescent="0.3">
      <c r="O2039" s="52"/>
      <c r="P2039" s="52"/>
    </row>
    <row r="2040" spans="15:16" x14ac:dyDescent="0.3">
      <c r="O2040" s="52"/>
      <c r="P2040" s="52"/>
    </row>
    <row r="2041" spans="15:16" x14ac:dyDescent="0.3">
      <c r="O2041" s="52"/>
      <c r="P2041" s="52"/>
    </row>
    <row r="2042" spans="15:16" x14ac:dyDescent="0.3">
      <c r="O2042" s="52"/>
      <c r="P2042" s="52"/>
    </row>
    <row r="2043" spans="15:16" x14ac:dyDescent="0.3">
      <c r="O2043" s="52"/>
      <c r="P2043" s="52"/>
    </row>
    <row r="2044" spans="15:16" x14ac:dyDescent="0.3">
      <c r="O2044" s="52"/>
      <c r="P2044" s="52"/>
    </row>
    <row r="2045" spans="15:16" x14ac:dyDescent="0.3">
      <c r="O2045" s="52"/>
      <c r="P2045" s="52"/>
    </row>
    <row r="2046" spans="15:16" x14ac:dyDescent="0.3">
      <c r="O2046" s="52"/>
      <c r="P2046" s="52"/>
    </row>
    <row r="2047" spans="15:16" x14ac:dyDescent="0.3">
      <c r="O2047" s="52"/>
      <c r="P2047" s="52"/>
    </row>
    <row r="2048" spans="15:16" x14ac:dyDescent="0.3">
      <c r="O2048" s="52"/>
      <c r="P2048" s="52"/>
    </row>
    <row r="2049" spans="15:16" x14ac:dyDescent="0.3">
      <c r="O2049" s="52"/>
      <c r="P2049" s="52"/>
    </row>
    <row r="2050" spans="15:16" x14ac:dyDescent="0.3">
      <c r="O2050" s="52"/>
      <c r="P2050" s="52"/>
    </row>
    <row r="2051" spans="15:16" x14ac:dyDescent="0.3">
      <c r="O2051" s="52"/>
      <c r="P2051" s="52"/>
    </row>
    <row r="2052" spans="15:16" x14ac:dyDescent="0.3">
      <c r="O2052" s="52"/>
      <c r="P2052" s="52"/>
    </row>
    <row r="2053" spans="15:16" x14ac:dyDescent="0.3">
      <c r="O2053" s="52"/>
      <c r="P2053" s="52"/>
    </row>
    <row r="2054" spans="15:16" x14ac:dyDescent="0.3">
      <c r="O2054" s="52"/>
      <c r="P2054" s="52"/>
    </row>
    <row r="2055" spans="15:16" x14ac:dyDescent="0.3">
      <c r="O2055" s="52"/>
      <c r="P2055" s="52"/>
    </row>
    <row r="2056" spans="15:16" x14ac:dyDescent="0.3">
      <c r="O2056" s="52"/>
      <c r="P2056" s="52"/>
    </row>
    <row r="2057" spans="15:16" x14ac:dyDescent="0.3">
      <c r="O2057" s="52"/>
      <c r="P2057" s="52"/>
    </row>
    <row r="2058" spans="15:16" x14ac:dyDescent="0.3">
      <c r="O2058" s="52"/>
      <c r="P2058" s="52"/>
    </row>
    <row r="2059" spans="15:16" x14ac:dyDescent="0.3">
      <c r="O2059" s="52"/>
      <c r="P2059" s="52"/>
    </row>
    <row r="2060" spans="15:16" x14ac:dyDescent="0.3">
      <c r="O2060" s="52"/>
      <c r="P2060" s="52"/>
    </row>
    <row r="2061" spans="15:16" x14ac:dyDescent="0.3">
      <c r="O2061" s="52"/>
      <c r="P2061" s="52"/>
    </row>
    <row r="2062" spans="15:16" x14ac:dyDescent="0.3">
      <c r="O2062" s="52"/>
      <c r="P2062" s="52"/>
    </row>
    <row r="2063" spans="15:16" x14ac:dyDescent="0.3">
      <c r="O2063" s="52"/>
      <c r="P2063" s="52"/>
    </row>
    <row r="2064" spans="15:16" x14ac:dyDescent="0.3">
      <c r="O2064" s="52"/>
      <c r="P2064" s="52"/>
    </row>
    <row r="2065" spans="15:16" x14ac:dyDescent="0.3">
      <c r="O2065" s="52"/>
      <c r="P2065" s="52"/>
    </row>
    <row r="2066" spans="15:16" x14ac:dyDescent="0.3">
      <c r="O2066" s="52"/>
      <c r="P2066" s="52"/>
    </row>
    <row r="2067" spans="15:16" x14ac:dyDescent="0.3">
      <c r="O2067" s="52"/>
      <c r="P2067" s="52"/>
    </row>
    <row r="2068" spans="15:16" x14ac:dyDescent="0.3">
      <c r="O2068" s="52"/>
      <c r="P2068" s="52"/>
    </row>
    <row r="2069" spans="15:16" x14ac:dyDescent="0.3">
      <c r="O2069" s="52"/>
      <c r="P2069" s="52"/>
    </row>
    <row r="2070" spans="15:16" x14ac:dyDescent="0.3">
      <c r="O2070" s="52"/>
      <c r="P2070" s="52"/>
    </row>
    <row r="2071" spans="15:16" x14ac:dyDescent="0.3">
      <c r="O2071" s="52"/>
      <c r="P2071" s="52"/>
    </row>
    <row r="2072" spans="15:16" x14ac:dyDescent="0.3">
      <c r="O2072" s="52"/>
      <c r="P2072" s="52"/>
    </row>
    <row r="2073" spans="15:16" x14ac:dyDescent="0.3">
      <c r="O2073" s="52"/>
      <c r="P2073" s="52"/>
    </row>
    <row r="2074" spans="15:16" x14ac:dyDescent="0.3">
      <c r="O2074" s="52"/>
      <c r="P2074" s="52"/>
    </row>
    <row r="2075" spans="15:16" x14ac:dyDescent="0.3">
      <c r="O2075" s="52"/>
      <c r="P2075" s="52"/>
    </row>
    <row r="2076" spans="15:16" x14ac:dyDescent="0.3">
      <c r="O2076" s="52"/>
      <c r="P2076" s="52"/>
    </row>
    <row r="2077" spans="15:16" x14ac:dyDescent="0.3">
      <c r="O2077" s="52"/>
      <c r="P2077" s="52"/>
    </row>
    <row r="2078" spans="15:16" x14ac:dyDescent="0.3">
      <c r="O2078" s="52"/>
      <c r="P2078" s="52"/>
    </row>
    <row r="2079" spans="15:16" x14ac:dyDescent="0.3">
      <c r="O2079" s="52"/>
      <c r="P2079" s="52"/>
    </row>
    <row r="2080" spans="15:16" x14ac:dyDescent="0.3">
      <c r="O2080" s="52"/>
      <c r="P2080" s="52"/>
    </row>
    <row r="2081" spans="15:16" x14ac:dyDescent="0.3">
      <c r="O2081" s="52"/>
      <c r="P2081" s="52"/>
    </row>
    <row r="2082" spans="15:16" x14ac:dyDescent="0.3">
      <c r="O2082" s="52"/>
      <c r="P2082" s="52"/>
    </row>
    <row r="2083" spans="15:16" x14ac:dyDescent="0.3">
      <c r="O2083" s="52"/>
      <c r="P2083" s="52"/>
    </row>
    <row r="2084" spans="15:16" x14ac:dyDescent="0.3">
      <c r="O2084" s="52"/>
      <c r="P2084" s="52"/>
    </row>
    <row r="2085" spans="15:16" x14ac:dyDescent="0.3">
      <c r="O2085" s="52"/>
      <c r="P2085" s="52"/>
    </row>
    <row r="2086" spans="15:16" x14ac:dyDescent="0.3">
      <c r="O2086" s="52"/>
      <c r="P2086" s="52"/>
    </row>
    <row r="2087" spans="15:16" x14ac:dyDescent="0.3">
      <c r="O2087" s="52"/>
      <c r="P2087" s="52"/>
    </row>
    <row r="2088" spans="15:16" x14ac:dyDescent="0.3">
      <c r="O2088" s="52"/>
      <c r="P2088" s="52"/>
    </row>
    <row r="2089" spans="15:16" x14ac:dyDescent="0.3">
      <c r="O2089" s="52"/>
      <c r="P2089" s="52"/>
    </row>
    <row r="2090" spans="15:16" x14ac:dyDescent="0.3">
      <c r="O2090" s="52"/>
      <c r="P2090" s="52"/>
    </row>
    <row r="2091" spans="15:16" x14ac:dyDescent="0.3">
      <c r="O2091" s="52"/>
      <c r="P2091" s="52"/>
    </row>
    <row r="2092" spans="15:16" x14ac:dyDescent="0.3">
      <c r="O2092" s="52"/>
      <c r="P2092" s="52"/>
    </row>
    <row r="2093" spans="15:16" x14ac:dyDescent="0.3">
      <c r="O2093" s="52"/>
      <c r="P2093" s="52"/>
    </row>
    <row r="2094" spans="15:16" x14ac:dyDescent="0.3">
      <c r="O2094" s="52"/>
      <c r="P2094" s="52"/>
    </row>
    <row r="2095" spans="15:16" x14ac:dyDescent="0.3">
      <c r="O2095" s="52"/>
      <c r="P2095" s="52"/>
    </row>
    <row r="2096" spans="15:16" x14ac:dyDescent="0.3">
      <c r="O2096" s="52"/>
      <c r="P2096" s="52"/>
    </row>
    <row r="2097" spans="15:16" x14ac:dyDescent="0.3">
      <c r="O2097" s="52"/>
      <c r="P2097" s="52"/>
    </row>
    <row r="2098" spans="15:16" x14ac:dyDescent="0.3">
      <c r="O2098" s="52"/>
      <c r="P2098" s="52"/>
    </row>
    <row r="2099" spans="15:16" x14ac:dyDescent="0.3">
      <c r="O2099" s="52"/>
      <c r="P2099" s="52"/>
    </row>
    <row r="2100" spans="15:16" x14ac:dyDescent="0.3">
      <c r="O2100" s="52"/>
      <c r="P2100" s="52"/>
    </row>
    <row r="2101" spans="15:16" x14ac:dyDescent="0.3">
      <c r="O2101" s="52"/>
      <c r="P2101" s="52"/>
    </row>
    <row r="2102" spans="15:16" x14ac:dyDescent="0.3">
      <c r="O2102" s="52"/>
      <c r="P2102" s="52"/>
    </row>
    <row r="2103" spans="15:16" x14ac:dyDescent="0.3">
      <c r="O2103" s="52"/>
      <c r="P2103" s="52"/>
    </row>
    <row r="2104" spans="15:16" x14ac:dyDescent="0.3">
      <c r="O2104" s="52"/>
      <c r="P2104" s="52"/>
    </row>
    <row r="2105" spans="15:16" x14ac:dyDescent="0.3">
      <c r="O2105" s="52"/>
      <c r="P2105" s="52"/>
    </row>
    <row r="2106" spans="15:16" x14ac:dyDescent="0.3">
      <c r="O2106" s="52"/>
      <c r="P2106" s="52"/>
    </row>
    <row r="2107" spans="15:16" x14ac:dyDescent="0.3">
      <c r="O2107" s="52"/>
      <c r="P2107" s="52"/>
    </row>
    <row r="2108" spans="15:16" x14ac:dyDescent="0.3">
      <c r="O2108" s="52"/>
      <c r="P2108" s="52"/>
    </row>
    <row r="2109" spans="15:16" x14ac:dyDescent="0.3">
      <c r="O2109" s="52"/>
      <c r="P2109" s="52"/>
    </row>
    <row r="2110" spans="15:16" x14ac:dyDescent="0.3">
      <c r="O2110" s="52"/>
      <c r="P2110" s="52"/>
    </row>
    <row r="2111" spans="15:16" x14ac:dyDescent="0.3">
      <c r="O2111" s="52"/>
      <c r="P2111" s="52"/>
    </row>
    <row r="2112" spans="15:16" x14ac:dyDescent="0.3">
      <c r="O2112" s="52"/>
      <c r="P2112" s="52"/>
    </row>
    <row r="2113" spans="15:16" x14ac:dyDescent="0.3">
      <c r="O2113" s="52"/>
      <c r="P2113" s="52"/>
    </row>
    <row r="2114" spans="15:16" x14ac:dyDescent="0.3">
      <c r="O2114" s="52"/>
      <c r="P2114" s="52"/>
    </row>
    <row r="2115" spans="15:16" x14ac:dyDescent="0.3">
      <c r="O2115" s="52"/>
      <c r="P2115" s="52"/>
    </row>
    <row r="2116" spans="15:16" x14ac:dyDescent="0.3">
      <c r="O2116" s="52"/>
      <c r="P2116" s="52"/>
    </row>
    <row r="2117" spans="15:16" x14ac:dyDescent="0.3">
      <c r="O2117" s="52"/>
      <c r="P2117" s="52"/>
    </row>
    <row r="2118" spans="15:16" x14ac:dyDescent="0.3">
      <c r="O2118" s="52"/>
      <c r="P2118" s="52"/>
    </row>
    <row r="2119" spans="15:16" x14ac:dyDescent="0.3">
      <c r="O2119" s="52"/>
      <c r="P2119" s="52"/>
    </row>
    <row r="2120" spans="15:16" x14ac:dyDescent="0.3">
      <c r="O2120" s="52"/>
      <c r="P2120" s="52"/>
    </row>
    <row r="2121" spans="15:16" x14ac:dyDescent="0.3">
      <c r="O2121" s="52"/>
      <c r="P2121" s="52"/>
    </row>
    <row r="2122" spans="15:16" x14ac:dyDescent="0.3">
      <c r="O2122" s="52"/>
      <c r="P2122" s="52"/>
    </row>
    <row r="2123" spans="15:16" x14ac:dyDescent="0.3">
      <c r="O2123" s="52"/>
      <c r="P2123" s="52"/>
    </row>
    <row r="2124" spans="15:16" x14ac:dyDescent="0.3">
      <c r="O2124" s="52"/>
      <c r="P2124" s="52"/>
    </row>
    <row r="2125" spans="15:16" x14ac:dyDescent="0.3">
      <c r="O2125" s="52"/>
      <c r="P2125" s="52"/>
    </row>
    <row r="2126" spans="15:16" x14ac:dyDescent="0.3">
      <c r="O2126" s="52"/>
      <c r="P2126" s="52"/>
    </row>
    <row r="2127" spans="15:16" x14ac:dyDescent="0.3">
      <c r="O2127" s="52"/>
      <c r="P2127" s="52"/>
    </row>
    <row r="2128" spans="15:16" x14ac:dyDescent="0.3">
      <c r="O2128" s="52"/>
      <c r="P2128" s="52"/>
    </row>
    <row r="2129" spans="15:16" x14ac:dyDescent="0.3">
      <c r="O2129" s="52"/>
      <c r="P2129" s="52"/>
    </row>
    <row r="2130" spans="15:16" x14ac:dyDescent="0.3">
      <c r="O2130" s="52"/>
      <c r="P2130" s="52"/>
    </row>
    <row r="2131" spans="15:16" x14ac:dyDescent="0.3">
      <c r="O2131" s="52"/>
      <c r="P2131" s="52"/>
    </row>
    <row r="2132" spans="15:16" x14ac:dyDescent="0.3">
      <c r="O2132" s="52"/>
      <c r="P2132" s="52"/>
    </row>
    <row r="2133" spans="15:16" x14ac:dyDescent="0.3">
      <c r="O2133" s="52"/>
      <c r="P2133" s="52"/>
    </row>
    <row r="2134" spans="15:16" x14ac:dyDescent="0.3">
      <c r="O2134" s="52"/>
      <c r="P2134" s="52"/>
    </row>
    <row r="2135" spans="15:16" x14ac:dyDescent="0.3">
      <c r="O2135" s="52"/>
      <c r="P2135" s="52"/>
    </row>
    <row r="2136" spans="15:16" x14ac:dyDescent="0.3">
      <c r="O2136" s="52"/>
      <c r="P2136" s="52"/>
    </row>
    <row r="2137" spans="15:16" x14ac:dyDescent="0.3">
      <c r="O2137" s="52"/>
      <c r="P2137" s="52"/>
    </row>
    <row r="2138" spans="15:16" x14ac:dyDescent="0.3">
      <c r="O2138" s="52"/>
      <c r="P2138" s="52"/>
    </row>
    <row r="2139" spans="15:16" x14ac:dyDescent="0.3">
      <c r="O2139" s="52"/>
      <c r="P2139" s="52"/>
    </row>
    <row r="2140" spans="15:16" x14ac:dyDescent="0.3">
      <c r="O2140" s="52"/>
      <c r="P2140" s="52"/>
    </row>
    <row r="2141" spans="15:16" x14ac:dyDescent="0.3">
      <c r="O2141" s="52"/>
      <c r="P2141" s="52"/>
    </row>
    <row r="2142" spans="15:16" x14ac:dyDescent="0.3">
      <c r="O2142" s="52"/>
      <c r="P2142" s="52"/>
    </row>
    <row r="2143" spans="15:16" x14ac:dyDescent="0.3">
      <c r="O2143" s="52"/>
      <c r="P2143" s="52"/>
    </row>
    <row r="2144" spans="15:16" x14ac:dyDescent="0.3">
      <c r="O2144" s="52"/>
      <c r="P2144" s="52"/>
    </row>
    <row r="2145" spans="15:16" x14ac:dyDescent="0.3">
      <c r="O2145" s="52"/>
      <c r="P2145" s="52"/>
    </row>
    <row r="2146" spans="15:16" x14ac:dyDescent="0.3">
      <c r="O2146" s="52"/>
      <c r="P2146" s="52"/>
    </row>
    <row r="2147" spans="15:16" x14ac:dyDescent="0.3">
      <c r="O2147" s="52"/>
      <c r="P2147" s="52"/>
    </row>
    <row r="2148" spans="15:16" x14ac:dyDescent="0.3">
      <c r="O2148" s="52"/>
      <c r="P2148" s="52"/>
    </row>
    <row r="2149" spans="15:16" x14ac:dyDescent="0.3">
      <c r="O2149" s="52"/>
      <c r="P2149" s="52"/>
    </row>
    <row r="2150" spans="15:16" x14ac:dyDescent="0.3">
      <c r="O2150" s="52"/>
      <c r="P2150" s="52"/>
    </row>
    <row r="2151" spans="15:16" x14ac:dyDescent="0.3">
      <c r="O2151" s="52"/>
      <c r="P2151" s="52"/>
    </row>
    <row r="2152" spans="15:16" x14ac:dyDescent="0.3">
      <c r="O2152" s="52"/>
      <c r="P2152" s="52"/>
    </row>
    <row r="2153" spans="15:16" x14ac:dyDescent="0.3">
      <c r="O2153" s="52"/>
      <c r="P2153" s="52"/>
    </row>
    <row r="2154" spans="15:16" x14ac:dyDescent="0.3">
      <c r="O2154" s="52"/>
      <c r="P2154" s="52"/>
    </row>
    <row r="2155" spans="15:16" x14ac:dyDescent="0.3">
      <c r="O2155" s="52"/>
      <c r="P2155" s="52"/>
    </row>
    <row r="2156" spans="15:16" x14ac:dyDescent="0.3">
      <c r="O2156" s="52"/>
      <c r="P2156" s="52"/>
    </row>
    <row r="2157" spans="15:16" x14ac:dyDescent="0.3">
      <c r="O2157" s="52"/>
      <c r="P2157" s="52"/>
    </row>
    <row r="2158" spans="15:16" x14ac:dyDescent="0.3">
      <c r="O2158" s="52"/>
      <c r="P2158" s="52"/>
    </row>
    <row r="2159" spans="15:16" x14ac:dyDescent="0.3">
      <c r="O2159" s="52"/>
      <c r="P2159" s="52"/>
    </row>
    <row r="2160" spans="15:16" x14ac:dyDescent="0.3">
      <c r="O2160" s="52"/>
      <c r="P2160" s="52"/>
    </row>
    <row r="2161" spans="15:16" x14ac:dyDescent="0.3">
      <c r="O2161" s="52"/>
      <c r="P2161" s="52"/>
    </row>
    <row r="2162" spans="15:16" x14ac:dyDescent="0.3">
      <c r="O2162" s="52"/>
      <c r="P2162" s="52"/>
    </row>
    <row r="2163" spans="15:16" x14ac:dyDescent="0.3">
      <c r="O2163" s="52"/>
      <c r="P2163" s="52"/>
    </row>
    <row r="2164" spans="15:16" x14ac:dyDescent="0.3">
      <c r="O2164" s="52"/>
      <c r="P2164" s="52"/>
    </row>
    <row r="2165" spans="15:16" x14ac:dyDescent="0.3">
      <c r="O2165" s="52"/>
      <c r="P2165" s="52"/>
    </row>
    <row r="2166" spans="15:16" x14ac:dyDescent="0.3">
      <c r="O2166" s="52"/>
      <c r="P2166" s="52"/>
    </row>
    <row r="2167" spans="15:16" x14ac:dyDescent="0.3">
      <c r="O2167" s="52"/>
      <c r="P2167" s="52"/>
    </row>
    <row r="2168" spans="15:16" x14ac:dyDescent="0.3">
      <c r="O2168" s="52"/>
      <c r="P2168" s="52"/>
    </row>
    <row r="2169" spans="15:16" x14ac:dyDescent="0.3">
      <c r="O2169" s="52"/>
      <c r="P2169" s="52"/>
    </row>
    <row r="2170" spans="15:16" x14ac:dyDescent="0.3">
      <c r="O2170" s="52"/>
      <c r="P2170" s="52"/>
    </row>
    <row r="2171" spans="15:16" x14ac:dyDescent="0.3">
      <c r="O2171" s="52"/>
      <c r="P2171" s="52"/>
    </row>
    <row r="2172" spans="15:16" x14ac:dyDescent="0.3">
      <c r="O2172" s="52"/>
      <c r="P2172" s="52"/>
    </row>
    <row r="2173" spans="15:16" x14ac:dyDescent="0.3">
      <c r="O2173" s="52"/>
      <c r="P2173" s="52"/>
    </row>
    <row r="2174" spans="15:16" x14ac:dyDescent="0.3">
      <c r="O2174" s="52"/>
      <c r="P2174" s="52"/>
    </row>
    <row r="2175" spans="15:16" x14ac:dyDescent="0.3">
      <c r="O2175" s="52"/>
      <c r="P2175" s="52"/>
    </row>
    <row r="2176" spans="15:16" x14ac:dyDescent="0.3">
      <c r="O2176" s="52"/>
      <c r="P2176" s="52"/>
    </row>
    <row r="2177" spans="15:16" x14ac:dyDescent="0.3">
      <c r="O2177" s="52"/>
      <c r="P2177" s="52"/>
    </row>
    <row r="2178" spans="15:16" x14ac:dyDescent="0.3">
      <c r="O2178" s="52"/>
      <c r="P2178" s="52"/>
    </row>
    <row r="2179" spans="15:16" x14ac:dyDescent="0.3">
      <c r="O2179" s="52"/>
      <c r="P2179" s="52"/>
    </row>
    <row r="2180" spans="15:16" x14ac:dyDescent="0.3">
      <c r="O2180" s="52"/>
      <c r="P2180" s="52"/>
    </row>
    <row r="2181" spans="15:16" x14ac:dyDescent="0.3">
      <c r="O2181" s="52"/>
      <c r="P2181" s="52"/>
    </row>
    <row r="2182" spans="15:16" x14ac:dyDescent="0.3">
      <c r="O2182" s="52"/>
      <c r="P2182" s="52"/>
    </row>
    <row r="2183" spans="15:16" x14ac:dyDescent="0.3">
      <c r="O2183" s="52"/>
      <c r="P2183" s="52"/>
    </row>
    <row r="2184" spans="15:16" x14ac:dyDescent="0.3">
      <c r="O2184" s="52"/>
      <c r="P2184" s="52"/>
    </row>
    <row r="2185" spans="15:16" x14ac:dyDescent="0.3">
      <c r="O2185" s="52"/>
      <c r="P2185" s="52"/>
    </row>
    <row r="2186" spans="15:16" x14ac:dyDescent="0.3">
      <c r="O2186" s="52"/>
      <c r="P2186" s="52"/>
    </row>
    <row r="2187" spans="15:16" x14ac:dyDescent="0.3">
      <c r="O2187" s="52"/>
      <c r="P2187" s="52"/>
    </row>
    <row r="2188" spans="15:16" x14ac:dyDescent="0.3">
      <c r="O2188" s="52"/>
      <c r="P2188" s="52"/>
    </row>
    <row r="2189" spans="15:16" x14ac:dyDescent="0.3">
      <c r="O2189" s="52"/>
      <c r="P2189" s="52"/>
    </row>
    <row r="2190" spans="15:16" x14ac:dyDescent="0.3">
      <c r="O2190" s="52"/>
      <c r="P2190" s="52"/>
    </row>
    <row r="2191" spans="15:16" x14ac:dyDescent="0.3">
      <c r="O2191" s="52"/>
      <c r="P2191" s="52"/>
    </row>
    <row r="2192" spans="15:16" x14ac:dyDescent="0.3">
      <c r="O2192" s="52"/>
      <c r="P2192" s="52"/>
    </row>
    <row r="2193" spans="15:16" x14ac:dyDescent="0.3">
      <c r="O2193" s="52"/>
      <c r="P2193" s="52"/>
    </row>
    <row r="2194" spans="15:16" x14ac:dyDescent="0.3">
      <c r="O2194" s="52"/>
      <c r="P2194" s="52"/>
    </row>
    <row r="2195" spans="15:16" x14ac:dyDescent="0.3">
      <c r="O2195" s="52"/>
      <c r="P2195" s="52"/>
    </row>
    <row r="2196" spans="15:16" x14ac:dyDescent="0.3">
      <c r="O2196" s="52"/>
      <c r="P2196" s="52"/>
    </row>
    <row r="2197" spans="15:16" x14ac:dyDescent="0.3">
      <c r="O2197" s="52"/>
      <c r="P2197" s="52"/>
    </row>
    <row r="2198" spans="15:16" x14ac:dyDescent="0.3">
      <c r="O2198" s="52"/>
      <c r="P2198" s="52"/>
    </row>
    <row r="2199" spans="15:16" x14ac:dyDescent="0.3">
      <c r="O2199" s="52"/>
      <c r="P2199" s="52"/>
    </row>
    <row r="2200" spans="15:16" x14ac:dyDescent="0.3">
      <c r="O2200" s="52"/>
      <c r="P2200" s="52"/>
    </row>
    <row r="2201" spans="15:16" x14ac:dyDescent="0.3">
      <c r="O2201" s="52"/>
      <c r="P2201" s="52"/>
    </row>
    <row r="2202" spans="15:16" x14ac:dyDescent="0.3">
      <c r="O2202" s="52"/>
      <c r="P2202" s="52"/>
    </row>
    <row r="2203" spans="15:16" x14ac:dyDescent="0.3">
      <c r="O2203" s="52"/>
      <c r="P2203" s="52"/>
    </row>
    <row r="2204" spans="15:16" x14ac:dyDescent="0.3">
      <c r="O2204" s="52"/>
      <c r="P2204" s="52"/>
    </row>
    <row r="2205" spans="15:16" x14ac:dyDescent="0.3">
      <c r="O2205" s="52"/>
      <c r="P2205" s="52"/>
    </row>
    <row r="2206" spans="15:16" x14ac:dyDescent="0.3">
      <c r="O2206" s="52"/>
      <c r="P2206" s="52"/>
    </row>
    <row r="2207" spans="15:16" x14ac:dyDescent="0.3">
      <c r="O2207" s="52"/>
      <c r="P2207" s="52"/>
    </row>
    <row r="2208" spans="15:16" x14ac:dyDescent="0.3">
      <c r="O2208" s="52"/>
      <c r="P2208" s="52"/>
    </row>
    <row r="2209" spans="15:16" x14ac:dyDescent="0.3">
      <c r="O2209" s="52"/>
      <c r="P2209" s="52"/>
    </row>
    <row r="2210" spans="15:16" x14ac:dyDescent="0.3">
      <c r="O2210" s="52"/>
      <c r="P2210" s="52"/>
    </row>
    <row r="2211" spans="15:16" x14ac:dyDescent="0.3">
      <c r="O2211" s="52"/>
      <c r="P2211" s="52"/>
    </row>
    <row r="2212" spans="15:16" x14ac:dyDescent="0.3">
      <c r="O2212" s="52"/>
      <c r="P2212" s="52"/>
    </row>
    <row r="2213" spans="15:16" x14ac:dyDescent="0.3">
      <c r="O2213" s="52"/>
      <c r="P2213" s="52"/>
    </row>
    <row r="2214" spans="15:16" x14ac:dyDescent="0.3">
      <c r="O2214" s="52"/>
      <c r="P2214" s="52"/>
    </row>
    <row r="2215" spans="15:16" x14ac:dyDescent="0.3">
      <c r="O2215" s="52"/>
      <c r="P2215" s="52"/>
    </row>
    <row r="2216" spans="15:16" x14ac:dyDescent="0.3">
      <c r="O2216" s="52"/>
      <c r="P2216" s="52"/>
    </row>
    <row r="2217" spans="15:16" x14ac:dyDescent="0.3">
      <c r="O2217" s="52"/>
      <c r="P2217" s="52"/>
    </row>
    <row r="2218" spans="15:16" x14ac:dyDescent="0.3">
      <c r="O2218" s="52"/>
      <c r="P2218" s="52"/>
    </row>
    <row r="2219" spans="15:16" x14ac:dyDescent="0.3">
      <c r="O2219" s="52"/>
      <c r="P2219" s="52"/>
    </row>
    <row r="2220" spans="15:16" x14ac:dyDescent="0.3">
      <c r="O2220" s="52"/>
      <c r="P2220" s="52"/>
    </row>
    <row r="2221" spans="15:16" x14ac:dyDescent="0.3">
      <c r="O2221" s="52"/>
      <c r="P2221" s="52"/>
    </row>
    <row r="2222" spans="15:16" x14ac:dyDescent="0.3">
      <c r="O2222" s="52"/>
      <c r="P2222" s="52"/>
    </row>
    <row r="2223" spans="15:16" x14ac:dyDescent="0.3">
      <c r="O2223" s="52"/>
      <c r="P2223" s="52"/>
    </row>
    <row r="2224" spans="15:16" x14ac:dyDescent="0.3">
      <c r="O2224" s="52"/>
      <c r="P2224" s="52"/>
    </row>
    <row r="2225" spans="15:16" x14ac:dyDescent="0.3">
      <c r="O2225" s="52"/>
      <c r="P2225" s="52"/>
    </row>
    <row r="2226" spans="15:16" x14ac:dyDescent="0.3">
      <c r="O2226" s="52"/>
      <c r="P2226" s="52"/>
    </row>
    <row r="2227" spans="15:16" x14ac:dyDescent="0.3">
      <c r="O2227" s="52"/>
      <c r="P2227" s="52"/>
    </row>
    <row r="2228" spans="15:16" x14ac:dyDescent="0.3">
      <c r="O2228" s="52"/>
      <c r="P2228" s="52"/>
    </row>
    <row r="2229" spans="15:16" x14ac:dyDescent="0.3">
      <c r="O2229" s="52"/>
      <c r="P2229" s="52"/>
    </row>
    <row r="2230" spans="15:16" x14ac:dyDescent="0.3">
      <c r="O2230" s="52"/>
      <c r="P2230" s="52"/>
    </row>
    <row r="2231" spans="15:16" x14ac:dyDescent="0.3">
      <c r="O2231" s="52"/>
      <c r="P2231" s="52"/>
    </row>
    <row r="2232" spans="15:16" x14ac:dyDescent="0.3">
      <c r="O2232" s="52"/>
      <c r="P2232" s="52"/>
    </row>
    <row r="2233" spans="15:16" x14ac:dyDescent="0.3">
      <c r="O2233" s="52"/>
      <c r="P2233" s="52"/>
    </row>
    <row r="2234" spans="15:16" x14ac:dyDescent="0.3">
      <c r="O2234" s="52"/>
      <c r="P2234" s="52"/>
    </row>
    <row r="2235" spans="15:16" x14ac:dyDescent="0.3">
      <c r="O2235" s="52"/>
      <c r="P2235" s="52"/>
    </row>
    <row r="2236" spans="15:16" x14ac:dyDescent="0.3">
      <c r="O2236" s="52"/>
      <c r="P2236" s="52"/>
    </row>
    <row r="2237" spans="15:16" x14ac:dyDescent="0.3">
      <c r="O2237" s="52"/>
      <c r="P2237" s="52"/>
    </row>
    <row r="2238" spans="15:16" x14ac:dyDescent="0.3">
      <c r="O2238" s="52"/>
      <c r="P2238" s="52"/>
    </row>
    <row r="2239" spans="15:16" x14ac:dyDescent="0.3">
      <c r="O2239" s="52"/>
      <c r="P2239" s="52"/>
    </row>
    <row r="2240" spans="15:16" x14ac:dyDescent="0.3">
      <c r="O2240" s="52"/>
      <c r="P2240" s="52"/>
    </row>
    <row r="2241" spans="15:16" x14ac:dyDescent="0.3">
      <c r="O2241" s="52"/>
      <c r="P2241" s="52"/>
    </row>
    <row r="2242" spans="15:16" x14ac:dyDescent="0.3">
      <c r="O2242" s="52"/>
      <c r="P2242" s="52"/>
    </row>
    <row r="2243" spans="15:16" x14ac:dyDescent="0.3">
      <c r="O2243" s="52"/>
      <c r="P2243" s="52"/>
    </row>
    <row r="2244" spans="15:16" x14ac:dyDescent="0.3">
      <c r="O2244" s="52"/>
      <c r="P2244" s="52"/>
    </row>
    <row r="2245" spans="15:16" x14ac:dyDescent="0.3">
      <c r="O2245" s="52"/>
      <c r="P2245" s="52"/>
    </row>
    <row r="2246" spans="15:16" x14ac:dyDescent="0.3">
      <c r="O2246" s="52"/>
      <c r="P2246" s="52"/>
    </row>
    <row r="2247" spans="15:16" x14ac:dyDescent="0.3">
      <c r="O2247" s="52"/>
      <c r="P2247" s="52"/>
    </row>
    <row r="2248" spans="15:16" x14ac:dyDescent="0.3">
      <c r="O2248" s="52"/>
      <c r="P2248" s="52"/>
    </row>
    <row r="2249" spans="15:16" x14ac:dyDescent="0.3">
      <c r="O2249" s="52"/>
      <c r="P2249" s="52"/>
    </row>
    <row r="2250" spans="15:16" x14ac:dyDescent="0.3">
      <c r="O2250" s="52"/>
      <c r="P2250" s="52"/>
    </row>
    <row r="2251" spans="15:16" x14ac:dyDescent="0.3">
      <c r="O2251" s="52"/>
      <c r="P2251" s="52"/>
    </row>
    <row r="2252" spans="15:16" x14ac:dyDescent="0.3">
      <c r="O2252" s="52"/>
      <c r="P2252" s="52"/>
    </row>
    <row r="2253" spans="15:16" x14ac:dyDescent="0.3">
      <c r="O2253" s="52"/>
      <c r="P2253" s="52"/>
    </row>
    <row r="2254" spans="15:16" x14ac:dyDescent="0.3">
      <c r="O2254" s="52"/>
      <c r="P2254" s="52"/>
    </row>
    <row r="2255" spans="15:16" x14ac:dyDescent="0.3">
      <c r="O2255" s="52"/>
      <c r="P2255" s="52"/>
    </row>
    <row r="2256" spans="15:16" x14ac:dyDescent="0.3">
      <c r="O2256" s="52"/>
      <c r="P2256" s="52"/>
    </row>
    <row r="2257" spans="15:16" x14ac:dyDescent="0.3">
      <c r="O2257" s="52"/>
      <c r="P2257" s="52"/>
    </row>
    <row r="2258" spans="15:16" x14ac:dyDescent="0.3">
      <c r="O2258" s="52"/>
      <c r="P2258" s="52"/>
    </row>
    <row r="2259" spans="15:16" x14ac:dyDescent="0.3">
      <c r="O2259" s="52"/>
      <c r="P2259" s="52"/>
    </row>
    <row r="2260" spans="15:16" x14ac:dyDescent="0.3">
      <c r="O2260" s="52"/>
      <c r="P2260" s="52"/>
    </row>
    <row r="2261" spans="15:16" x14ac:dyDescent="0.3">
      <c r="O2261" s="52"/>
      <c r="P2261" s="52"/>
    </row>
    <row r="2262" spans="15:16" x14ac:dyDescent="0.3">
      <c r="O2262" s="52"/>
      <c r="P2262" s="52"/>
    </row>
    <row r="2263" spans="15:16" x14ac:dyDescent="0.3">
      <c r="O2263" s="52"/>
      <c r="P2263" s="52"/>
    </row>
    <row r="2264" spans="15:16" x14ac:dyDescent="0.3">
      <c r="O2264" s="52"/>
      <c r="P2264" s="52"/>
    </row>
    <row r="2265" spans="15:16" x14ac:dyDescent="0.3">
      <c r="O2265" s="52"/>
      <c r="P2265" s="52"/>
    </row>
    <row r="2266" spans="15:16" x14ac:dyDescent="0.3">
      <c r="O2266" s="52"/>
      <c r="P2266" s="52"/>
    </row>
    <row r="2267" spans="15:16" x14ac:dyDescent="0.3">
      <c r="O2267" s="52"/>
      <c r="P2267" s="52"/>
    </row>
    <row r="2268" spans="15:16" x14ac:dyDescent="0.3">
      <c r="O2268" s="52"/>
      <c r="P2268" s="52"/>
    </row>
    <row r="2269" spans="15:16" x14ac:dyDescent="0.3">
      <c r="O2269" s="52"/>
      <c r="P2269" s="52"/>
    </row>
    <row r="2270" spans="15:16" x14ac:dyDescent="0.3">
      <c r="O2270" s="52"/>
      <c r="P2270" s="52"/>
    </row>
    <row r="2271" spans="15:16" x14ac:dyDescent="0.3">
      <c r="O2271" s="52"/>
      <c r="P2271" s="52"/>
    </row>
    <row r="2272" spans="15:16" x14ac:dyDescent="0.3">
      <c r="O2272" s="52"/>
      <c r="P2272" s="52"/>
    </row>
    <row r="2273" spans="15:16" x14ac:dyDescent="0.3">
      <c r="O2273" s="52"/>
      <c r="P2273" s="52"/>
    </row>
    <row r="2274" spans="15:16" x14ac:dyDescent="0.3">
      <c r="O2274" s="52"/>
      <c r="P2274" s="52"/>
    </row>
    <row r="2275" spans="15:16" x14ac:dyDescent="0.3">
      <c r="O2275" s="52"/>
      <c r="P2275" s="52"/>
    </row>
    <row r="2276" spans="15:16" x14ac:dyDescent="0.3">
      <c r="O2276" s="52"/>
      <c r="P2276" s="52"/>
    </row>
    <row r="2277" spans="15:16" x14ac:dyDescent="0.3">
      <c r="O2277" s="52"/>
      <c r="P2277" s="52"/>
    </row>
    <row r="2278" spans="15:16" x14ac:dyDescent="0.3">
      <c r="O2278" s="52"/>
      <c r="P2278" s="52"/>
    </row>
    <row r="2279" spans="15:16" x14ac:dyDescent="0.3">
      <c r="O2279" s="52"/>
      <c r="P2279" s="52"/>
    </row>
    <row r="2280" spans="15:16" x14ac:dyDescent="0.3">
      <c r="O2280" s="52"/>
      <c r="P2280" s="52"/>
    </row>
    <row r="2281" spans="15:16" x14ac:dyDescent="0.3">
      <c r="O2281" s="52"/>
      <c r="P2281" s="52"/>
    </row>
    <row r="2282" spans="15:16" x14ac:dyDescent="0.3">
      <c r="O2282" s="52"/>
      <c r="P2282" s="52"/>
    </row>
    <row r="2283" spans="15:16" x14ac:dyDescent="0.3">
      <c r="O2283" s="52"/>
      <c r="P2283" s="52"/>
    </row>
    <row r="2284" spans="15:16" x14ac:dyDescent="0.3">
      <c r="O2284" s="52"/>
      <c r="P2284" s="52"/>
    </row>
    <row r="2285" spans="15:16" x14ac:dyDescent="0.3">
      <c r="O2285" s="52"/>
      <c r="P2285" s="52"/>
    </row>
    <row r="2286" spans="15:16" x14ac:dyDescent="0.3">
      <c r="O2286" s="52"/>
      <c r="P2286" s="52"/>
    </row>
    <row r="2287" spans="15:16" x14ac:dyDescent="0.3">
      <c r="O2287" s="52"/>
      <c r="P2287" s="52"/>
    </row>
    <row r="2288" spans="15:16" x14ac:dyDescent="0.3">
      <c r="O2288" s="52"/>
      <c r="P2288" s="52"/>
    </row>
    <row r="2289" spans="15:16" x14ac:dyDescent="0.3">
      <c r="O2289" s="52"/>
      <c r="P2289" s="52"/>
    </row>
    <row r="2290" spans="15:16" x14ac:dyDescent="0.3">
      <c r="O2290" s="52"/>
      <c r="P2290" s="52"/>
    </row>
    <row r="2291" spans="15:16" x14ac:dyDescent="0.3">
      <c r="O2291" s="52"/>
      <c r="P2291" s="52"/>
    </row>
    <row r="2292" spans="15:16" x14ac:dyDescent="0.3">
      <c r="O2292" s="52"/>
      <c r="P2292" s="52"/>
    </row>
    <row r="2293" spans="15:16" x14ac:dyDescent="0.3">
      <c r="O2293" s="52"/>
      <c r="P2293" s="52"/>
    </row>
    <row r="2294" spans="15:16" x14ac:dyDescent="0.3">
      <c r="O2294" s="52"/>
      <c r="P2294" s="52"/>
    </row>
    <row r="2295" spans="15:16" x14ac:dyDescent="0.3">
      <c r="O2295" s="52"/>
      <c r="P2295" s="52"/>
    </row>
    <row r="2296" spans="15:16" x14ac:dyDescent="0.3">
      <c r="O2296" s="52"/>
      <c r="P2296" s="52"/>
    </row>
    <row r="2297" spans="15:16" x14ac:dyDescent="0.3">
      <c r="O2297" s="52"/>
      <c r="P2297" s="52"/>
    </row>
    <row r="2298" spans="15:16" x14ac:dyDescent="0.3">
      <c r="O2298" s="52"/>
      <c r="P2298" s="52"/>
    </row>
    <row r="2299" spans="15:16" x14ac:dyDescent="0.3">
      <c r="O2299" s="52"/>
      <c r="P2299" s="52"/>
    </row>
    <row r="2300" spans="15:16" x14ac:dyDescent="0.3">
      <c r="O2300" s="52"/>
      <c r="P2300" s="52"/>
    </row>
    <row r="2301" spans="15:16" x14ac:dyDescent="0.3">
      <c r="O2301" s="52"/>
      <c r="P2301" s="52"/>
    </row>
    <row r="2302" spans="15:16" x14ac:dyDescent="0.3">
      <c r="O2302" s="52"/>
      <c r="P2302" s="52"/>
    </row>
    <row r="2303" spans="15:16" x14ac:dyDescent="0.3">
      <c r="O2303" s="52"/>
      <c r="P2303" s="52"/>
    </row>
    <row r="2304" spans="15:16" x14ac:dyDescent="0.3">
      <c r="O2304" s="52"/>
      <c r="P2304" s="52"/>
    </row>
    <row r="2305" spans="15:16" x14ac:dyDescent="0.3">
      <c r="O2305" s="52"/>
      <c r="P2305" s="52"/>
    </row>
    <row r="2306" spans="15:16" x14ac:dyDescent="0.3">
      <c r="O2306" s="52"/>
      <c r="P2306" s="52"/>
    </row>
    <row r="2307" spans="15:16" x14ac:dyDescent="0.3">
      <c r="O2307" s="52"/>
      <c r="P2307" s="52"/>
    </row>
    <row r="2308" spans="15:16" x14ac:dyDescent="0.3">
      <c r="O2308" s="52"/>
      <c r="P2308" s="52"/>
    </row>
    <row r="2309" spans="15:16" x14ac:dyDescent="0.3">
      <c r="O2309" s="52"/>
      <c r="P2309" s="52"/>
    </row>
    <row r="2310" spans="15:16" x14ac:dyDescent="0.3">
      <c r="O2310" s="52"/>
      <c r="P2310" s="52"/>
    </row>
    <row r="2311" spans="15:16" x14ac:dyDescent="0.3">
      <c r="O2311" s="52"/>
      <c r="P2311" s="52"/>
    </row>
    <row r="2312" spans="15:16" x14ac:dyDescent="0.3">
      <c r="O2312" s="52"/>
      <c r="P2312" s="52"/>
    </row>
    <row r="2313" spans="15:16" x14ac:dyDescent="0.3">
      <c r="O2313" s="52"/>
      <c r="P2313" s="52"/>
    </row>
    <row r="2314" spans="15:16" x14ac:dyDescent="0.3">
      <c r="O2314" s="52"/>
      <c r="P2314" s="52"/>
    </row>
    <row r="2315" spans="15:16" x14ac:dyDescent="0.3">
      <c r="O2315" s="52"/>
      <c r="P2315" s="52"/>
    </row>
    <row r="2316" spans="15:16" x14ac:dyDescent="0.3">
      <c r="O2316" s="52"/>
      <c r="P2316" s="52"/>
    </row>
    <row r="2317" spans="15:16" x14ac:dyDescent="0.3">
      <c r="O2317" s="52"/>
      <c r="P2317" s="52"/>
    </row>
    <row r="2318" spans="15:16" x14ac:dyDescent="0.3">
      <c r="O2318" s="52"/>
      <c r="P2318" s="52"/>
    </row>
    <row r="2319" spans="15:16" x14ac:dyDescent="0.3">
      <c r="O2319" s="52"/>
      <c r="P2319" s="52"/>
    </row>
    <row r="2320" spans="15:16" x14ac:dyDescent="0.3">
      <c r="O2320" s="52"/>
      <c r="P2320" s="52"/>
    </row>
    <row r="2321" spans="15:16" x14ac:dyDescent="0.3">
      <c r="O2321" s="52"/>
      <c r="P2321" s="52"/>
    </row>
    <row r="2322" spans="15:16" x14ac:dyDescent="0.3">
      <c r="O2322" s="52"/>
      <c r="P2322" s="52"/>
    </row>
    <row r="2323" spans="15:16" x14ac:dyDescent="0.3">
      <c r="O2323" s="52"/>
      <c r="P2323" s="52"/>
    </row>
    <row r="2324" spans="15:16" x14ac:dyDescent="0.3">
      <c r="O2324" s="52"/>
      <c r="P2324" s="52"/>
    </row>
    <row r="2325" spans="15:16" x14ac:dyDescent="0.3">
      <c r="O2325" s="52"/>
      <c r="P2325" s="52"/>
    </row>
    <row r="2326" spans="15:16" x14ac:dyDescent="0.3">
      <c r="O2326" s="52"/>
      <c r="P2326" s="52"/>
    </row>
    <row r="2327" spans="15:16" x14ac:dyDescent="0.3">
      <c r="O2327" s="52"/>
      <c r="P2327" s="52"/>
    </row>
    <row r="2328" spans="15:16" x14ac:dyDescent="0.3">
      <c r="O2328" s="52"/>
      <c r="P2328" s="52"/>
    </row>
    <row r="2329" spans="15:16" x14ac:dyDescent="0.3">
      <c r="O2329" s="52"/>
      <c r="P2329" s="52"/>
    </row>
    <row r="2330" spans="15:16" x14ac:dyDescent="0.3">
      <c r="O2330" s="52"/>
      <c r="P2330" s="52"/>
    </row>
    <row r="2331" spans="15:16" x14ac:dyDescent="0.3">
      <c r="O2331" s="52"/>
      <c r="P2331" s="52"/>
    </row>
    <row r="2332" spans="15:16" x14ac:dyDescent="0.3">
      <c r="O2332" s="52"/>
      <c r="P2332" s="52"/>
    </row>
    <row r="2333" spans="15:16" x14ac:dyDescent="0.3">
      <c r="O2333" s="52"/>
      <c r="P2333" s="52"/>
    </row>
    <row r="2334" spans="15:16" x14ac:dyDescent="0.3">
      <c r="O2334" s="52"/>
      <c r="P2334" s="52"/>
    </row>
    <row r="2335" spans="15:16" x14ac:dyDescent="0.3">
      <c r="O2335" s="52"/>
      <c r="P2335" s="52"/>
    </row>
    <row r="2336" spans="15:16" x14ac:dyDescent="0.3">
      <c r="O2336" s="52"/>
      <c r="P2336" s="52"/>
    </row>
    <row r="2337" spans="15:16" x14ac:dyDescent="0.3">
      <c r="O2337" s="52"/>
      <c r="P2337" s="52"/>
    </row>
    <row r="2338" spans="15:16" x14ac:dyDescent="0.3">
      <c r="O2338" s="52"/>
      <c r="P2338" s="52"/>
    </row>
    <row r="2339" spans="15:16" x14ac:dyDescent="0.3">
      <c r="O2339" s="52"/>
      <c r="P2339" s="52"/>
    </row>
    <row r="2340" spans="15:16" x14ac:dyDescent="0.3">
      <c r="O2340" s="52"/>
      <c r="P2340" s="52"/>
    </row>
    <row r="2341" spans="15:16" x14ac:dyDescent="0.3">
      <c r="O2341" s="52"/>
      <c r="P2341" s="52"/>
    </row>
    <row r="2342" spans="15:16" x14ac:dyDescent="0.3">
      <c r="O2342" s="52"/>
      <c r="P2342" s="52"/>
    </row>
    <row r="2343" spans="15:16" x14ac:dyDescent="0.3">
      <c r="O2343" s="52"/>
      <c r="P2343" s="52"/>
    </row>
    <row r="2344" spans="15:16" x14ac:dyDescent="0.3">
      <c r="O2344" s="52"/>
      <c r="P2344" s="52"/>
    </row>
    <row r="2345" spans="15:16" x14ac:dyDescent="0.3">
      <c r="O2345" s="52"/>
      <c r="P2345" s="52"/>
    </row>
    <row r="2346" spans="15:16" x14ac:dyDescent="0.3">
      <c r="O2346" s="52"/>
      <c r="P2346" s="52"/>
    </row>
    <row r="2347" spans="15:16" x14ac:dyDescent="0.3">
      <c r="O2347" s="52"/>
      <c r="P2347" s="52"/>
    </row>
    <row r="2348" spans="15:16" x14ac:dyDescent="0.3">
      <c r="O2348" s="52"/>
      <c r="P2348" s="52"/>
    </row>
    <row r="2349" spans="15:16" x14ac:dyDescent="0.3">
      <c r="O2349" s="52"/>
      <c r="P2349" s="52"/>
    </row>
    <row r="2350" spans="15:16" x14ac:dyDescent="0.3">
      <c r="O2350" s="52"/>
      <c r="P2350" s="52"/>
    </row>
    <row r="2351" spans="15:16" x14ac:dyDescent="0.3">
      <c r="O2351" s="52"/>
      <c r="P2351" s="52"/>
    </row>
    <row r="2352" spans="15:16" x14ac:dyDescent="0.3">
      <c r="O2352" s="52"/>
      <c r="P2352" s="52"/>
    </row>
    <row r="2353" spans="15:16" x14ac:dyDescent="0.3">
      <c r="O2353" s="52"/>
      <c r="P2353" s="52"/>
    </row>
    <row r="2354" spans="15:16" x14ac:dyDescent="0.3">
      <c r="O2354" s="52"/>
      <c r="P2354" s="52"/>
    </row>
    <row r="2355" spans="15:16" x14ac:dyDescent="0.3">
      <c r="O2355" s="52"/>
      <c r="P2355" s="52"/>
    </row>
    <row r="2356" spans="15:16" x14ac:dyDescent="0.3">
      <c r="O2356" s="52"/>
      <c r="P2356" s="52"/>
    </row>
    <row r="2357" spans="15:16" x14ac:dyDescent="0.3">
      <c r="O2357" s="52"/>
      <c r="P2357" s="52"/>
    </row>
    <row r="2358" spans="15:16" x14ac:dyDescent="0.3">
      <c r="O2358" s="52"/>
      <c r="P2358" s="52"/>
    </row>
    <row r="2359" spans="15:16" x14ac:dyDescent="0.3">
      <c r="O2359" s="52"/>
      <c r="P2359" s="52"/>
    </row>
    <row r="2360" spans="15:16" x14ac:dyDescent="0.3">
      <c r="O2360" s="52"/>
      <c r="P2360" s="52"/>
    </row>
    <row r="2361" spans="15:16" x14ac:dyDescent="0.3">
      <c r="O2361" s="52"/>
      <c r="P2361" s="52"/>
    </row>
    <row r="2362" spans="15:16" x14ac:dyDescent="0.3">
      <c r="O2362" s="52"/>
      <c r="P2362" s="52"/>
    </row>
    <row r="2363" spans="15:16" x14ac:dyDescent="0.3">
      <c r="O2363" s="52"/>
      <c r="P2363" s="52"/>
    </row>
    <row r="2364" spans="15:16" x14ac:dyDescent="0.3">
      <c r="O2364" s="52"/>
      <c r="P2364" s="52"/>
    </row>
    <row r="2365" spans="15:16" x14ac:dyDescent="0.3">
      <c r="O2365" s="52"/>
      <c r="P2365" s="52"/>
    </row>
    <row r="2366" spans="15:16" x14ac:dyDescent="0.3">
      <c r="O2366" s="52"/>
      <c r="P2366" s="52"/>
    </row>
    <row r="2367" spans="15:16" x14ac:dyDescent="0.3">
      <c r="O2367" s="52"/>
      <c r="P2367" s="52"/>
    </row>
    <row r="2368" spans="15:16" x14ac:dyDescent="0.3">
      <c r="O2368" s="52"/>
      <c r="P2368" s="52"/>
    </row>
    <row r="2369" spans="15:16" x14ac:dyDescent="0.3">
      <c r="O2369" s="52"/>
      <c r="P2369" s="52"/>
    </row>
    <row r="2370" spans="15:16" x14ac:dyDescent="0.3">
      <c r="O2370" s="52"/>
      <c r="P2370" s="52"/>
    </row>
    <row r="2371" spans="15:16" x14ac:dyDescent="0.3">
      <c r="O2371" s="52"/>
      <c r="P2371" s="52"/>
    </row>
    <row r="2372" spans="15:16" x14ac:dyDescent="0.3">
      <c r="O2372" s="52"/>
      <c r="P2372" s="52"/>
    </row>
    <row r="2373" spans="15:16" x14ac:dyDescent="0.3">
      <c r="O2373" s="52"/>
      <c r="P2373" s="52"/>
    </row>
    <row r="2374" spans="15:16" x14ac:dyDescent="0.3">
      <c r="O2374" s="52"/>
      <c r="P2374" s="52"/>
    </row>
    <row r="2375" spans="15:16" x14ac:dyDescent="0.3">
      <c r="O2375" s="52"/>
      <c r="P2375" s="52"/>
    </row>
    <row r="2376" spans="15:16" x14ac:dyDescent="0.3">
      <c r="O2376" s="52"/>
      <c r="P2376" s="52"/>
    </row>
    <row r="2377" spans="15:16" x14ac:dyDescent="0.3">
      <c r="O2377" s="52"/>
      <c r="P2377" s="52"/>
    </row>
    <row r="2378" spans="15:16" x14ac:dyDescent="0.3">
      <c r="O2378" s="52"/>
      <c r="P2378" s="52"/>
    </row>
    <row r="2379" spans="15:16" x14ac:dyDescent="0.3">
      <c r="O2379" s="52"/>
      <c r="P2379" s="52"/>
    </row>
    <row r="2380" spans="15:16" x14ac:dyDescent="0.3">
      <c r="O2380" s="52"/>
      <c r="P2380" s="52"/>
    </row>
    <row r="2381" spans="15:16" x14ac:dyDescent="0.3">
      <c r="O2381" s="52"/>
      <c r="P2381" s="52"/>
    </row>
    <row r="2382" spans="15:16" x14ac:dyDescent="0.3">
      <c r="O2382" s="52"/>
      <c r="P2382" s="52"/>
    </row>
    <row r="2383" spans="15:16" x14ac:dyDescent="0.3">
      <c r="O2383" s="52"/>
      <c r="P2383" s="52"/>
    </row>
    <row r="2384" spans="15:16" x14ac:dyDescent="0.3">
      <c r="O2384" s="52"/>
      <c r="P2384" s="52"/>
    </row>
    <row r="2385" spans="15:16" x14ac:dyDescent="0.3">
      <c r="O2385" s="52"/>
      <c r="P2385" s="52"/>
    </row>
    <row r="2386" spans="15:16" x14ac:dyDescent="0.3">
      <c r="O2386" s="52"/>
      <c r="P2386" s="52"/>
    </row>
    <row r="2387" spans="15:16" x14ac:dyDescent="0.3">
      <c r="O2387" s="52"/>
      <c r="P2387" s="52"/>
    </row>
    <row r="2388" spans="15:16" x14ac:dyDescent="0.3">
      <c r="O2388" s="52"/>
      <c r="P2388" s="52"/>
    </row>
    <row r="2389" spans="15:16" x14ac:dyDescent="0.3">
      <c r="O2389" s="52"/>
      <c r="P2389" s="52"/>
    </row>
    <row r="2390" spans="15:16" x14ac:dyDescent="0.3">
      <c r="O2390" s="52"/>
      <c r="P2390" s="52"/>
    </row>
    <row r="2391" spans="15:16" x14ac:dyDescent="0.3">
      <c r="O2391" s="52"/>
      <c r="P2391" s="52"/>
    </row>
    <row r="2392" spans="15:16" x14ac:dyDescent="0.3">
      <c r="O2392" s="52"/>
      <c r="P2392" s="52"/>
    </row>
    <row r="2393" spans="15:16" x14ac:dyDescent="0.3">
      <c r="O2393" s="52"/>
      <c r="P2393" s="52"/>
    </row>
    <row r="2394" spans="15:16" x14ac:dyDescent="0.3">
      <c r="O2394" s="52"/>
      <c r="P2394" s="52"/>
    </row>
    <row r="2395" spans="15:16" x14ac:dyDescent="0.3">
      <c r="O2395" s="52"/>
      <c r="P2395" s="52"/>
    </row>
    <row r="2396" spans="15:16" x14ac:dyDescent="0.3">
      <c r="O2396" s="52"/>
      <c r="P2396" s="52"/>
    </row>
    <row r="2397" spans="15:16" x14ac:dyDescent="0.3">
      <c r="O2397" s="52"/>
      <c r="P2397" s="52"/>
    </row>
    <row r="2398" spans="15:16" x14ac:dyDescent="0.3">
      <c r="O2398" s="52"/>
      <c r="P2398" s="52"/>
    </row>
    <row r="2399" spans="15:16" x14ac:dyDescent="0.3">
      <c r="O2399" s="52"/>
      <c r="P2399" s="52"/>
    </row>
    <row r="2400" spans="15:16" x14ac:dyDescent="0.3">
      <c r="O2400" s="52"/>
      <c r="P2400" s="52"/>
    </row>
    <row r="2401" spans="15:16" x14ac:dyDescent="0.3">
      <c r="O2401" s="52"/>
      <c r="P2401" s="52"/>
    </row>
    <row r="2402" spans="15:16" x14ac:dyDescent="0.3">
      <c r="O2402" s="52"/>
      <c r="P2402" s="52"/>
    </row>
    <row r="2403" spans="15:16" x14ac:dyDescent="0.3">
      <c r="O2403" s="52"/>
      <c r="P2403" s="52"/>
    </row>
    <row r="2404" spans="15:16" x14ac:dyDescent="0.3">
      <c r="O2404" s="52"/>
      <c r="P2404" s="52"/>
    </row>
    <row r="2405" spans="15:16" x14ac:dyDescent="0.3">
      <c r="O2405" s="52"/>
      <c r="P2405" s="52"/>
    </row>
    <row r="2406" spans="15:16" x14ac:dyDescent="0.3">
      <c r="O2406" s="52"/>
      <c r="P2406" s="52"/>
    </row>
    <row r="2407" spans="15:16" x14ac:dyDescent="0.3">
      <c r="O2407" s="52"/>
      <c r="P2407" s="52"/>
    </row>
    <row r="2408" spans="15:16" x14ac:dyDescent="0.3">
      <c r="O2408" s="52"/>
      <c r="P2408" s="52"/>
    </row>
    <row r="2409" spans="15:16" x14ac:dyDescent="0.3">
      <c r="O2409" s="52"/>
      <c r="P2409" s="52"/>
    </row>
    <row r="2410" spans="15:16" x14ac:dyDescent="0.3">
      <c r="O2410" s="52"/>
      <c r="P2410" s="52"/>
    </row>
    <row r="2411" spans="15:16" x14ac:dyDescent="0.3">
      <c r="O2411" s="52"/>
      <c r="P2411" s="52"/>
    </row>
    <row r="2412" spans="15:16" x14ac:dyDescent="0.3">
      <c r="O2412" s="52"/>
      <c r="P2412" s="52"/>
    </row>
    <row r="2413" spans="15:16" x14ac:dyDescent="0.3">
      <c r="O2413" s="52"/>
      <c r="P2413" s="52"/>
    </row>
    <row r="2414" spans="15:16" x14ac:dyDescent="0.3">
      <c r="O2414" s="52"/>
      <c r="P2414" s="52"/>
    </row>
    <row r="2415" spans="15:16" x14ac:dyDescent="0.3">
      <c r="O2415" s="52"/>
      <c r="P2415" s="52"/>
    </row>
    <row r="2416" spans="15:16" x14ac:dyDescent="0.3">
      <c r="O2416" s="52"/>
      <c r="P2416" s="52"/>
    </row>
    <row r="2417" spans="15:16" x14ac:dyDescent="0.3">
      <c r="O2417" s="52"/>
      <c r="P2417" s="52"/>
    </row>
    <row r="2418" spans="15:16" x14ac:dyDescent="0.3">
      <c r="O2418" s="52"/>
      <c r="P2418" s="52"/>
    </row>
    <row r="2419" spans="15:16" x14ac:dyDescent="0.3">
      <c r="O2419" s="52"/>
      <c r="P2419" s="52"/>
    </row>
    <row r="2420" spans="15:16" x14ac:dyDescent="0.3">
      <c r="O2420" s="52"/>
      <c r="P2420" s="52"/>
    </row>
    <row r="2421" spans="15:16" x14ac:dyDescent="0.3">
      <c r="O2421" s="52"/>
      <c r="P2421" s="52"/>
    </row>
    <row r="2422" spans="15:16" x14ac:dyDescent="0.3">
      <c r="O2422" s="52"/>
      <c r="P2422" s="52"/>
    </row>
    <row r="2423" spans="15:16" x14ac:dyDescent="0.3">
      <c r="O2423" s="52"/>
      <c r="P2423" s="52"/>
    </row>
    <row r="2424" spans="15:16" x14ac:dyDescent="0.3">
      <c r="O2424" s="52"/>
      <c r="P2424" s="52"/>
    </row>
    <row r="2425" spans="15:16" x14ac:dyDescent="0.3">
      <c r="O2425" s="52"/>
      <c r="P2425" s="52"/>
    </row>
    <row r="2426" spans="15:16" x14ac:dyDescent="0.3">
      <c r="O2426" s="52"/>
      <c r="P2426" s="52"/>
    </row>
    <row r="2427" spans="15:16" x14ac:dyDescent="0.3">
      <c r="O2427" s="52"/>
      <c r="P2427" s="52"/>
    </row>
    <row r="2428" spans="15:16" x14ac:dyDescent="0.3">
      <c r="O2428" s="52"/>
      <c r="P2428" s="52"/>
    </row>
    <row r="2429" spans="15:16" x14ac:dyDescent="0.3">
      <c r="O2429" s="52"/>
      <c r="P2429" s="52"/>
    </row>
    <row r="2430" spans="15:16" x14ac:dyDescent="0.3">
      <c r="O2430" s="52"/>
      <c r="P2430" s="52"/>
    </row>
    <row r="2431" spans="15:16" x14ac:dyDescent="0.3">
      <c r="O2431" s="52"/>
      <c r="P2431" s="52"/>
    </row>
    <row r="2432" spans="15:16" x14ac:dyDescent="0.3">
      <c r="O2432" s="52"/>
      <c r="P2432" s="52"/>
    </row>
    <row r="2433" spans="15:16" x14ac:dyDescent="0.3">
      <c r="O2433" s="52"/>
      <c r="P2433" s="52"/>
    </row>
    <row r="2434" spans="15:16" x14ac:dyDescent="0.3">
      <c r="O2434" s="52"/>
      <c r="P2434" s="52"/>
    </row>
    <row r="2435" spans="15:16" x14ac:dyDescent="0.3">
      <c r="O2435" s="52"/>
      <c r="P2435" s="52"/>
    </row>
    <row r="2436" spans="15:16" x14ac:dyDescent="0.3">
      <c r="O2436" s="52"/>
      <c r="P2436" s="52"/>
    </row>
    <row r="2437" spans="15:16" x14ac:dyDescent="0.3">
      <c r="O2437" s="52"/>
      <c r="P2437" s="52"/>
    </row>
    <row r="2438" spans="15:16" x14ac:dyDescent="0.3">
      <c r="O2438" s="52"/>
      <c r="P2438" s="52"/>
    </row>
    <row r="2439" spans="15:16" x14ac:dyDescent="0.3">
      <c r="O2439" s="52"/>
      <c r="P2439" s="52"/>
    </row>
    <row r="2440" spans="15:16" x14ac:dyDescent="0.3">
      <c r="O2440" s="52"/>
      <c r="P2440" s="52"/>
    </row>
    <row r="2441" spans="15:16" x14ac:dyDescent="0.3">
      <c r="O2441" s="52"/>
      <c r="P2441" s="52"/>
    </row>
    <row r="2442" spans="15:16" x14ac:dyDescent="0.3">
      <c r="O2442" s="52"/>
      <c r="P2442" s="52"/>
    </row>
    <row r="2443" spans="15:16" x14ac:dyDescent="0.3">
      <c r="O2443" s="52"/>
      <c r="P2443" s="52"/>
    </row>
    <row r="2444" spans="15:16" x14ac:dyDescent="0.3">
      <c r="O2444" s="52"/>
      <c r="P2444" s="52"/>
    </row>
    <row r="2445" spans="15:16" x14ac:dyDescent="0.3">
      <c r="O2445" s="52"/>
      <c r="P2445" s="52"/>
    </row>
    <row r="2446" spans="15:16" x14ac:dyDescent="0.3">
      <c r="O2446" s="52"/>
      <c r="P2446" s="52"/>
    </row>
    <row r="2447" spans="15:16" x14ac:dyDescent="0.3">
      <c r="O2447" s="52"/>
      <c r="P2447" s="52"/>
    </row>
    <row r="2448" spans="15:16" x14ac:dyDescent="0.3">
      <c r="O2448" s="52"/>
      <c r="P2448" s="52"/>
    </row>
    <row r="2449" spans="15:16" x14ac:dyDescent="0.3">
      <c r="O2449" s="52"/>
      <c r="P2449" s="52"/>
    </row>
    <row r="2450" spans="15:16" x14ac:dyDescent="0.3">
      <c r="O2450" s="52"/>
      <c r="P2450" s="52"/>
    </row>
    <row r="2451" spans="15:16" x14ac:dyDescent="0.3">
      <c r="O2451" s="52"/>
      <c r="P2451" s="52"/>
    </row>
    <row r="2452" spans="15:16" x14ac:dyDescent="0.3">
      <c r="O2452" s="52"/>
      <c r="P2452" s="52"/>
    </row>
    <row r="2453" spans="15:16" x14ac:dyDescent="0.3">
      <c r="O2453" s="52"/>
      <c r="P2453" s="52"/>
    </row>
    <row r="2454" spans="15:16" x14ac:dyDescent="0.3">
      <c r="O2454" s="52"/>
      <c r="P2454" s="52"/>
    </row>
    <row r="2455" spans="15:16" x14ac:dyDescent="0.3">
      <c r="O2455" s="52"/>
      <c r="P2455" s="52"/>
    </row>
    <row r="2456" spans="15:16" x14ac:dyDescent="0.3">
      <c r="O2456" s="52"/>
      <c r="P2456" s="52"/>
    </row>
    <row r="2457" spans="15:16" x14ac:dyDescent="0.3">
      <c r="O2457" s="52"/>
      <c r="P2457" s="52"/>
    </row>
    <row r="2458" spans="15:16" x14ac:dyDescent="0.3">
      <c r="O2458" s="52"/>
      <c r="P2458" s="52"/>
    </row>
    <row r="2459" spans="15:16" x14ac:dyDescent="0.3">
      <c r="O2459" s="52"/>
      <c r="P2459" s="52"/>
    </row>
    <row r="2460" spans="15:16" x14ac:dyDescent="0.3">
      <c r="O2460" s="52"/>
      <c r="P2460" s="52"/>
    </row>
    <row r="2461" spans="15:16" x14ac:dyDescent="0.3">
      <c r="O2461" s="52"/>
      <c r="P2461" s="52"/>
    </row>
    <row r="2462" spans="15:16" x14ac:dyDescent="0.3">
      <c r="O2462" s="52"/>
      <c r="P2462" s="52"/>
    </row>
    <row r="2463" spans="15:16" x14ac:dyDescent="0.3">
      <c r="O2463" s="52"/>
      <c r="P2463" s="52"/>
    </row>
    <row r="2464" spans="15:16" x14ac:dyDescent="0.3">
      <c r="O2464" s="52"/>
      <c r="P2464" s="52"/>
    </row>
    <row r="2465" spans="15:16" x14ac:dyDescent="0.3">
      <c r="O2465" s="52"/>
      <c r="P2465" s="52"/>
    </row>
    <row r="2466" spans="15:16" x14ac:dyDescent="0.3">
      <c r="O2466" s="52"/>
      <c r="P2466" s="52"/>
    </row>
    <row r="2467" spans="15:16" x14ac:dyDescent="0.3">
      <c r="O2467" s="52"/>
      <c r="P2467" s="52"/>
    </row>
    <row r="2468" spans="15:16" x14ac:dyDescent="0.3">
      <c r="O2468" s="52"/>
      <c r="P2468" s="52"/>
    </row>
    <row r="2469" spans="15:16" x14ac:dyDescent="0.3">
      <c r="O2469" s="52"/>
      <c r="P2469" s="52"/>
    </row>
    <row r="2470" spans="15:16" x14ac:dyDescent="0.3">
      <c r="O2470" s="52"/>
      <c r="P2470" s="52"/>
    </row>
    <row r="2471" spans="15:16" x14ac:dyDescent="0.3">
      <c r="O2471" s="52"/>
      <c r="P2471" s="52"/>
    </row>
    <row r="2472" spans="15:16" x14ac:dyDescent="0.3">
      <c r="O2472" s="52"/>
      <c r="P2472" s="52"/>
    </row>
    <row r="2473" spans="15:16" x14ac:dyDescent="0.3">
      <c r="O2473" s="52"/>
      <c r="P2473" s="52"/>
    </row>
    <row r="2474" spans="15:16" x14ac:dyDescent="0.3">
      <c r="O2474" s="52"/>
      <c r="P2474" s="52"/>
    </row>
    <row r="2475" spans="15:16" x14ac:dyDescent="0.3">
      <c r="O2475" s="52"/>
      <c r="P2475" s="52"/>
    </row>
    <row r="2476" spans="15:16" x14ac:dyDescent="0.3">
      <c r="O2476" s="52"/>
      <c r="P2476" s="52"/>
    </row>
    <row r="2477" spans="15:16" x14ac:dyDescent="0.3">
      <c r="O2477" s="52"/>
      <c r="P2477" s="52"/>
    </row>
    <row r="2478" spans="15:16" x14ac:dyDescent="0.3">
      <c r="O2478" s="52"/>
      <c r="P2478" s="52"/>
    </row>
    <row r="2479" spans="15:16" x14ac:dyDescent="0.3">
      <c r="O2479" s="52"/>
      <c r="P2479" s="52"/>
    </row>
    <row r="2480" spans="15:16" x14ac:dyDescent="0.3">
      <c r="O2480" s="52"/>
      <c r="P2480" s="52"/>
    </row>
    <row r="2481" spans="15:16" x14ac:dyDescent="0.3">
      <c r="O2481" s="52"/>
      <c r="P2481" s="52"/>
    </row>
    <row r="2482" spans="15:16" x14ac:dyDescent="0.3">
      <c r="O2482" s="52"/>
      <c r="P2482" s="52"/>
    </row>
    <row r="2483" spans="15:16" x14ac:dyDescent="0.3">
      <c r="O2483" s="52"/>
      <c r="P2483" s="52"/>
    </row>
    <row r="2484" spans="15:16" x14ac:dyDescent="0.3">
      <c r="O2484" s="52"/>
      <c r="P2484" s="52"/>
    </row>
    <row r="2485" spans="15:16" x14ac:dyDescent="0.3">
      <c r="O2485" s="52"/>
      <c r="P2485" s="52"/>
    </row>
    <row r="2486" spans="15:16" x14ac:dyDescent="0.3">
      <c r="O2486" s="52"/>
      <c r="P2486" s="52"/>
    </row>
    <row r="2487" spans="15:16" x14ac:dyDescent="0.3">
      <c r="O2487" s="52"/>
      <c r="P2487" s="52"/>
    </row>
    <row r="2488" spans="15:16" x14ac:dyDescent="0.3">
      <c r="O2488" s="52"/>
      <c r="P2488" s="52"/>
    </row>
    <row r="2489" spans="15:16" x14ac:dyDescent="0.3">
      <c r="O2489" s="52"/>
      <c r="P2489" s="52"/>
    </row>
    <row r="2490" spans="15:16" x14ac:dyDescent="0.3">
      <c r="O2490" s="52"/>
      <c r="P2490" s="52"/>
    </row>
    <row r="2491" spans="15:16" x14ac:dyDescent="0.3">
      <c r="O2491" s="52"/>
      <c r="P2491" s="52"/>
    </row>
    <row r="2492" spans="15:16" x14ac:dyDescent="0.3">
      <c r="O2492" s="52"/>
      <c r="P2492" s="52"/>
    </row>
    <row r="2493" spans="15:16" x14ac:dyDescent="0.3">
      <c r="O2493" s="52"/>
      <c r="P2493" s="52"/>
    </row>
    <row r="2494" spans="15:16" x14ac:dyDescent="0.3">
      <c r="O2494" s="52"/>
      <c r="P2494" s="52"/>
    </row>
    <row r="2495" spans="15:16" x14ac:dyDescent="0.3">
      <c r="O2495" s="52"/>
      <c r="P2495" s="52"/>
    </row>
    <row r="2496" spans="15:16" x14ac:dyDescent="0.3">
      <c r="O2496" s="52"/>
      <c r="P2496" s="52"/>
    </row>
    <row r="2497" spans="15:16" x14ac:dyDescent="0.3">
      <c r="O2497" s="52"/>
      <c r="P2497" s="52"/>
    </row>
    <row r="2498" spans="15:16" x14ac:dyDescent="0.3">
      <c r="O2498" s="52"/>
      <c r="P2498" s="52"/>
    </row>
    <row r="2499" spans="15:16" x14ac:dyDescent="0.3">
      <c r="O2499" s="52"/>
      <c r="P2499" s="52"/>
    </row>
    <row r="2500" spans="15:16" x14ac:dyDescent="0.3">
      <c r="O2500" s="52"/>
      <c r="P2500" s="52"/>
    </row>
    <row r="2501" spans="15:16" x14ac:dyDescent="0.3">
      <c r="O2501" s="52"/>
      <c r="P2501" s="52"/>
    </row>
    <row r="2502" spans="15:16" x14ac:dyDescent="0.3">
      <c r="O2502" s="52"/>
      <c r="P2502" s="52"/>
    </row>
    <row r="2503" spans="15:16" x14ac:dyDescent="0.3">
      <c r="O2503" s="52"/>
      <c r="P2503" s="52"/>
    </row>
    <row r="2504" spans="15:16" x14ac:dyDescent="0.3">
      <c r="O2504" s="52"/>
      <c r="P2504" s="52"/>
    </row>
    <row r="2505" spans="15:16" x14ac:dyDescent="0.3">
      <c r="O2505" s="52"/>
      <c r="P2505" s="52"/>
    </row>
    <row r="2506" spans="15:16" x14ac:dyDescent="0.3">
      <c r="O2506" s="52"/>
      <c r="P2506" s="52"/>
    </row>
    <row r="2507" spans="15:16" x14ac:dyDescent="0.3">
      <c r="O2507" s="52"/>
      <c r="P2507" s="52"/>
    </row>
    <row r="2508" spans="15:16" x14ac:dyDescent="0.3">
      <c r="O2508" s="52"/>
      <c r="P2508" s="52"/>
    </row>
    <row r="2509" spans="15:16" x14ac:dyDescent="0.3">
      <c r="O2509" s="52"/>
      <c r="P2509" s="52"/>
    </row>
    <row r="2510" spans="15:16" x14ac:dyDescent="0.3">
      <c r="O2510" s="52"/>
      <c r="P2510" s="52"/>
    </row>
    <row r="2511" spans="15:16" x14ac:dyDescent="0.3">
      <c r="O2511" s="52"/>
      <c r="P2511" s="52"/>
    </row>
    <row r="2512" spans="15:16" x14ac:dyDescent="0.3">
      <c r="O2512" s="52"/>
      <c r="P2512" s="52"/>
    </row>
    <row r="2513" spans="15:16" x14ac:dyDescent="0.3">
      <c r="O2513" s="52"/>
      <c r="P2513" s="52"/>
    </row>
    <row r="2514" spans="15:16" x14ac:dyDescent="0.3">
      <c r="O2514" s="52"/>
      <c r="P2514" s="52"/>
    </row>
    <row r="2515" spans="15:16" x14ac:dyDescent="0.3">
      <c r="O2515" s="52"/>
      <c r="P2515" s="52"/>
    </row>
    <row r="2516" spans="15:16" x14ac:dyDescent="0.3">
      <c r="O2516" s="52"/>
      <c r="P2516" s="52"/>
    </row>
    <row r="2517" spans="15:16" x14ac:dyDescent="0.3">
      <c r="O2517" s="52"/>
      <c r="P2517" s="52"/>
    </row>
    <row r="2518" spans="15:16" x14ac:dyDescent="0.3">
      <c r="O2518" s="52"/>
      <c r="P2518" s="52"/>
    </row>
    <row r="2519" spans="15:16" x14ac:dyDescent="0.3">
      <c r="O2519" s="52"/>
      <c r="P2519" s="52"/>
    </row>
    <row r="2520" spans="15:16" x14ac:dyDescent="0.3">
      <c r="O2520" s="52"/>
      <c r="P2520" s="52"/>
    </row>
    <row r="2521" spans="15:16" x14ac:dyDescent="0.3">
      <c r="O2521" s="52"/>
      <c r="P2521" s="52"/>
    </row>
    <row r="2522" spans="15:16" x14ac:dyDescent="0.3">
      <c r="O2522" s="52"/>
      <c r="P2522" s="52"/>
    </row>
    <row r="2523" spans="15:16" x14ac:dyDescent="0.3">
      <c r="O2523" s="52"/>
      <c r="P2523" s="52"/>
    </row>
    <row r="2524" spans="15:16" x14ac:dyDescent="0.3">
      <c r="O2524" s="52"/>
      <c r="P2524" s="52"/>
    </row>
    <row r="2525" spans="15:16" x14ac:dyDescent="0.3">
      <c r="O2525" s="52"/>
      <c r="P2525" s="52"/>
    </row>
    <row r="2526" spans="15:16" x14ac:dyDescent="0.3">
      <c r="O2526" s="52"/>
      <c r="P2526" s="52"/>
    </row>
    <row r="2527" spans="15:16" x14ac:dyDescent="0.3">
      <c r="O2527" s="52"/>
      <c r="P2527" s="52"/>
    </row>
    <row r="2528" spans="15:16" x14ac:dyDescent="0.3">
      <c r="O2528" s="52"/>
      <c r="P2528" s="52"/>
    </row>
    <row r="2529" spans="15:16" x14ac:dyDescent="0.3">
      <c r="O2529" s="52"/>
      <c r="P2529" s="52"/>
    </row>
    <row r="2530" spans="15:16" x14ac:dyDescent="0.3">
      <c r="O2530" s="52"/>
      <c r="P2530" s="52"/>
    </row>
    <row r="2531" spans="15:16" x14ac:dyDescent="0.3">
      <c r="O2531" s="52"/>
      <c r="P2531" s="52"/>
    </row>
    <row r="2532" spans="15:16" x14ac:dyDescent="0.3">
      <c r="O2532" s="52"/>
      <c r="P2532" s="52"/>
    </row>
    <row r="2533" spans="15:16" x14ac:dyDescent="0.3">
      <c r="O2533" s="52"/>
      <c r="P2533" s="52"/>
    </row>
    <row r="2534" spans="15:16" x14ac:dyDescent="0.3">
      <c r="O2534" s="52"/>
      <c r="P2534" s="52"/>
    </row>
    <row r="2535" spans="15:16" x14ac:dyDescent="0.3">
      <c r="O2535" s="52"/>
      <c r="P2535" s="52"/>
    </row>
    <row r="2536" spans="15:16" x14ac:dyDescent="0.3">
      <c r="O2536" s="52"/>
      <c r="P2536" s="52"/>
    </row>
    <row r="2537" spans="15:16" x14ac:dyDescent="0.3">
      <c r="O2537" s="52"/>
      <c r="P2537" s="52"/>
    </row>
    <row r="2538" spans="15:16" x14ac:dyDescent="0.3">
      <c r="O2538" s="52"/>
      <c r="P2538" s="52"/>
    </row>
    <row r="2539" spans="15:16" x14ac:dyDescent="0.3">
      <c r="O2539" s="52"/>
      <c r="P2539" s="52"/>
    </row>
    <row r="2540" spans="15:16" x14ac:dyDescent="0.3">
      <c r="O2540" s="52"/>
      <c r="P2540" s="52"/>
    </row>
    <row r="2541" spans="15:16" x14ac:dyDescent="0.3">
      <c r="O2541" s="52"/>
      <c r="P2541" s="52"/>
    </row>
    <row r="2542" spans="15:16" x14ac:dyDescent="0.3">
      <c r="O2542" s="52"/>
      <c r="P2542" s="52"/>
    </row>
    <row r="2543" spans="15:16" x14ac:dyDescent="0.3">
      <c r="O2543" s="52"/>
      <c r="P2543" s="52"/>
    </row>
    <row r="2544" spans="15:16" x14ac:dyDescent="0.3">
      <c r="O2544" s="52"/>
      <c r="P2544" s="52"/>
    </row>
    <row r="2545" spans="15:16" x14ac:dyDescent="0.3">
      <c r="O2545" s="52"/>
      <c r="P2545" s="52"/>
    </row>
    <row r="2546" spans="15:16" x14ac:dyDescent="0.3">
      <c r="O2546" s="52"/>
      <c r="P2546" s="52"/>
    </row>
    <row r="2547" spans="15:16" x14ac:dyDescent="0.3">
      <c r="O2547" s="52"/>
      <c r="P2547" s="52"/>
    </row>
    <row r="2548" spans="15:16" x14ac:dyDescent="0.3">
      <c r="O2548" s="52"/>
      <c r="P2548" s="52"/>
    </row>
    <row r="2549" spans="15:16" x14ac:dyDescent="0.3">
      <c r="O2549" s="52"/>
      <c r="P2549" s="52"/>
    </row>
    <row r="2550" spans="15:16" x14ac:dyDescent="0.3">
      <c r="O2550" s="52"/>
      <c r="P2550" s="52"/>
    </row>
    <row r="2551" spans="15:16" x14ac:dyDescent="0.3">
      <c r="O2551" s="52"/>
      <c r="P2551" s="52"/>
    </row>
    <row r="2552" spans="15:16" x14ac:dyDescent="0.3">
      <c r="O2552" s="52"/>
      <c r="P2552" s="52"/>
    </row>
    <row r="2553" spans="15:16" x14ac:dyDescent="0.3">
      <c r="O2553" s="52"/>
      <c r="P2553" s="52"/>
    </row>
    <row r="2554" spans="15:16" x14ac:dyDescent="0.3">
      <c r="O2554" s="52"/>
      <c r="P2554" s="52"/>
    </row>
    <row r="2555" spans="15:16" x14ac:dyDescent="0.3">
      <c r="O2555" s="52"/>
      <c r="P2555" s="52"/>
    </row>
    <row r="2556" spans="15:16" x14ac:dyDescent="0.3">
      <c r="O2556" s="52"/>
      <c r="P2556" s="52"/>
    </row>
    <row r="2557" spans="15:16" x14ac:dyDescent="0.3">
      <c r="O2557" s="52"/>
      <c r="P2557" s="52"/>
    </row>
    <row r="2558" spans="15:16" x14ac:dyDescent="0.3">
      <c r="O2558" s="52"/>
      <c r="P2558" s="52"/>
    </row>
    <row r="2559" spans="15:16" x14ac:dyDescent="0.3">
      <c r="O2559" s="52"/>
      <c r="P2559" s="52"/>
    </row>
    <row r="2560" spans="15:16" x14ac:dyDescent="0.3">
      <c r="O2560" s="52"/>
      <c r="P2560" s="52"/>
    </row>
    <row r="2561" spans="15:16" x14ac:dyDescent="0.3">
      <c r="O2561" s="52"/>
      <c r="P2561" s="52"/>
    </row>
    <row r="2562" spans="15:16" x14ac:dyDescent="0.3">
      <c r="O2562" s="52"/>
      <c r="P2562" s="52"/>
    </row>
    <row r="2563" spans="15:16" x14ac:dyDescent="0.3">
      <c r="O2563" s="52"/>
      <c r="P2563" s="52"/>
    </row>
    <row r="2564" spans="15:16" x14ac:dyDescent="0.3">
      <c r="O2564" s="52"/>
      <c r="P2564" s="52"/>
    </row>
    <row r="2565" spans="15:16" x14ac:dyDescent="0.3">
      <c r="O2565" s="52"/>
      <c r="P2565" s="52"/>
    </row>
    <row r="2566" spans="15:16" x14ac:dyDescent="0.3">
      <c r="O2566" s="52"/>
      <c r="P2566" s="52"/>
    </row>
    <row r="2567" spans="15:16" x14ac:dyDescent="0.3">
      <c r="O2567" s="52"/>
      <c r="P2567" s="52"/>
    </row>
    <row r="2568" spans="15:16" x14ac:dyDescent="0.3">
      <c r="O2568" s="52"/>
      <c r="P2568" s="52"/>
    </row>
    <row r="2569" spans="15:16" x14ac:dyDescent="0.3">
      <c r="O2569" s="52"/>
      <c r="P2569" s="52"/>
    </row>
    <row r="2570" spans="15:16" x14ac:dyDescent="0.3">
      <c r="O2570" s="52"/>
      <c r="P2570" s="52"/>
    </row>
    <row r="2571" spans="15:16" x14ac:dyDescent="0.3">
      <c r="O2571" s="52"/>
      <c r="P2571" s="52"/>
    </row>
    <row r="2572" spans="15:16" x14ac:dyDescent="0.3">
      <c r="O2572" s="52"/>
      <c r="P2572" s="52"/>
    </row>
    <row r="2573" spans="15:16" x14ac:dyDescent="0.3">
      <c r="O2573" s="52"/>
      <c r="P2573" s="52"/>
    </row>
    <row r="2574" spans="15:16" x14ac:dyDescent="0.3">
      <c r="O2574" s="52"/>
      <c r="P2574" s="52"/>
    </row>
    <row r="2575" spans="15:16" x14ac:dyDescent="0.3">
      <c r="O2575" s="52"/>
      <c r="P2575" s="52"/>
    </row>
    <row r="2576" spans="15:16" x14ac:dyDescent="0.3">
      <c r="O2576" s="52"/>
      <c r="P2576" s="52"/>
    </row>
    <row r="2577" spans="15:16" x14ac:dyDescent="0.3">
      <c r="O2577" s="52"/>
      <c r="P2577" s="52"/>
    </row>
    <row r="2578" spans="15:16" x14ac:dyDescent="0.3">
      <c r="O2578" s="52"/>
      <c r="P2578" s="52"/>
    </row>
    <row r="2579" spans="15:16" x14ac:dyDescent="0.3">
      <c r="O2579" s="52"/>
      <c r="P2579" s="52"/>
    </row>
    <row r="2580" spans="15:16" x14ac:dyDescent="0.3">
      <c r="O2580" s="52"/>
      <c r="P2580" s="52"/>
    </row>
    <row r="2581" spans="15:16" x14ac:dyDescent="0.3">
      <c r="O2581" s="52"/>
      <c r="P2581" s="52"/>
    </row>
    <row r="2582" spans="15:16" x14ac:dyDescent="0.3">
      <c r="O2582" s="52"/>
      <c r="P2582" s="52"/>
    </row>
    <row r="2583" spans="15:16" x14ac:dyDescent="0.3">
      <c r="O2583" s="52"/>
      <c r="P2583" s="52"/>
    </row>
    <row r="2584" spans="15:16" x14ac:dyDescent="0.3">
      <c r="O2584" s="52"/>
      <c r="P2584" s="52"/>
    </row>
    <row r="2585" spans="15:16" x14ac:dyDescent="0.3">
      <c r="O2585" s="52"/>
      <c r="P2585" s="52"/>
    </row>
    <row r="2586" spans="15:16" x14ac:dyDescent="0.3">
      <c r="O2586" s="52"/>
      <c r="P2586" s="52"/>
    </row>
    <row r="2587" spans="15:16" x14ac:dyDescent="0.3">
      <c r="O2587" s="52"/>
      <c r="P2587" s="52"/>
    </row>
    <row r="2588" spans="15:16" x14ac:dyDescent="0.3">
      <c r="O2588" s="52"/>
      <c r="P2588" s="52"/>
    </row>
    <row r="2589" spans="15:16" x14ac:dyDescent="0.3">
      <c r="O2589" s="52"/>
      <c r="P2589" s="52"/>
    </row>
    <row r="2590" spans="15:16" x14ac:dyDescent="0.3">
      <c r="O2590" s="52"/>
      <c r="P2590" s="52"/>
    </row>
    <row r="2591" spans="15:16" x14ac:dyDescent="0.3">
      <c r="O2591" s="52"/>
      <c r="P2591" s="52"/>
    </row>
    <row r="2592" spans="15:16" x14ac:dyDescent="0.3">
      <c r="O2592" s="52"/>
      <c r="P2592" s="52"/>
    </row>
    <row r="2593" spans="15:16" x14ac:dyDescent="0.3">
      <c r="O2593" s="52"/>
      <c r="P2593" s="52"/>
    </row>
    <row r="2594" spans="15:16" x14ac:dyDescent="0.3">
      <c r="O2594" s="52"/>
      <c r="P2594" s="52"/>
    </row>
    <row r="2595" spans="15:16" x14ac:dyDescent="0.3">
      <c r="O2595" s="52"/>
      <c r="P2595" s="52"/>
    </row>
    <row r="2596" spans="15:16" x14ac:dyDescent="0.3">
      <c r="O2596" s="52"/>
      <c r="P2596" s="52"/>
    </row>
    <row r="2597" spans="15:16" x14ac:dyDescent="0.3">
      <c r="O2597" s="52"/>
      <c r="P2597" s="52"/>
    </row>
    <row r="2598" spans="15:16" x14ac:dyDescent="0.3">
      <c r="O2598" s="52"/>
      <c r="P2598" s="52"/>
    </row>
    <row r="2599" spans="15:16" x14ac:dyDescent="0.3">
      <c r="O2599" s="52"/>
      <c r="P2599" s="52"/>
    </row>
    <row r="2600" spans="15:16" x14ac:dyDescent="0.3">
      <c r="O2600" s="52"/>
      <c r="P2600" s="52"/>
    </row>
    <row r="2601" spans="15:16" x14ac:dyDescent="0.3">
      <c r="O2601" s="52"/>
      <c r="P2601" s="52"/>
    </row>
    <row r="2602" spans="15:16" x14ac:dyDescent="0.3">
      <c r="O2602" s="52"/>
      <c r="P2602" s="52"/>
    </row>
    <row r="2603" spans="15:16" x14ac:dyDescent="0.3">
      <c r="O2603" s="52"/>
      <c r="P2603" s="52"/>
    </row>
    <row r="2604" spans="15:16" x14ac:dyDescent="0.3">
      <c r="O2604" s="52"/>
      <c r="P2604" s="52"/>
    </row>
    <row r="2605" spans="15:16" x14ac:dyDescent="0.3">
      <c r="O2605" s="52"/>
      <c r="P2605" s="52"/>
    </row>
    <row r="2606" spans="15:16" x14ac:dyDescent="0.3">
      <c r="O2606" s="52"/>
      <c r="P2606" s="52"/>
    </row>
    <row r="2607" spans="15:16" x14ac:dyDescent="0.3">
      <c r="O2607" s="52"/>
      <c r="P2607" s="52"/>
    </row>
    <row r="2608" spans="15:16" x14ac:dyDescent="0.3">
      <c r="O2608" s="52"/>
      <c r="P2608" s="52"/>
    </row>
    <row r="2609" spans="15:16" x14ac:dyDescent="0.3">
      <c r="O2609" s="52"/>
      <c r="P2609" s="52"/>
    </row>
    <row r="2610" spans="15:16" x14ac:dyDescent="0.3">
      <c r="O2610" s="52"/>
      <c r="P2610" s="52"/>
    </row>
    <row r="2611" spans="15:16" x14ac:dyDescent="0.3">
      <c r="O2611" s="52"/>
      <c r="P2611" s="52"/>
    </row>
    <row r="2612" spans="15:16" x14ac:dyDescent="0.3">
      <c r="O2612" s="52"/>
      <c r="P2612" s="52"/>
    </row>
    <row r="2613" spans="15:16" x14ac:dyDescent="0.3">
      <c r="O2613" s="52"/>
      <c r="P2613" s="52"/>
    </row>
    <row r="2614" spans="15:16" x14ac:dyDescent="0.3">
      <c r="O2614" s="52"/>
      <c r="P2614" s="52"/>
    </row>
    <row r="2615" spans="15:16" x14ac:dyDescent="0.3">
      <c r="O2615" s="52"/>
      <c r="P2615" s="52"/>
    </row>
    <row r="2616" spans="15:16" x14ac:dyDescent="0.3">
      <c r="O2616" s="52"/>
      <c r="P2616" s="52"/>
    </row>
    <row r="2617" spans="15:16" x14ac:dyDescent="0.3">
      <c r="O2617" s="52"/>
      <c r="P2617" s="52"/>
    </row>
    <row r="2618" spans="15:16" x14ac:dyDescent="0.3">
      <c r="O2618" s="52"/>
      <c r="P2618" s="52"/>
    </row>
    <row r="2619" spans="15:16" x14ac:dyDescent="0.3">
      <c r="O2619" s="52"/>
      <c r="P2619" s="52"/>
    </row>
    <row r="2620" spans="15:16" x14ac:dyDescent="0.3">
      <c r="O2620" s="52"/>
      <c r="P2620" s="52"/>
    </row>
    <row r="2621" spans="15:16" x14ac:dyDescent="0.3">
      <c r="O2621" s="52"/>
      <c r="P2621" s="52"/>
    </row>
    <row r="2622" spans="15:16" x14ac:dyDescent="0.3">
      <c r="O2622" s="52"/>
      <c r="P2622" s="52"/>
    </row>
    <row r="2623" spans="15:16" x14ac:dyDescent="0.3">
      <c r="O2623" s="52"/>
      <c r="P2623" s="52"/>
    </row>
    <row r="2624" spans="15:16" x14ac:dyDescent="0.3">
      <c r="O2624" s="52"/>
      <c r="P2624" s="52"/>
    </row>
    <row r="2625" spans="15:16" x14ac:dyDescent="0.3">
      <c r="O2625" s="52"/>
      <c r="P2625" s="52"/>
    </row>
    <row r="2626" spans="15:16" x14ac:dyDescent="0.3">
      <c r="O2626" s="52"/>
      <c r="P2626" s="52"/>
    </row>
    <row r="2627" spans="15:16" x14ac:dyDescent="0.3">
      <c r="O2627" s="52"/>
      <c r="P2627" s="52"/>
    </row>
    <row r="2628" spans="15:16" x14ac:dyDescent="0.3">
      <c r="O2628" s="52"/>
      <c r="P2628" s="52"/>
    </row>
    <row r="2629" spans="15:16" x14ac:dyDescent="0.3">
      <c r="O2629" s="52"/>
      <c r="P2629" s="52"/>
    </row>
    <row r="2630" spans="15:16" x14ac:dyDescent="0.3">
      <c r="O2630" s="52"/>
      <c r="P2630" s="52"/>
    </row>
    <row r="2631" spans="15:16" x14ac:dyDescent="0.3">
      <c r="O2631" s="52"/>
      <c r="P2631" s="52"/>
    </row>
    <row r="2632" spans="15:16" x14ac:dyDescent="0.3">
      <c r="O2632" s="52"/>
      <c r="P2632" s="52"/>
    </row>
    <row r="2633" spans="15:16" x14ac:dyDescent="0.3">
      <c r="O2633" s="52"/>
      <c r="P2633" s="52"/>
    </row>
    <row r="2634" spans="15:16" x14ac:dyDescent="0.3">
      <c r="O2634" s="52"/>
      <c r="P2634" s="52"/>
    </row>
    <row r="2635" spans="15:16" x14ac:dyDescent="0.3">
      <c r="O2635" s="52"/>
      <c r="P2635" s="52"/>
    </row>
    <row r="2636" spans="15:16" x14ac:dyDescent="0.3">
      <c r="O2636" s="52"/>
      <c r="P2636" s="52"/>
    </row>
    <row r="2637" spans="15:16" x14ac:dyDescent="0.3">
      <c r="O2637" s="52"/>
      <c r="P2637" s="52"/>
    </row>
    <row r="2638" spans="15:16" x14ac:dyDescent="0.3">
      <c r="O2638" s="52"/>
      <c r="P2638" s="52"/>
    </row>
    <row r="2639" spans="15:16" x14ac:dyDescent="0.3">
      <c r="O2639" s="52"/>
      <c r="P2639" s="52"/>
    </row>
    <row r="2640" spans="15:16" x14ac:dyDescent="0.3">
      <c r="O2640" s="52"/>
      <c r="P2640" s="52"/>
    </row>
    <row r="2641" spans="15:16" x14ac:dyDescent="0.3">
      <c r="O2641" s="52"/>
      <c r="P2641" s="52"/>
    </row>
    <row r="2642" spans="15:16" x14ac:dyDescent="0.3">
      <c r="O2642" s="52"/>
      <c r="P2642" s="52"/>
    </row>
    <row r="2643" spans="15:16" x14ac:dyDescent="0.3">
      <c r="O2643" s="52"/>
      <c r="P2643" s="52"/>
    </row>
    <row r="2644" spans="15:16" x14ac:dyDescent="0.3">
      <c r="O2644" s="52"/>
      <c r="P2644" s="52"/>
    </row>
    <row r="2645" spans="15:16" x14ac:dyDescent="0.3">
      <c r="O2645" s="52"/>
      <c r="P2645" s="52"/>
    </row>
    <row r="2646" spans="15:16" x14ac:dyDescent="0.3">
      <c r="O2646" s="52"/>
      <c r="P2646" s="52"/>
    </row>
    <row r="2647" spans="15:16" x14ac:dyDescent="0.3">
      <c r="O2647" s="52"/>
      <c r="P2647" s="52"/>
    </row>
    <row r="2648" spans="15:16" x14ac:dyDescent="0.3">
      <c r="O2648" s="52"/>
      <c r="P2648" s="52"/>
    </row>
    <row r="2649" spans="15:16" x14ac:dyDescent="0.3">
      <c r="O2649" s="52"/>
      <c r="P2649" s="52"/>
    </row>
    <row r="2650" spans="15:16" x14ac:dyDescent="0.3">
      <c r="O2650" s="52"/>
      <c r="P2650" s="52"/>
    </row>
    <row r="2651" spans="15:16" x14ac:dyDescent="0.3">
      <c r="O2651" s="52"/>
      <c r="P2651" s="52"/>
    </row>
    <row r="2652" spans="15:16" x14ac:dyDescent="0.3">
      <c r="O2652" s="52"/>
      <c r="P2652" s="52"/>
    </row>
    <row r="2653" spans="15:16" x14ac:dyDescent="0.3">
      <c r="O2653" s="52"/>
      <c r="P2653" s="52"/>
    </row>
    <row r="2654" spans="15:16" x14ac:dyDescent="0.3">
      <c r="O2654" s="52"/>
      <c r="P2654" s="52"/>
    </row>
    <row r="2655" spans="15:16" x14ac:dyDescent="0.3">
      <c r="O2655" s="52"/>
      <c r="P2655" s="52"/>
    </row>
    <row r="2656" spans="15:16" x14ac:dyDescent="0.3">
      <c r="O2656" s="52"/>
      <c r="P2656" s="52"/>
    </row>
    <row r="2657" spans="15:16" x14ac:dyDescent="0.3">
      <c r="O2657" s="52"/>
      <c r="P2657" s="52"/>
    </row>
    <row r="2658" spans="15:16" x14ac:dyDescent="0.3">
      <c r="O2658" s="52"/>
      <c r="P2658" s="52"/>
    </row>
    <row r="2659" spans="15:16" x14ac:dyDescent="0.3">
      <c r="O2659" s="52"/>
      <c r="P2659" s="52"/>
    </row>
    <row r="2660" spans="15:16" x14ac:dyDescent="0.3">
      <c r="O2660" s="52"/>
      <c r="P2660" s="52"/>
    </row>
    <row r="2661" spans="15:16" x14ac:dyDescent="0.3">
      <c r="O2661" s="52"/>
      <c r="P2661" s="52"/>
    </row>
    <row r="2662" spans="15:16" x14ac:dyDescent="0.3">
      <c r="O2662" s="52"/>
      <c r="P2662" s="52"/>
    </row>
    <row r="2663" spans="15:16" x14ac:dyDescent="0.3">
      <c r="O2663" s="52"/>
      <c r="P2663" s="52"/>
    </row>
    <row r="2664" spans="15:16" x14ac:dyDescent="0.3">
      <c r="O2664" s="52"/>
      <c r="P2664" s="52"/>
    </row>
    <row r="2665" spans="15:16" x14ac:dyDescent="0.3">
      <c r="O2665" s="52"/>
      <c r="P2665" s="52"/>
    </row>
    <row r="2666" spans="15:16" x14ac:dyDescent="0.3">
      <c r="O2666" s="52"/>
      <c r="P2666" s="52"/>
    </row>
    <row r="2667" spans="15:16" x14ac:dyDescent="0.3">
      <c r="O2667" s="52"/>
      <c r="P2667" s="52"/>
    </row>
    <row r="2668" spans="15:16" x14ac:dyDescent="0.3">
      <c r="O2668" s="52"/>
      <c r="P2668" s="52"/>
    </row>
    <row r="2669" spans="15:16" x14ac:dyDescent="0.3">
      <c r="O2669" s="52"/>
      <c r="P2669" s="52"/>
    </row>
    <row r="2670" spans="15:16" x14ac:dyDescent="0.3">
      <c r="O2670" s="52"/>
      <c r="P2670" s="52"/>
    </row>
    <row r="2671" spans="15:16" x14ac:dyDescent="0.3">
      <c r="O2671" s="52"/>
      <c r="P2671" s="52"/>
    </row>
    <row r="2672" spans="15:16" x14ac:dyDescent="0.3">
      <c r="O2672" s="52"/>
      <c r="P2672" s="52"/>
    </row>
    <row r="2673" spans="15:16" x14ac:dyDescent="0.3">
      <c r="O2673" s="52"/>
      <c r="P2673" s="52"/>
    </row>
    <row r="2674" spans="15:16" x14ac:dyDescent="0.3">
      <c r="O2674" s="52"/>
      <c r="P2674" s="52"/>
    </row>
    <row r="2675" spans="15:16" x14ac:dyDescent="0.3">
      <c r="O2675" s="52"/>
      <c r="P2675" s="52"/>
    </row>
    <row r="2676" spans="15:16" x14ac:dyDescent="0.3">
      <c r="O2676" s="52"/>
      <c r="P2676" s="52"/>
    </row>
    <row r="2677" spans="15:16" x14ac:dyDescent="0.3">
      <c r="O2677" s="52"/>
      <c r="P2677" s="52"/>
    </row>
    <row r="2678" spans="15:16" x14ac:dyDescent="0.3">
      <c r="O2678" s="52"/>
      <c r="P2678" s="52"/>
    </row>
    <row r="2679" spans="15:16" x14ac:dyDescent="0.3">
      <c r="O2679" s="52"/>
      <c r="P2679" s="52"/>
    </row>
    <row r="2680" spans="15:16" x14ac:dyDescent="0.3">
      <c r="O2680" s="52"/>
      <c r="P2680" s="52"/>
    </row>
    <row r="2681" spans="15:16" x14ac:dyDescent="0.3">
      <c r="O2681" s="52"/>
      <c r="P2681" s="52"/>
    </row>
    <row r="2682" spans="15:16" x14ac:dyDescent="0.3">
      <c r="O2682" s="52"/>
      <c r="P2682" s="52"/>
    </row>
    <row r="2683" spans="15:16" x14ac:dyDescent="0.3">
      <c r="O2683" s="52"/>
      <c r="P2683" s="52"/>
    </row>
    <row r="2684" spans="15:16" x14ac:dyDescent="0.3">
      <c r="O2684" s="52"/>
      <c r="P2684" s="52"/>
    </row>
    <row r="2685" spans="15:16" x14ac:dyDescent="0.3">
      <c r="O2685" s="52"/>
      <c r="P2685" s="52"/>
    </row>
    <row r="2686" spans="15:16" x14ac:dyDescent="0.3">
      <c r="O2686" s="52"/>
      <c r="P2686" s="52"/>
    </row>
    <row r="2687" spans="15:16" x14ac:dyDescent="0.3">
      <c r="O2687" s="52"/>
      <c r="P2687" s="52"/>
    </row>
    <row r="2688" spans="15:16" x14ac:dyDescent="0.3">
      <c r="O2688" s="52"/>
      <c r="P2688" s="52"/>
    </row>
    <row r="2689" spans="15:16" x14ac:dyDescent="0.3">
      <c r="O2689" s="52"/>
      <c r="P2689" s="52"/>
    </row>
    <row r="2690" spans="15:16" x14ac:dyDescent="0.3">
      <c r="O2690" s="52"/>
      <c r="P2690" s="52"/>
    </row>
    <row r="2691" spans="15:16" x14ac:dyDescent="0.3">
      <c r="O2691" s="52"/>
      <c r="P2691" s="52"/>
    </row>
    <row r="2692" spans="15:16" x14ac:dyDescent="0.3">
      <c r="O2692" s="52"/>
      <c r="P2692" s="52"/>
    </row>
    <row r="2693" spans="15:16" x14ac:dyDescent="0.3">
      <c r="O2693" s="52"/>
      <c r="P2693" s="52"/>
    </row>
    <row r="2694" spans="15:16" x14ac:dyDescent="0.3">
      <c r="O2694" s="52"/>
      <c r="P2694" s="52"/>
    </row>
    <row r="2695" spans="15:16" x14ac:dyDescent="0.3">
      <c r="O2695" s="52"/>
      <c r="P2695" s="52"/>
    </row>
    <row r="2696" spans="15:16" x14ac:dyDescent="0.3">
      <c r="O2696" s="52"/>
      <c r="P2696" s="52"/>
    </row>
    <row r="2697" spans="15:16" x14ac:dyDescent="0.3">
      <c r="O2697" s="52"/>
      <c r="P2697" s="52"/>
    </row>
    <row r="2698" spans="15:16" x14ac:dyDescent="0.3">
      <c r="O2698" s="52"/>
      <c r="P2698" s="52"/>
    </row>
    <row r="2699" spans="15:16" x14ac:dyDescent="0.3">
      <c r="O2699" s="52"/>
      <c r="P2699" s="52"/>
    </row>
    <row r="2700" spans="15:16" x14ac:dyDescent="0.3">
      <c r="O2700" s="52"/>
      <c r="P2700" s="52"/>
    </row>
    <row r="2701" spans="15:16" x14ac:dyDescent="0.3">
      <c r="O2701" s="52"/>
      <c r="P2701" s="52"/>
    </row>
    <row r="2702" spans="15:16" x14ac:dyDescent="0.3">
      <c r="O2702" s="52"/>
      <c r="P2702" s="52"/>
    </row>
    <row r="2703" spans="15:16" x14ac:dyDescent="0.3">
      <c r="O2703" s="52"/>
      <c r="P2703" s="52"/>
    </row>
    <row r="2704" spans="15:16" x14ac:dyDescent="0.3">
      <c r="O2704" s="52"/>
      <c r="P2704" s="52"/>
    </row>
    <row r="2705" spans="15:16" x14ac:dyDescent="0.3">
      <c r="O2705" s="52"/>
      <c r="P2705" s="52"/>
    </row>
    <row r="2706" spans="15:16" x14ac:dyDescent="0.3">
      <c r="O2706" s="52"/>
      <c r="P2706" s="52"/>
    </row>
    <row r="2707" spans="15:16" x14ac:dyDescent="0.3">
      <c r="O2707" s="52"/>
      <c r="P2707" s="52"/>
    </row>
    <row r="2708" spans="15:16" x14ac:dyDescent="0.3">
      <c r="O2708" s="52"/>
      <c r="P2708" s="52"/>
    </row>
    <row r="2709" spans="15:16" x14ac:dyDescent="0.3">
      <c r="O2709" s="52"/>
      <c r="P2709" s="52"/>
    </row>
    <row r="2710" spans="15:16" x14ac:dyDescent="0.3">
      <c r="O2710" s="52"/>
      <c r="P2710" s="52"/>
    </row>
    <row r="2711" spans="15:16" x14ac:dyDescent="0.3">
      <c r="O2711" s="52"/>
      <c r="P2711" s="52"/>
    </row>
    <row r="2712" spans="15:16" x14ac:dyDescent="0.3">
      <c r="O2712" s="52"/>
      <c r="P2712" s="52"/>
    </row>
    <row r="2713" spans="15:16" x14ac:dyDescent="0.3">
      <c r="O2713" s="52"/>
      <c r="P2713" s="52"/>
    </row>
    <row r="2714" spans="15:16" x14ac:dyDescent="0.3">
      <c r="O2714" s="52"/>
      <c r="P2714" s="52"/>
    </row>
    <row r="2715" spans="15:16" x14ac:dyDescent="0.3">
      <c r="O2715" s="52"/>
      <c r="P2715" s="52"/>
    </row>
    <row r="2716" spans="15:16" x14ac:dyDescent="0.3">
      <c r="O2716" s="52"/>
      <c r="P2716" s="52"/>
    </row>
    <row r="2717" spans="15:16" x14ac:dyDescent="0.3">
      <c r="O2717" s="52"/>
      <c r="P2717" s="52"/>
    </row>
    <row r="2718" spans="15:16" x14ac:dyDescent="0.3">
      <c r="O2718" s="52"/>
      <c r="P2718" s="52"/>
    </row>
    <row r="2719" spans="15:16" x14ac:dyDescent="0.3">
      <c r="O2719" s="52"/>
      <c r="P2719" s="52"/>
    </row>
    <row r="2720" spans="15:16" x14ac:dyDescent="0.3">
      <c r="O2720" s="52"/>
      <c r="P2720" s="52"/>
    </row>
    <row r="2721" spans="15:16" x14ac:dyDescent="0.3">
      <c r="O2721" s="52"/>
      <c r="P2721" s="52"/>
    </row>
    <row r="2722" spans="15:16" x14ac:dyDescent="0.3">
      <c r="O2722" s="52"/>
      <c r="P2722" s="52"/>
    </row>
    <row r="2723" spans="15:16" x14ac:dyDescent="0.3">
      <c r="O2723" s="52"/>
      <c r="P2723" s="52"/>
    </row>
    <row r="2724" spans="15:16" x14ac:dyDescent="0.3">
      <c r="O2724" s="52"/>
      <c r="P2724" s="52"/>
    </row>
    <row r="2725" spans="15:16" x14ac:dyDescent="0.3">
      <c r="O2725" s="52"/>
      <c r="P2725" s="52"/>
    </row>
    <row r="2726" spans="15:16" x14ac:dyDescent="0.3">
      <c r="O2726" s="52"/>
      <c r="P2726" s="52"/>
    </row>
    <row r="2727" spans="15:16" x14ac:dyDescent="0.3">
      <c r="O2727" s="52"/>
      <c r="P2727" s="52"/>
    </row>
    <row r="2728" spans="15:16" x14ac:dyDescent="0.3">
      <c r="O2728" s="52"/>
      <c r="P2728" s="52"/>
    </row>
    <row r="2729" spans="15:16" x14ac:dyDescent="0.3">
      <c r="O2729" s="52"/>
      <c r="P2729" s="52"/>
    </row>
    <row r="2730" spans="15:16" x14ac:dyDescent="0.3">
      <c r="O2730" s="52"/>
      <c r="P2730" s="52"/>
    </row>
    <row r="2731" spans="15:16" x14ac:dyDescent="0.3">
      <c r="O2731" s="52"/>
      <c r="P2731" s="52"/>
    </row>
    <row r="2732" spans="15:16" x14ac:dyDescent="0.3">
      <c r="O2732" s="52"/>
      <c r="P2732" s="52"/>
    </row>
    <row r="2733" spans="15:16" x14ac:dyDescent="0.3">
      <c r="O2733" s="52"/>
      <c r="P2733" s="52"/>
    </row>
    <row r="2734" spans="15:16" x14ac:dyDescent="0.3">
      <c r="O2734" s="52"/>
      <c r="P2734" s="52"/>
    </row>
    <row r="2735" spans="15:16" x14ac:dyDescent="0.3">
      <c r="O2735" s="52"/>
      <c r="P2735" s="52"/>
    </row>
    <row r="2736" spans="15:16" x14ac:dyDescent="0.3">
      <c r="O2736" s="52"/>
      <c r="P2736" s="52"/>
    </row>
    <row r="2737" spans="15:16" x14ac:dyDescent="0.3">
      <c r="O2737" s="52"/>
      <c r="P2737" s="52"/>
    </row>
    <row r="2738" spans="15:16" x14ac:dyDescent="0.3">
      <c r="O2738" s="52"/>
      <c r="P2738" s="52"/>
    </row>
    <row r="2739" spans="15:16" x14ac:dyDescent="0.3">
      <c r="O2739" s="52"/>
      <c r="P2739" s="52"/>
    </row>
    <row r="2740" spans="15:16" x14ac:dyDescent="0.3">
      <c r="O2740" s="52"/>
      <c r="P2740" s="52"/>
    </row>
    <row r="2741" spans="15:16" x14ac:dyDescent="0.3">
      <c r="O2741" s="52"/>
      <c r="P2741" s="52"/>
    </row>
    <row r="2742" spans="15:16" x14ac:dyDescent="0.3">
      <c r="O2742" s="52"/>
      <c r="P2742" s="52"/>
    </row>
    <row r="2743" spans="15:16" x14ac:dyDescent="0.3">
      <c r="O2743" s="52"/>
      <c r="P2743" s="52"/>
    </row>
    <row r="2744" spans="15:16" x14ac:dyDescent="0.3">
      <c r="O2744" s="52"/>
      <c r="P2744" s="52"/>
    </row>
    <row r="2745" spans="15:16" x14ac:dyDescent="0.3">
      <c r="O2745" s="52"/>
      <c r="P2745" s="52"/>
    </row>
    <row r="2746" spans="15:16" x14ac:dyDescent="0.3">
      <c r="O2746" s="52"/>
      <c r="P2746" s="52"/>
    </row>
    <row r="2747" spans="15:16" x14ac:dyDescent="0.3">
      <c r="O2747" s="52"/>
      <c r="P2747" s="52"/>
    </row>
    <row r="2748" spans="15:16" x14ac:dyDescent="0.3">
      <c r="O2748" s="52"/>
      <c r="P2748" s="52"/>
    </row>
    <row r="2749" spans="15:16" x14ac:dyDescent="0.3">
      <c r="O2749" s="52"/>
      <c r="P2749" s="52"/>
    </row>
    <row r="2750" spans="15:16" x14ac:dyDescent="0.3">
      <c r="O2750" s="52"/>
      <c r="P2750" s="52"/>
    </row>
    <row r="2751" spans="15:16" x14ac:dyDescent="0.3">
      <c r="O2751" s="52"/>
      <c r="P2751" s="52"/>
    </row>
    <row r="2752" spans="15:16" x14ac:dyDescent="0.3">
      <c r="O2752" s="52"/>
      <c r="P2752" s="52"/>
    </row>
    <row r="2753" spans="15:16" x14ac:dyDescent="0.3">
      <c r="O2753" s="52"/>
      <c r="P2753" s="52"/>
    </row>
    <row r="2754" spans="15:16" x14ac:dyDescent="0.3">
      <c r="O2754" s="52"/>
      <c r="P2754" s="52"/>
    </row>
    <row r="2755" spans="15:16" x14ac:dyDescent="0.3">
      <c r="O2755" s="52"/>
      <c r="P2755" s="52"/>
    </row>
    <row r="2756" spans="15:16" x14ac:dyDescent="0.3">
      <c r="O2756" s="52"/>
      <c r="P2756" s="52"/>
    </row>
    <row r="2757" spans="15:16" x14ac:dyDescent="0.3">
      <c r="O2757" s="52"/>
      <c r="P2757" s="52"/>
    </row>
    <row r="2758" spans="15:16" x14ac:dyDescent="0.3">
      <c r="O2758" s="52"/>
      <c r="P2758" s="52"/>
    </row>
    <row r="2759" spans="15:16" x14ac:dyDescent="0.3">
      <c r="O2759" s="52"/>
      <c r="P2759" s="52"/>
    </row>
    <row r="2760" spans="15:16" x14ac:dyDescent="0.3">
      <c r="O2760" s="52"/>
      <c r="P2760" s="52"/>
    </row>
    <row r="2761" spans="15:16" x14ac:dyDescent="0.3">
      <c r="O2761" s="52"/>
      <c r="P2761" s="52"/>
    </row>
    <row r="2762" spans="15:16" x14ac:dyDescent="0.3">
      <c r="O2762" s="52"/>
      <c r="P2762" s="52"/>
    </row>
    <row r="2763" spans="15:16" x14ac:dyDescent="0.3">
      <c r="O2763" s="52"/>
      <c r="P2763" s="52"/>
    </row>
    <row r="2764" spans="15:16" x14ac:dyDescent="0.3">
      <c r="O2764" s="52"/>
      <c r="P2764" s="52"/>
    </row>
    <row r="2765" spans="15:16" x14ac:dyDescent="0.3">
      <c r="O2765" s="52"/>
      <c r="P2765" s="52"/>
    </row>
    <row r="2766" spans="15:16" x14ac:dyDescent="0.3">
      <c r="O2766" s="52"/>
      <c r="P2766" s="52"/>
    </row>
    <row r="2767" spans="15:16" x14ac:dyDescent="0.3">
      <c r="O2767" s="52"/>
      <c r="P2767" s="52"/>
    </row>
    <row r="2768" spans="15:16" x14ac:dyDescent="0.3">
      <c r="O2768" s="52"/>
      <c r="P2768" s="52"/>
    </row>
    <row r="2769" spans="15:16" x14ac:dyDescent="0.3">
      <c r="O2769" s="52"/>
      <c r="P2769" s="52"/>
    </row>
    <row r="2770" spans="15:16" x14ac:dyDescent="0.3">
      <c r="O2770" s="52"/>
      <c r="P2770" s="52"/>
    </row>
    <row r="2771" spans="15:16" x14ac:dyDescent="0.3">
      <c r="O2771" s="52"/>
      <c r="P2771" s="52"/>
    </row>
    <row r="2772" spans="15:16" x14ac:dyDescent="0.3">
      <c r="O2772" s="52"/>
      <c r="P2772" s="52"/>
    </row>
    <row r="2773" spans="15:16" x14ac:dyDescent="0.3">
      <c r="O2773" s="52"/>
      <c r="P2773" s="52"/>
    </row>
    <row r="2774" spans="15:16" x14ac:dyDescent="0.3">
      <c r="O2774" s="52"/>
      <c r="P2774" s="52"/>
    </row>
    <row r="2775" spans="15:16" x14ac:dyDescent="0.3">
      <c r="O2775" s="52"/>
      <c r="P2775" s="52"/>
    </row>
    <row r="2776" spans="15:16" x14ac:dyDescent="0.3">
      <c r="O2776" s="52"/>
      <c r="P2776" s="52"/>
    </row>
    <row r="2777" spans="15:16" x14ac:dyDescent="0.3">
      <c r="O2777" s="52"/>
      <c r="P2777" s="52"/>
    </row>
    <row r="2778" spans="15:16" x14ac:dyDescent="0.3">
      <c r="O2778" s="52"/>
      <c r="P2778" s="52"/>
    </row>
    <row r="2779" spans="15:16" x14ac:dyDescent="0.3">
      <c r="O2779" s="52"/>
      <c r="P2779" s="52"/>
    </row>
    <row r="2780" spans="15:16" x14ac:dyDescent="0.3">
      <c r="O2780" s="52"/>
      <c r="P2780" s="52"/>
    </row>
    <row r="2781" spans="15:16" x14ac:dyDescent="0.3">
      <c r="O2781" s="52"/>
      <c r="P2781" s="52"/>
    </row>
    <row r="2782" spans="15:16" x14ac:dyDescent="0.3">
      <c r="O2782" s="52"/>
      <c r="P2782" s="52"/>
    </row>
    <row r="2783" spans="15:16" x14ac:dyDescent="0.3">
      <c r="O2783" s="52"/>
      <c r="P2783" s="52"/>
    </row>
    <row r="2784" spans="15:16" x14ac:dyDescent="0.3">
      <c r="O2784" s="52"/>
      <c r="P2784" s="52"/>
    </row>
    <row r="2785" spans="15:16" x14ac:dyDescent="0.3">
      <c r="O2785" s="52"/>
      <c r="P2785" s="52"/>
    </row>
    <row r="2786" spans="15:16" x14ac:dyDescent="0.3">
      <c r="O2786" s="52"/>
      <c r="P2786" s="52"/>
    </row>
    <row r="2787" spans="15:16" x14ac:dyDescent="0.3">
      <c r="O2787" s="52"/>
      <c r="P2787" s="52"/>
    </row>
    <row r="2788" spans="15:16" x14ac:dyDescent="0.3">
      <c r="O2788" s="52"/>
      <c r="P2788" s="52"/>
    </row>
    <row r="2789" spans="15:16" x14ac:dyDescent="0.3">
      <c r="O2789" s="52"/>
      <c r="P2789" s="52"/>
    </row>
    <row r="2790" spans="15:16" x14ac:dyDescent="0.3">
      <c r="O2790" s="52"/>
      <c r="P2790" s="52"/>
    </row>
    <row r="2791" spans="15:16" x14ac:dyDescent="0.3">
      <c r="O2791" s="52"/>
      <c r="P2791" s="52"/>
    </row>
    <row r="2792" spans="15:16" x14ac:dyDescent="0.3">
      <c r="O2792" s="52"/>
      <c r="P2792" s="52"/>
    </row>
    <row r="2793" spans="15:16" x14ac:dyDescent="0.3">
      <c r="O2793" s="52"/>
      <c r="P2793" s="52"/>
    </row>
    <row r="2794" spans="15:16" x14ac:dyDescent="0.3">
      <c r="O2794" s="52"/>
      <c r="P2794" s="52"/>
    </row>
    <row r="2795" spans="15:16" x14ac:dyDescent="0.3">
      <c r="O2795" s="52"/>
      <c r="P2795" s="52"/>
    </row>
    <row r="2796" spans="15:16" x14ac:dyDescent="0.3">
      <c r="O2796" s="52"/>
      <c r="P2796" s="52"/>
    </row>
    <row r="2797" spans="15:16" x14ac:dyDescent="0.3">
      <c r="O2797" s="52"/>
      <c r="P2797" s="52"/>
    </row>
    <row r="2798" spans="15:16" x14ac:dyDescent="0.3">
      <c r="O2798" s="52"/>
      <c r="P2798" s="52"/>
    </row>
    <row r="2799" spans="15:16" x14ac:dyDescent="0.3">
      <c r="O2799" s="52"/>
      <c r="P2799" s="52"/>
    </row>
    <row r="2800" spans="15:16" x14ac:dyDescent="0.3">
      <c r="O2800" s="52"/>
      <c r="P2800" s="52"/>
    </row>
    <row r="2801" spans="15:16" x14ac:dyDescent="0.3">
      <c r="O2801" s="52"/>
      <c r="P2801" s="52"/>
    </row>
    <row r="2802" spans="15:16" x14ac:dyDescent="0.3">
      <c r="O2802" s="52"/>
      <c r="P2802" s="52"/>
    </row>
    <row r="2803" spans="15:16" x14ac:dyDescent="0.3">
      <c r="O2803" s="52"/>
      <c r="P2803" s="52"/>
    </row>
    <row r="2804" spans="15:16" x14ac:dyDescent="0.3">
      <c r="O2804" s="52"/>
      <c r="P2804" s="52"/>
    </row>
    <row r="2805" spans="15:16" x14ac:dyDescent="0.3">
      <c r="O2805" s="52"/>
      <c r="P2805" s="52"/>
    </row>
    <row r="2806" spans="15:16" x14ac:dyDescent="0.3">
      <c r="O2806" s="52"/>
      <c r="P2806" s="52"/>
    </row>
    <row r="2807" spans="15:16" x14ac:dyDescent="0.3">
      <c r="O2807" s="52"/>
      <c r="P2807" s="52"/>
    </row>
    <row r="2808" spans="15:16" x14ac:dyDescent="0.3">
      <c r="O2808" s="52"/>
      <c r="P2808" s="52"/>
    </row>
    <row r="2809" spans="15:16" x14ac:dyDescent="0.3">
      <c r="O2809" s="52"/>
      <c r="P2809" s="52"/>
    </row>
    <row r="2810" spans="15:16" x14ac:dyDescent="0.3">
      <c r="O2810" s="52"/>
      <c r="P2810" s="52"/>
    </row>
    <row r="2811" spans="15:16" x14ac:dyDescent="0.3">
      <c r="O2811" s="52"/>
      <c r="P2811" s="52"/>
    </row>
    <row r="2812" spans="15:16" x14ac:dyDescent="0.3">
      <c r="O2812" s="52"/>
      <c r="P2812" s="52"/>
    </row>
    <row r="2813" spans="15:16" x14ac:dyDescent="0.3">
      <c r="O2813" s="52"/>
      <c r="P2813" s="52"/>
    </row>
    <row r="2814" spans="15:16" x14ac:dyDescent="0.3">
      <c r="O2814" s="52"/>
      <c r="P2814" s="52"/>
    </row>
    <row r="2815" spans="15:16" x14ac:dyDescent="0.3">
      <c r="O2815" s="52"/>
      <c r="P2815" s="52"/>
    </row>
    <row r="2816" spans="15:16" x14ac:dyDescent="0.3">
      <c r="O2816" s="52"/>
      <c r="P2816" s="52"/>
    </row>
    <row r="2817" spans="15:16" x14ac:dyDescent="0.3">
      <c r="O2817" s="52"/>
      <c r="P2817" s="52"/>
    </row>
    <row r="2818" spans="15:16" x14ac:dyDescent="0.3">
      <c r="O2818" s="52"/>
      <c r="P2818" s="52"/>
    </row>
    <row r="2819" spans="15:16" x14ac:dyDescent="0.3">
      <c r="O2819" s="52"/>
      <c r="P2819" s="52"/>
    </row>
    <row r="2820" spans="15:16" x14ac:dyDescent="0.3">
      <c r="O2820" s="52"/>
      <c r="P2820" s="52"/>
    </row>
    <row r="2821" spans="15:16" x14ac:dyDescent="0.3">
      <c r="O2821" s="52"/>
      <c r="P2821" s="52"/>
    </row>
    <row r="2822" spans="15:16" x14ac:dyDescent="0.3">
      <c r="O2822" s="52"/>
      <c r="P2822" s="52"/>
    </row>
    <row r="2823" spans="15:16" x14ac:dyDescent="0.3">
      <c r="O2823" s="52"/>
      <c r="P2823" s="52"/>
    </row>
    <row r="2824" spans="15:16" x14ac:dyDescent="0.3">
      <c r="O2824" s="52"/>
      <c r="P2824" s="52"/>
    </row>
    <row r="2825" spans="15:16" x14ac:dyDescent="0.3">
      <c r="O2825" s="52"/>
      <c r="P2825" s="52"/>
    </row>
    <row r="2826" spans="15:16" x14ac:dyDescent="0.3">
      <c r="O2826" s="52"/>
      <c r="P2826" s="52"/>
    </row>
    <row r="2827" spans="15:16" x14ac:dyDescent="0.3">
      <c r="O2827" s="52"/>
      <c r="P2827" s="52"/>
    </row>
    <row r="2828" spans="15:16" x14ac:dyDescent="0.3">
      <c r="O2828" s="52"/>
      <c r="P2828" s="52"/>
    </row>
    <row r="2829" spans="15:16" x14ac:dyDescent="0.3">
      <c r="O2829" s="52"/>
      <c r="P2829" s="52"/>
    </row>
    <row r="2830" spans="15:16" x14ac:dyDescent="0.3">
      <c r="O2830" s="52"/>
      <c r="P2830" s="52"/>
    </row>
    <row r="2831" spans="15:16" x14ac:dyDescent="0.3">
      <c r="O2831" s="52"/>
      <c r="P2831" s="52"/>
    </row>
    <row r="2832" spans="15:16" x14ac:dyDescent="0.3">
      <c r="O2832" s="52"/>
      <c r="P2832" s="52"/>
    </row>
    <row r="2833" spans="15:16" x14ac:dyDescent="0.3">
      <c r="O2833" s="52"/>
      <c r="P2833" s="52"/>
    </row>
    <row r="2834" spans="15:16" x14ac:dyDescent="0.3">
      <c r="O2834" s="52"/>
      <c r="P2834" s="52"/>
    </row>
    <row r="2835" spans="15:16" x14ac:dyDescent="0.3">
      <c r="O2835" s="52"/>
      <c r="P2835" s="52"/>
    </row>
    <row r="2836" spans="15:16" x14ac:dyDescent="0.3">
      <c r="O2836" s="52"/>
      <c r="P2836" s="52"/>
    </row>
    <row r="2837" spans="15:16" x14ac:dyDescent="0.3">
      <c r="O2837" s="52"/>
      <c r="P2837" s="52"/>
    </row>
    <row r="2838" spans="15:16" x14ac:dyDescent="0.3">
      <c r="O2838" s="52"/>
      <c r="P2838" s="52"/>
    </row>
    <row r="2839" spans="15:16" x14ac:dyDescent="0.3">
      <c r="O2839" s="52"/>
      <c r="P2839" s="52"/>
    </row>
    <row r="2840" spans="15:16" x14ac:dyDescent="0.3">
      <c r="O2840" s="52"/>
      <c r="P2840" s="52"/>
    </row>
    <row r="2841" spans="15:16" x14ac:dyDescent="0.3">
      <c r="O2841" s="52"/>
      <c r="P2841" s="52"/>
    </row>
    <row r="2842" spans="15:16" x14ac:dyDescent="0.3">
      <c r="O2842" s="52"/>
      <c r="P2842" s="52"/>
    </row>
    <row r="2843" spans="15:16" x14ac:dyDescent="0.3">
      <c r="O2843" s="52"/>
      <c r="P2843" s="52"/>
    </row>
    <row r="2844" spans="15:16" x14ac:dyDescent="0.3">
      <c r="O2844" s="52"/>
      <c r="P2844" s="52"/>
    </row>
    <row r="2845" spans="15:16" x14ac:dyDescent="0.3">
      <c r="O2845" s="52"/>
      <c r="P2845" s="52"/>
    </row>
    <row r="2846" spans="15:16" x14ac:dyDescent="0.3">
      <c r="O2846" s="52"/>
      <c r="P2846" s="52"/>
    </row>
    <row r="2847" spans="15:16" x14ac:dyDescent="0.3">
      <c r="O2847" s="52"/>
      <c r="P2847" s="52"/>
    </row>
    <row r="2848" spans="15:16" x14ac:dyDescent="0.3">
      <c r="O2848" s="52"/>
      <c r="P2848" s="52"/>
    </row>
    <row r="2849" spans="15:16" x14ac:dyDescent="0.3">
      <c r="O2849" s="52"/>
      <c r="P2849" s="52"/>
    </row>
    <row r="2850" spans="15:16" x14ac:dyDescent="0.3">
      <c r="O2850" s="52"/>
      <c r="P2850" s="52"/>
    </row>
    <row r="2851" spans="15:16" x14ac:dyDescent="0.3">
      <c r="O2851" s="52"/>
      <c r="P2851" s="52"/>
    </row>
    <row r="2852" spans="15:16" x14ac:dyDescent="0.3">
      <c r="O2852" s="52"/>
      <c r="P2852" s="52"/>
    </row>
    <row r="2853" spans="15:16" x14ac:dyDescent="0.3">
      <c r="O2853" s="52"/>
      <c r="P2853" s="52"/>
    </row>
    <row r="2854" spans="15:16" x14ac:dyDescent="0.3">
      <c r="O2854" s="52"/>
      <c r="P2854" s="52"/>
    </row>
    <row r="2855" spans="15:16" x14ac:dyDescent="0.3">
      <c r="O2855" s="52"/>
      <c r="P2855" s="52"/>
    </row>
    <row r="2856" spans="15:16" x14ac:dyDescent="0.3">
      <c r="O2856" s="52"/>
      <c r="P2856" s="52"/>
    </row>
    <row r="2857" spans="15:16" x14ac:dyDescent="0.3">
      <c r="O2857" s="52"/>
      <c r="P2857" s="52"/>
    </row>
    <row r="2858" spans="15:16" x14ac:dyDescent="0.3">
      <c r="O2858" s="52"/>
      <c r="P2858" s="52"/>
    </row>
    <row r="2859" spans="15:16" x14ac:dyDescent="0.3">
      <c r="O2859" s="52"/>
      <c r="P2859" s="52"/>
    </row>
    <row r="2860" spans="15:16" x14ac:dyDescent="0.3">
      <c r="O2860" s="52"/>
      <c r="P2860" s="52"/>
    </row>
    <row r="2861" spans="15:16" x14ac:dyDescent="0.3">
      <c r="O2861" s="52"/>
      <c r="P2861" s="52"/>
    </row>
    <row r="2862" spans="15:16" x14ac:dyDescent="0.3">
      <c r="O2862" s="52"/>
      <c r="P2862" s="52"/>
    </row>
    <row r="2863" spans="15:16" x14ac:dyDescent="0.3">
      <c r="O2863" s="52"/>
      <c r="P2863" s="52"/>
    </row>
    <row r="2864" spans="15:16" x14ac:dyDescent="0.3">
      <c r="O2864" s="52"/>
      <c r="P2864" s="52"/>
    </row>
    <row r="2865" spans="15:16" x14ac:dyDescent="0.3">
      <c r="O2865" s="52"/>
      <c r="P2865" s="52"/>
    </row>
    <row r="2866" spans="15:16" x14ac:dyDescent="0.3">
      <c r="O2866" s="52"/>
      <c r="P2866" s="52"/>
    </row>
    <row r="2867" spans="15:16" x14ac:dyDescent="0.3">
      <c r="O2867" s="52"/>
      <c r="P2867" s="52"/>
    </row>
    <row r="2868" spans="15:16" x14ac:dyDescent="0.3">
      <c r="O2868" s="52"/>
      <c r="P2868" s="52"/>
    </row>
    <row r="2869" spans="15:16" x14ac:dyDescent="0.3">
      <c r="O2869" s="52"/>
      <c r="P2869" s="52"/>
    </row>
    <row r="2870" spans="15:16" x14ac:dyDescent="0.3">
      <c r="O2870" s="52"/>
      <c r="P2870" s="52"/>
    </row>
    <row r="2871" spans="15:16" x14ac:dyDescent="0.3">
      <c r="O2871" s="52"/>
      <c r="P2871" s="52"/>
    </row>
    <row r="2872" spans="15:16" x14ac:dyDescent="0.3">
      <c r="O2872" s="52"/>
      <c r="P2872" s="52"/>
    </row>
    <row r="2873" spans="15:16" x14ac:dyDescent="0.3">
      <c r="O2873" s="52"/>
      <c r="P2873" s="52"/>
    </row>
    <row r="2874" spans="15:16" x14ac:dyDescent="0.3">
      <c r="O2874" s="52"/>
      <c r="P2874" s="52"/>
    </row>
    <row r="2875" spans="15:16" x14ac:dyDescent="0.3">
      <c r="O2875" s="52"/>
      <c r="P2875" s="52"/>
    </row>
    <row r="2876" spans="15:16" x14ac:dyDescent="0.3">
      <c r="O2876" s="52"/>
      <c r="P2876" s="52"/>
    </row>
    <row r="2877" spans="15:16" x14ac:dyDescent="0.3">
      <c r="O2877" s="52"/>
      <c r="P2877" s="52"/>
    </row>
    <row r="2878" spans="15:16" x14ac:dyDescent="0.3">
      <c r="O2878" s="52"/>
      <c r="P2878" s="52"/>
    </row>
    <row r="2879" spans="15:16" x14ac:dyDescent="0.3">
      <c r="O2879" s="52"/>
      <c r="P2879" s="52"/>
    </row>
    <row r="2880" spans="15:16" x14ac:dyDescent="0.3">
      <c r="O2880" s="52"/>
      <c r="P2880" s="52"/>
    </row>
    <row r="2881" spans="15:16" x14ac:dyDescent="0.3">
      <c r="O2881" s="52"/>
      <c r="P2881" s="52"/>
    </row>
    <row r="2882" spans="15:16" x14ac:dyDescent="0.3">
      <c r="O2882" s="52"/>
      <c r="P2882" s="52"/>
    </row>
    <row r="2883" spans="15:16" x14ac:dyDescent="0.3">
      <c r="O2883" s="52"/>
      <c r="P2883" s="52"/>
    </row>
    <row r="2884" spans="15:16" x14ac:dyDescent="0.3">
      <c r="O2884" s="52"/>
      <c r="P2884" s="52"/>
    </row>
    <row r="2885" spans="15:16" x14ac:dyDescent="0.3">
      <c r="O2885" s="52"/>
      <c r="P2885" s="52"/>
    </row>
    <row r="2886" spans="15:16" x14ac:dyDescent="0.3">
      <c r="O2886" s="52"/>
      <c r="P2886" s="52"/>
    </row>
    <row r="2887" spans="15:16" x14ac:dyDescent="0.3">
      <c r="O2887" s="52"/>
      <c r="P2887" s="52"/>
    </row>
    <row r="2888" spans="15:16" x14ac:dyDescent="0.3">
      <c r="O2888" s="52"/>
      <c r="P2888" s="52"/>
    </row>
    <row r="2889" spans="15:16" x14ac:dyDescent="0.3">
      <c r="O2889" s="52"/>
      <c r="P2889" s="52"/>
    </row>
    <row r="2890" spans="15:16" x14ac:dyDescent="0.3">
      <c r="O2890" s="52"/>
      <c r="P2890" s="52"/>
    </row>
    <row r="2891" spans="15:16" x14ac:dyDescent="0.3">
      <c r="O2891" s="52"/>
      <c r="P2891" s="52"/>
    </row>
    <row r="2892" spans="15:16" x14ac:dyDescent="0.3">
      <c r="O2892" s="52"/>
      <c r="P2892" s="52"/>
    </row>
    <row r="2893" spans="15:16" x14ac:dyDescent="0.3">
      <c r="O2893" s="52"/>
      <c r="P2893" s="52"/>
    </row>
    <row r="2894" spans="15:16" x14ac:dyDescent="0.3">
      <c r="O2894" s="52"/>
      <c r="P2894" s="52"/>
    </row>
    <row r="2895" spans="15:16" x14ac:dyDescent="0.3">
      <c r="O2895" s="52"/>
      <c r="P2895" s="52"/>
    </row>
    <row r="2896" spans="15:16" x14ac:dyDescent="0.3">
      <c r="O2896" s="52"/>
      <c r="P2896" s="52"/>
    </row>
    <row r="2897" spans="15:16" x14ac:dyDescent="0.3">
      <c r="O2897" s="52"/>
      <c r="P2897" s="52"/>
    </row>
    <row r="2898" spans="15:16" x14ac:dyDescent="0.3">
      <c r="O2898" s="52"/>
      <c r="P2898" s="52"/>
    </row>
    <row r="2899" spans="15:16" x14ac:dyDescent="0.3">
      <c r="O2899" s="52"/>
      <c r="P2899" s="52"/>
    </row>
    <row r="2900" spans="15:16" x14ac:dyDescent="0.3">
      <c r="O2900" s="52"/>
      <c r="P2900" s="52"/>
    </row>
    <row r="2901" spans="15:16" x14ac:dyDescent="0.3">
      <c r="O2901" s="52"/>
      <c r="P2901" s="52"/>
    </row>
    <row r="2902" spans="15:16" x14ac:dyDescent="0.3">
      <c r="O2902" s="52"/>
      <c r="P2902" s="52"/>
    </row>
    <row r="2903" spans="15:16" x14ac:dyDescent="0.3">
      <c r="O2903" s="52"/>
      <c r="P2903" s="52"/>
    </row>
    <row r="2904" spans="15:16" x14ac:dyDescent="0.3">
      <c r="O2904" s="52"/>
      <c r="P2904" s="52"/>
    </row>
    <row r="2905" spans="15:16" x14ac:dyDescent="0.3">
      <c r="O2905" s="52"/>
      <c r="P2905" s="52"/>
    </row>
    <row r="2906" spans="15:16" x14ac:dyDescent="0.3">
      <c r="O2906" s="52"/>
      <c r="P2906" s="52"/>
    </row>
    <row r="2907" spans="15:16" x14ac:dyDescent="0.3">
      <c r="O2907" s="52"/>
      <c r="P2907" s="52"/>
    </row>
    <row r="2908" spans="15:16" x14ac:dyDescent="0.3">
      <c r="O2908" s="52"/>
      <c r="P2908" s="52"/>
    </row>
    <row r="2909" spans="15:16" x14ac:dyDescent="0.3">
      <c r="O2909" s="52"/>
      <c r="P2909" s="52"/>
    </row>
    <row r="2910" spans="15:16" x14ac:dyDescent="0.3">
      <c r="O2910" s="52"/>
      <c r="P2910" s="52"/>
    </row>
    <row r="2911" spans="15:16" x14ac:dyDescent="0.3">
      <c r="O2911" s="52"/>
      <c r="P2911" s="52"/>
    </row>
    <row r="2912" spans="15:16" x14ac:dyDescent="0.3">
      <c r="O2912" s="52"/>
      <c r="P2912" s="52"/>
    </row>
    <row r="2913" spans="15:16" x14ac:dyDescent="0.3">
      <c r="O2913" s="52"/>
      <c r="P2913" s="52"/>
    </row>
    <row r="2914" spans="15:16" x14ac:dyDescent="0.3">
      <c r="O2914" s="52"/>
      <c r="P2914" s="52"/>
    </row>
    <row r="2915" spans="15:16" x14ac:dyDescent="0.3">
      <c r="O2915" s="52"/>
      <c r="P2915" s="52"/>
    </row>
    <row r="2916" spans="15:16" x14ac:dyDescent="0.3">
      <c r="O2916" s="52"/>
      <c r="P2916" s="52"/>
    </row>
    <row r="2917" spans="15:16" x14ac:dyDescent="0.3">
      <c r="O2917" s="52"/>
      <c r="P2917" s="52"/>
    </row>
    <row r="2918" spans="15:16" x14ac:dyDescent="0.3">
      <c r="O2918" s="52"/>
      <c r="P2918" s="52"/>
    </row>
    <row r="2919" spans="15:16" x14ac:dyDescent="0.3">
      <c r="O2919" s="52"/>
      <c r="P2919" s="52"/>
    </row>
    <row r="2920" spans="15:16" x14ac:dyDescent="0.3">
      <c r="O2920" s="52"/>
      <c r="P2920" s="52"/>
    </row>
    <row r="2921" spans="15:16" x14ac:dyDescent="0.3">
      <c r="O2921" s="52"/>
      <c r="P2921" s="52"/>
    </row>
    <row r="2922" spans="15:16" x14ac:dyDescent="0.3">
      <c r="O2922" s="52"/>
      <c r="P2922" s="52"/>
    </row>
    <row r="2923" spans="15:16" x14ac:dyDescent="0.3">
      <c r="O2923" s="52"/>
      <c r="P2923" s="52"/>
    </row>
    <row r="2924" spans="15:16" x14ac:dyDescent="0.3">
      <c r="O2924" s="52"/>
      <c r="P2924" s="52"/>
    </row>
    <row r="2925" spans="15:16" x14ac:dyDescent="0.3">
      <c r="O2925" s="52"/>
      <c r="P2925" s="52"/>
    </row>
    <row r="2926" spans="15:16" x14ac:dyDescent="0.3">
      <c r="O2926" s="52"/>
      <c r="P2926" s="52"/>
    </row>
    <row r="2927" spans="15:16" x14ac:dyDescent="0.3">
      <c r="O2927" s="52"/>
      <c r="P2927" s="52"/>
    </row>
    <row r="2928" spans="15:16" x14ac:dyDescent="0.3">
      <c r="O2928" s="52"/>
      <c r="P2928" s="52"/>
    </row>
    <row r="2929" spans="15:16" x14ac:dyDescent="0.3">
      <c r="O2929" s="52"/>
      <c r="P2929" s="52"/>
    </row>
    <row r="2930" spans="15:16" x14ac:dyDescent="0.3">
      <c r="O2930" s="52"/>
      <c r="P2930" s="52"/>
    </row>
    <row r="2931" spans="15:16" x14ac:dyDescent="0.3">
      <c r="O2931" s="52"/>
      <c r="P2931" s="52"/>
    </row>
    <row r="2932" spans="15:16" x14ac:dyDescent="0.3">
      <c r="O2932" s="52"/>
      <c r="P2932" s="52"/>
    </row>
    <row r="2933" spans="15:16" x14ac:dyDescent="0.3">
      <c r="O2933" s="52"/>
      <c r="P2933" s="52"/>
    </row>
    <row r="2934" spans="15:16" x14ac:dyDescent="0.3">
      <c r="O2934" s="52"/>
      <c r="P2934" s="52"/>
    </row>
    <row r="2935" spans="15:16" x14ac:dyDescent="0.3">
      <c r="O2935" s="52"/>
      <c r="P2935" s="52"/>
    </row>
    <row r="2936" spans="15:16" x14ac:dyDescent="0.3">
      <c r="O2936" s="52"/>
      <c r="P2936" s="52"/>
    </row>
    <row r="2937" spans="15:16" x14ac:dyDescent="0.3">
      <c r="O2937" s="52"/>
      <c r="P2937" s="52"/>
    </row>
    <row r="2938" spans="15:16" x14ac:dyDescent="0.3">
      <c r="O2938" s="52"/>
      <c r="P2938" s="52"/>
    </row>
    <row r="2939" spans="15:16" x14ac:dyDescent="0.3">
      <c r="O2939" s="52"/>
      <c r="P2939" s="52"/>
    </row>
    <row r="2940" spans="15:16" x14ac:dyDescent="0.3">
      <c r="O2940" s="52"/>
      <c r="P2940" s="52"/>
    </row>
    <row r="2941" spans="15:16" x14ac:dyDescent="0.3">
      <c r="O2941" s="52"/>
      <c r="P2941" s="52"/>
    </row>
    <row r="2942" spans="15:16" x14ac:dyDescent="0.3">
      <c r="O2942" s="52"/>
      <c r="P2942" s="52"/>
    </row>
    <row r="2943" spans="15:16" x14ac:dyDescent="0.3">
      <c r="O2943" s="52"/>
      <c r="P2943" s="52"/>
    </row>
    <row r="2944" spans="15:16" x14ac:dyDescent="0.3">
      <c r="O2944" s="52"/>
      <c r="P2944" s="52"/>
    </row>
    <row r="2945" spans="15:16" x14ac:dyDescent="0.3">
      <c r="O2945" s="52"/>
      <c r="P2945" s="52"/>
    </row>
    <row r="2946" spans="15:16" x14ac:dyDescent="0.3">
      <c r="O2946" s="52"/>
      <c r="P2946" s="52"/>
    </row>
    <row r="2947" spans="15:16" x14ac:dyDescent="0.3">
      <c r="O2947" s="52"/>
      <c r="P2947" s="52"/>
    </row>
    <row r="2948" spans="15:16" x14ac:dyDescent="0.3">
      <c r="O2948" s="52"/>
      <c r="P2948" s="52"/>
    </row>
    <row r="2949" spans="15:16" x14ac:dyDescent="0.3">
      <c r="O2949" s="52"/>
      <c r="P2949" s="52"/>
    </row>
    <row r="2950" spans="15:16" x14ac:dyDescent="0.3">
      <c r="O2950" s="52"/>
      <c r="P2950" s="52"/>
    </row>
    <row r="2951" spans="15:16" x14ac:dyDescent="0.3">
      <c r="O2951" s="52"/>
      <c r="P2951" s="52"/>
    </row>
    <row r="2952" spans="15:16" x14ac:dyDescent="0.3">
      <c r="O2952" s="52"/>
      <c r="P2952" s="52"/>
    </row>
    <row r="2953" spans="15:16" x14ac:dyDescent="0.3">
      <c r="O2953" s="52"/>
      <c r="P2953" s="52"/>
    </row>
    <row r="2954" spans="15:16" x14ac:dyDescent="0.3">
      <c r="O2954" s="52"/>
      <c r="P2954" s="52"/>
    </row>
    <row r="2955" spans="15:16" x14ac:dyDescent="0.3">
      <c r="O2955" s="52"/>
      <c r="P2955" s="52"/>
    </row>
    <row r="2956" spans="15:16" x14ac:dyDescent="0.3">
      <c r="O2956" s="52"/>
      <c r="P2956" s="52"/>
    </row>
    <row r="2957" spans="15:16" x14ac:dyDescent="0.3">
      <c r="O2957" s="52"/>
      <c r="P2957" s="52"/>
    </row>
    <row r="2958" spans="15:16" x14ac:dyDescent="0.3">
      <c r="O2958" s="52"/>
      <c r="P2958" s="52"/>
    </row>
    <row r="2959" spans="15:16" x14ac:dyDescent="0.3">
      <c r="O2959" s="52"/>
      <c r="P2959" s="52"/>
    </row>
    <row r="2960" spans="15:16" x14ac:dyDescent="0.3">
      <c r="O2960" s="52"/>
      <c r="P2960" s="52"/>
    </row>
    <row r="2961" spans="15:16" x14ac:dyDescent="0.3">
      <c r="O2961" s="52"/>
      <c r="P2961" s="52"/>
    </row>
    <row r="2962" spans="15:16" x14ac:dyDescent="0.3">
      <c r="O2962" s="52"/>
      <c r="P2962" s="52"/>
    </row>
    <row r="2963" spans="15:16" x14ac:dyDescent="0.3">
      <c r="O2963" s="52"/>
      <c r="P2963" s="52"/>
    </row>
    <row r="2964" spans="15:16" x14ac:dyDescent="0.3">
      <c r="O2964" s="52"/>
      <c r="P2964" s="52"/>
    </row>
    <row r="2965" spans="15:16" x14ac:dyDescent="0.3">
      <c r="O2965" s="52"/>
      <c r="P2965" s="52"/>
    </row>
    <row r="2966" spans="15:16" x14ac:dyDescent="0.3">
      <c r="O2966" s="52"/>
      <c r="P2966" s="52"/>
    </row>
    <row r="2967" spans="15:16" x14ac:dyDescent="0.3">
      <c r="O2967" s="52"/>
      <c r="P2967" s="52"/>
    </row>
    <row r="2968" spans="15:16" x14ac:dyDescent="0.3">
      <c r="O2968" s="52"/>
      <c r="P2968" s="52"/>
    </row>
    <row r="2969" spans="15:16" x14ac:dyDescent="0.3">
      <c r="O2969" s="52"/>
      <c r="P2969" s="52"/>
    </row>
    <row r="2970" spans="15:16" x14ac:dyDescent="0.3">
      <c r="O2970" s="52"/>
      <c r="P2970" s="52"/>
    </row>
    <row r="2971" spans="15:16" x14ac:dyDescent="0.3">
      <c r="O2971" s="52"/>
      <c r="P2971" s="52"/>
    </row>
    <row r="2972" spans="15:16" x14ac:dyDescent="0.3">
      <c r="O2972" s="52"/>
      <c r="P2972" s="52"/>
    </row>
    <row r="2973" spans="15:16" x14ac:dyDescent="0.3">
      <c r="O2973" s="52"/>
      <c r="P2973" s="52"/>
    </row>
    <row r="2974" spans="15:16" x14ac:dyDescent="0.3">
      <c r="O2974" s="52"/>
      <c r="P2974" s="52"/>
    </row>
    <row r="2975" spans="15:16" x14ac:dyDescent="0.3">
      <c r="O2975" s="52"/>
      <c r="P2975" s="52"/>
    </row>
    <row r="2976" spans="15:16" x14ac:dyDescent="0.3">
      <c r="O2976" s="52"/>
      <c r="P2976" s="52"/>
    </row>
    <row r="2977" spans="15:16" x14ac:dyDescent="0.3">
      <c r="O2977" s="52"/>
      <c r="P2977" s="52"/>
    </row>
    <row r="2978" spans="15:16" x14ac:dyDescent="0.3">
      <c r="O2978" s="52"/>
      <c r="P2978" s="52"/>
    </row>
    <row r="2979" spans="15:16" x14ac:dyDescent="0.3">
      <c r="O2979" s="52"/>
      <c r="P2979" s="52"/>
    </row>
    <row r="2980" spans="15:16" x14ac:dyDescent="0.3">
      <c r="O2980" s="52"/>
      <c r="P2980" s="52"/>
    </row>
    <row r="2981" spans="15:16" x14ac:dyDescent="0.3">
      <c r="O2981" s="52"/>
      <c r="P2981" s="52"/>
    </row>
    <row r="2982" spans="15:16" x14ac:dyDescent="0.3">
      <c r="O2982" s="52"/>
      <c r="P2982" s="52"/>
    </row>
    <row r="2983" spans="15:16" x14ac:dyDescent="0.3">
      <c r="O2983" s="52"/>
      <c r="P2983" s="52"/>
    </row>
    <row r="2984" spans="15:16" x14ac:dyDescent="0.3">
      <c r="O2984" s="52"/>
      <c r="P2984" s="52"/>
    </row>
    <row r="2985" spans="15:16" x14ac:dyDescent="0.3">
      <c r="O2985" s="52"/>
      <c r="P2985" s="52"/>
    </row>
    <row r="2986" spans="15:16" x14ac:dyDescent="0.3">
      <c r="O2986" s="52"/>
      <c r="P2986" s="52"/>
    </row>
    <row r="2987" spans="15:16" x14ac:dyDescent="0.3">
      <c r="O2987" s="52"/>
      <c r="P2987" s="52"/>
    </row>
    <row r="2988" spans="15:16" x14ac:dyDescent="0.3">
      <c r="O2988" s="52"/>
      <c r="P2988" s="52"/>
    </row>
    <row r="2989" spans="15:16" x14ac:dyDescent="0.3">
      <c r="O2989" s="52"/>
      <c r="P2989" s="52"/>
    </row>
    <row r="2990" spans="15:16" x14ac:dyDescent="0.3">
      <c r="O2990" s="52"/>
      <c r="P2990" s="52"/>
    </row>
    <row r="2991" spans="15:16" x14ac:dyDescent="0.3">
      <c r="O2991" s="52"/>
      <c r="P2991" s="52"/>
    </row>
    <row r="2992" spans="15:16" x14ac:dyDescent="0.3">
      <c r="O2992" s="52"/>
      <c r="P2992" s="52"/>
    </row>
    <row r="2993" spans="15:16" x14ac:dyDescent="0.3">
      <c r="O2993" s="52"/>
      <c r="P2993" s="52"/>
    </row>
    <row r="2994" spans="15:16" x14ac:dyDescent="0.3">
      <c r="O2994" s="52"/>
      <c r="P2994" s="52"/>
    </row>
    <row r="2995" spans="15:16" x14ac:dyDescent="0.3">
      <c r="O2995" s="52"/>
      <c r="P2995" s="52"/>
    </row>
    <row r="2996" spans="15:16" x14ac:dyDescent="0.3">
      <c r="O2996" s="52"/>
      <c r="P2996" s="52"/>
    </row>
    <row r="2997" spans="15:16" x14ac:dyDescent="0.3">
      <c r="O2997" s="52"/>
      <c r="P2997" s="52"/>
    </row>
    <row r="2998" spans="15:16" x14ac:dyDescent="0.3">
      <c r="O2998" s="52"/>
      <c r="P2998" s="52"/>
    </row>
    <row r="2999" spans="15:16" x14ac:dyDescent="0.3">
      <c r="O2999" s="52"/>
      <c r="P2999" s="52"/>
    </row>
    <row r="3000" spans="15:16" x14ac:dyDescent="0.3">
      <c r="O3000" s="52"/>
      <c r="P3000" s="52"/>
    </row>
    <row r="3001" spans="15:16" x14ac:dyDescent="0.3">
      <c r="O3001" s="52"/>
      <c r="P3001" s="52"/>
    </row>
    <row r="3002" spans="15:16" x14ac:dyDescent="0.3">
      <c r="O3002" s="52"/>
      <c r="P3002" s="52"/>
    </row>
    <row r="3003" spans="15:16" x14ac:dyDescent="0.3">
      <c r="O3003" s="52"/>
      <c r="P3003" s="52"/>
    </row>
    <row r="3004" spans="15:16" x14ac:dyDescent="0.3">
      <c r="O3004" s="52"/>
      <c r="P3004" s="52"/>
    </row>
    <row r="3005" spans="15:16" x14ac:dyDescent="0.3">
      <c r="O3005" s="52"/>
      <c r="P3005" s="52"/>
    </row>
    <row r="3006" spans="15:16" x14ac:dyDescent="0.3">
      <c r="O3006" s="52"/>
      <c r="P3006" s="52"/>
    </row>
    <row r="3007" spans="15:16" x14ac:dyDescent="0.3">
      <c r="O3007" s="52"/>
      <c r="P3007" s="52"/>
    </row>
    <row r="3008" spans="15:16" x14ac:dyDescent="0.3">
      <c r="O3008" s="52"/>
      <c r="P3008" s="52"/>
    </row>
    <row r="3009" spans="15:16" x14ac:dyDescent="0.3">
      <c r="O3009" s="52"/>
      <c r="P3009" s="52"/>
    </row>
    <row r="3010" spans="15:16" x14ac:dyDescent="0.3">
      <c r="O3010" s="52"/>
      <c r="P3010" s="52"/>
    </row>
    <row r="3011" spans="15:16" x14ac:dyDescent="0.3">
      <c r="O3011" s="52"/>
      <c r="P3011" s="52"/>
    </row>
    <row r="3012" spans="15:16" x14ac:dyDescent="0.3">
      <c r="O3012" s="52"/>
      <c r="P3012" s="52"/>
    </row>
    <row r="3013" spans="15:16" x14ac:dyDescent="0.3">
      <c r="O3013" s="52"/>
      <c r="P3013" s="52"/>
    </row>
    <row r="3014" spans="15:16" x14ac:dyDescent="0.3">
      <c r="O3014" s="52"/>
      <c r="P3014" s="52"/>
    </row>
    <row r="3015" spans="15:16" x14ac:dyDescent="0.3">
      <c r="O3015" s="52"/>
      <c r="P3015" s="52"/>
    </row>
    <row r="3016" spans="15:16" x14ac:dyDescent="0.3">
      <c r="O3016" s="52"/>
      <c r="P3016" s="52"/>
    </row>
    <row r="3017" spans="15:16" x14ac:dyDescent="0.3">
      <c r="O3017" s="52"/>
      <c r="P3017" s="52"/>
    </row>
    <row r="3018" spans="15:16" x14ac:dyDescent="0.3">
      <c r="O3018" s="52"/>
      <c r="P3018" s="52"/>
    </row>
    <row r="3019" spans="15:16" x14ac:dyDescent="0.3">
      <c r="O3019" s="52"/>
      <c r="P3019" s="52"/>
    </row>
    <row r="3020" spans="15:16" x14ac:dyDescent="0.3">
      <c r="O3020" s="52"/>
      <c r="P3020" s="52"/>
    </row>
    <row r="3021" spans="15:16" x14ac:dyDescent="0.3">
      <c r="O3021" s="52"/>
      <c r="P3021" s="52"/>
    </row>
    <row r="3022" spans="15:16" x14ac:dyDescent="0.3">
      <c r="O3022" s="52"/>
      <c r="P3022" s="52"/>
    </row>
    <row r="3023" spans="15:16" x14ac:dyDescent="0.3">
      <c r="O3023" s="52"/>
      <c r="P3023" s="52"/>
    </row>
    <row r="3024" spans="15:16" x14ac:dyDescent="0.3">
      <c r="O3024" s="52"/>
      <c r="P3024" s="52"/>
    </row>
    <row r="3025" spans="15:16" x14ac:dyDescent="0.3">
      <c r="O3025" s="52"/>
      <c r="P3025" s="52"/>
    </row>
    <row r="3026" spans="15:16" x14ac:dyDescent="0.3">
      <c r="O3026" s="52"/>
      <c r="P3026" s="52"/>
    </row>
    <row r="3027" spans="15:16" x14ac:dyDescent="0.3">
      <c r="O3027" s="52"/>
      <c r="P3027" s="52"/>
    </row>
    <row r="3028" spans="15:16" x14ac:dyDescent="0.3">
      <c r="O3028" s="52"/>
      <c r="P3028" s="52"/>
    </row>
    <row r="3029" spans="15:16" x14ac:dyDescent="0.3">
      <c r="O3029" s="52"/>
      <c r="P3029" s="52"/>
    </row>
    <row r="3030" spans="15:16" x14ac:dyDescent="0.3">
      <c r="O3030" s="52"/>
      <c r="P3030" s="52"/>
    </row>
    <row r="3031" spans="15:16" x14ac:dyDescent="0.3">
      <c r="O3031" s="52"/>
      <c r="P3031" s="52"/>
    </row>
    <row r="3032" spans="15:16" x14ac:dyDescent="0.3">
      <c r="O3032" s="52"/>
      <c r="P3032" s="52"/>
    </row>
    <row r="3033" spans="15:16" x14ac:dyDescent="0.3">
      <c r="O3033" s="52"/>
      <c r="P3033" s="52"/>
    </row>
    <row r="3034" spans="15:16" x14ac:dyDescent="0.3">
      <c r="O3034" s="52"/>
      <c r="P3034" s="52"/>
    </row>
    <row r="3035" spans="15:16" x14ac:dyDescent="0.3">
      <c r="O3035" s="52"/>
      <c r="P3035" s="52"/>
    </row>
    <row r="3036" spans="15:16" x14ac:dyDescent="0.3">
      <c r="O3036" s="52"/>
      <c r="P3036" s="52"/>
    </row>
    <row r="3037" spans="15:16" x14ac:dyDescent="0.3">
      <c r="O3037" s="52"/>
      <c r="P3037" s="52"/>
    </row>
    <row r="3038" spans="15:16" x14ac:dyDescent="0.3">
      <c r="O3038" s="52"/>
      <c r="P3038" s="52"/>
    </row>
    <row r="3039" spans="15:16" x14ac:dyDescent="0.3">
      <c r="O3039" s="52"/>
      <c r="P3039" s="52"/>
    </row>
    <row r="3040" spans="15:16" x14ac:dyDescent="0.3">
      <c r="O3040" s="52"/>
      <c r="P3040" s="52"/>
    </row>
    <row r="3041" spans="15:16" x14ac:dyDescent="0.3">
      <c r="O3041" s="52"/>
      <c r="P3041" s="52"/>
    </row>
    <row r="3042" spans="15:16" x14ac:dyDescent="0.3">
      <c r="O3042" s="52"/>
      <c r="P3042" s="52"/>
    </row>
    <row r="3043" spans="15:16" x14ac:dyDescent="0.3">
      <c r="O3043" s="52"/>
      <c r="P3043" s="52"/>
    </row>
    <row r="3044" spans="15:16" x14ac:dyDescent="0.3">
      <c r="O3044" s="52"/>
      <c r="P3044" s="52"/>
    </row>
    <row r="3045" spans="15:16" x14ac:dyDescent="0.3">
      <c r="O3045" s="52"/>
      <c r="P3045" s="52"/>
    </row>
    <row r="3046" spans="15:16" x14ac:dyDescent="0.3">
      <c r="O3046" s="52"/>
      <c r="P3046" s="52"/>
    </row>
    <row r="3047" spans="15:16" x14ac:dyDescent="0.3">
      <c r="O3047" s="52"/>
      <c r="P3047" s="52"/>
    </row>
    <row r="3048" spans="15:16" x14ac:dyDescent="0.3">
      <c r="O3048" s="52"/>
      <c r="P3048" s="52"/>
    </row>
    <row r="3049" spans="15:16" x14ac:dyDescent="0.3">
      <c r="O3049" s="52"/>
      <c r="P3049" s="52"/>
    </row>
    <row r="3050" spans="15:16" x14ac:dyDescent="0.3">
      <c r="O3050" s="52"/>
      <c r="P3050" s="52"/>
    </row>
    <row r="3051" spans="15:16" x14ac:dyDescent="0.3">
      <c r="O3051" s="52"/>
      <c r="P3051" s="52"/>
    </row>
    <row r="3052" spans="15:16" x14ac:dyDescent="0.3">
      <c r="O3052" s="52"/>
      <c r="P3052" s="52"/>
    </row>
    <row r="3053" spans="15:16" x14ac:dyDescent="0.3">
      <c r="O3053" s="52"/>
      <c r="P3053" s="52"/>
    </row>
    <row r="3054" spans="15:16" x14ac:dyDescent="0.3">
      <c r="O3054" s="52"/>
      <c r="P3054" s="52"/>
    </row>
    <row r="3055" spans="15:16" x14ac:dyDescent="0.3">
      <c r="O3055" s="52"/>
      <c r="P3055" s="52"/>
    </row>
    <row r="3056" spans="15:16" x14ac:dyDescent="0.3">
      <c r="O3056" s="52"/>
      <c r="P3056" s="52"/>
    </row>
    <row r="3057" spans="15:16" x14ac:dyDescent="0.3">
      <c r="O3057" s="52"/>
      <c r="P3057" s="52"/>
    </row>
    <row r="3058" spans="15:16" x14ac:dyDescent="0.3">
      <c r="O3058" s="52"/>
      <c r="P3058" s="52"/>
    </row>
    <row r="3059" spans="15:16" x14ac:dyDescent="0.3">
      <c r="O3059" s="52"/>
      <c r="P3059" s="52"/>
    </row>
    <row r="3060" spans="15:16" x14ac:dyDescent="0.3">
      <c r="O3060" s="52"/>
      <c r="P3060" s="52"/>
    </row>
    <row r="3061" spans="15:16" x14ac:dyDescent="0.3">
      <c r="O3061" s="52"/>
      <c r="P3061" s="52"/>
    </row>
    <row r="3062" spans="15:16" x14ac:dyDescent="0.3">
      <c r="O3062" s="52"/>
      <c r="P3062" s="52"/>
    </row>
    <row r="3063" spans="15:16" x14ac:dyDescent="0.3">
      <c r="O3063" s="52"/>
      <c r="P3063" s="52"/>
    </row>
    <row r="3064" spans="15:16" x14ac:dyDescent="0.3">
      <c r="O3064" s="52"/>
      <c r="P3064" s="52"/>
    </row>
    <row r="3065" spans="15:16" x14ac:dyDescent="0.3">
      <c r="O3065" s="52"/>
      <c r="P3065" s="52"/>
    </row>
    <row r="3066" spans="15:16" x14ac:dyDescent="0.3">
      <c r="O3066" s="52"/>
      <c r="P3066" s="52"/>
    </row>
    <row r="3067" spans="15:16" x14ac:dyDescent="0.3">
      <c r="O3067" s="52"/>
      <c r="P3067" s="52"/>
    </row>
    <row r="3068" spans="15:16" x14ac:dyDescent="0.3">
      <c r="O3068" s="52"/>
      <c r="P3068" s="52"/>
    </row>
    <row r="3069" spans="15:16" x14ac:dyDescent="0.3">
      <c r="O3069" s="52"/>
      <c r="P3069" s="52"/>
    </row>
    <row r="3070" spans="15:16" x14ac:dyDescent="0.3">
      <c r="O3070" s="52"/>
      <c r="P3070" s="52"/>
    </row>
    <row r="3071" spans="15:16" x14ac:dyDescent="0.3">
      <c r="O3071" s="52"/>
      <c r="P3071" s="52"/>
    </row>
    <row r="3072" spans="15:16" x14ac:dyDescent="0.3">
      <c r="O3072" s="52"/>
      <c r="P3072" s="52"/>
    </row>
    <row r="3073" spans="15:16" x14ac:dyDescent="0.3">
      <c r="O3073" s="52"/>
      <c r="P3073" s="52"/>
    </row>
    <row r="3074" spans="15:16" x14ac:dyDescent="0.3">
      <c r="O3074" s="52"/>
      <c r="P3074" s="52"/>
    </row>
    <row r="3075" spans="15:16" x14ac:dyDescent="0.3">
      <c r="O3075" s="52"/>
      <c r="P3075" s="52"/>
    </row>
    <row r="3076" spans="15:16" x14ac:dyDescent="0.3">
      <c r="O3076" s="52"/>
      <c r="P3076" s="52"/>
    </row>
    <row r="3077" spans="15:16" x14ac:dyDescent="0.3">
      <c r="O3077" s="52"/>
      <c r="P3077" s="52"/>
    </row>
    <row r="3078" spans="15:16" x14ac:dyDescent="0.3">
      <c r="O3078" s="52"/>
      <c r="P3078" s="52"/>
    </row>
    <row r="3079" spans="15:16" x14ac:dyDescent="0.3">
      <c r="O3079" s="52"/>
      <c r="P3079" s="52"/>
    </row>
    <row r="3080" spans="15:16" x14ac:dyDescent="0.3">
      <c r="O3080" s="52"/>
      <c r="P3080" s="52"/>
    </row>
    <row r="3081" spans="15:16" x14ac:dyDescent="0.3">
      <c r="O3081" s="52"/>
      <c r="P3081" s="52"/>
    </row>
    <row r="3082" spans="15:16" x14ac:dyDescent="0.3">
      <c r="O3082" s="52"/>
      <c r="P3082" s="52"/>
    </row>
    <row r="3083" spans="15:16" x14ac:dyDescent="0.3">
      <c r="O3083" s="52"/>
      <c r="P3083" s="52"/>
    </row>
    <row r="3084" spans="15:16" x14ac:dyDescent="0.3">
      <c r="O3084" s="52"/>
      <c r="P3084" s="52"/>
    </row>
    <row r="3085" spans="15:16" x14ac:dyDescent="0.3">
      <c r="O3085" s="52"/>
      <c r="P3085" s="52"/>
    </row>
    <row r="3086" spans="15:16" x14ac:dyDescent="0.3">
      <c r="O3086" s="52"/>
      <c r="P3086" s="52"/>
    </row>
    <row r="3087" spans="15:16" x14ac:dyDescent="0.3">
      <c r="O3087" s="52"/>
      <c r="P3087" s="52"/>
    </row>
    <row r="3088" spans="15:16" x14ac:dyDescent="0.3">
      <c r="O3088" s="52"/>
      <c r="P3088" s="52"/>
    </row>
    <row r="3089" spans="15:16" x14ac:dyDescent="0.3">
      <c r="O3089" s="52"/>
      <c r="P3089" s="52"/>
    </row>
    <row r="3090" spans="15:16" x14ac:dyDescent="0.3">
      <c r="O3090" s="52"/>
      <c r="P3090" s="52"/>
    </row>
    <row r="3091" spans="15:16" x14ac:dyDescent="0.3">
      <c r="O3091" s="52"/>
      <c r="P3091" s="52"/>
    </row>
    <row r="3092" spans="15:16" x14ac:dyDescent="0.3">
      <c r="O3092" s="52"/>
      <c r="P3092" s="52"/>
    </row>
    <row r="3093" spans="15:16" x14ac:dyDescent="0.3">
      <c r="O3093" s="52"/>
      <c r="P3093" s="52"/>
    </row>
    <row r="3094" spans="15:16" x14ac:dyDescent="0.3">
      <c r="O3094" s="52"/>
      <c r="P3094" s="52"/>
    </row>
    <row r="3095" spans="15:16" x14ac:dyDescent="0.3">
      <c r="O3095" s="52"/>
      <c r="P3095" s="52"/>
    </row>
    <row r="3096" spans="15:16" x14ac:dyDescent="0.3">
      <c r="O3096" s="52"/>
      <c r="P3096" s="52"/>
    </row>
    <row r="3097" spans="15:16" x14ac:dyDescent="0.3">
      <c r="O3097" s="52"/>
      <c r="P3097" s="52"/>
    </row>
    <row r="3098" spans="15:16" x14ac:dyDescent="0.3">
      <c r="O3098" s="52"/>
      <c r="P3098" s="52"/>
    </row>
    <row r="3099" spans="15:16" x14ac:dyDescent="0.3">
      <c r="O3099" s="52"/>
      <c r="P3099" s="52"/>
    </row>
    <row r="3100" spans="15:16" x14ac:dyDescent="0.3">
      <c r="O3100" s="52"/>
      <c r="P3100" s="52"/>
    </row>
    <row r="3101" spans="15:16" x14ac:dyDescent="0.3">
      <c r="O3101" s="52"/>
      <c r="P3101" s="52"/>
    </row>
    <row r="3102" spans="15:16" x14ac:dyDescent="0.3">
      <c r="O3102" s="52"/>
      <c r="P3102" s="52"/>
    </row>
    <row r="3103" spans="15:16" x14ac:dyDescent="0.3">
      <c r="O3103" s="52"/>
      <c r="P3103" s="52"/>
    </row>
    <row r="3104" spans="15:16" x14ac:dyDescent="0.3">
      <c r="O3104" s="52"/>
      <c r="P3104" s="52"/>
    </row>
    <row r="3105" spans="15:16" x14ac:dyDescent="0.3">
      <c r="O3105" s="52"/>
      <c r="P3105" s="52"/>
    </row>
    <row r="3106" spans="15:16" x14ac:dyDescent="0.3">
      <c r="O3106" s="52"/>
      <c r="P3106" s="52"/>
    </row>
    <row r="3107" spans="15:16" x14ac:dyDescent="0.3">
      <c r="O3107" s="52"/>
      <c r="P3107" s="52"/>
    </row>
    <row r="3108" spans="15:16" x14ac:dyDescent="0.3">
      <c r="O3108" s="52"/>
      <c r="P3108" s="52"/>
    </row>
    <row r="3109" spans="15:16" x14ac:dyDescent="0.3">
      <c r="O3109" s="52"/>
      <c r="P3109" s="52"/>
    </row>
    <row r="3110" spans="15:16" x14ac:dyDescent="0.3">
      <c r="O3110" s="52"/>
      <c r="P3110" s="52"/>
    </row>
    <row r="3111" spans="15:16" x14ac:dyDescent="0.3">
      <c r="O3111" s="52"/>
      <c r="P3111" s="52"/>
    </row>
    <row r="3112" spans="15:16" x14ac:dyDescent="0.3">
      <c r="O3112" s="52"/>
      <c r="P3112" s="52"/>
    </row>
    <row r="3113" spans="15:16" x14ac:dyDescent="0.3">
      <c r="O3113" s="52"/>
      <c r="P3113" s="52"/>
    </row>
    <row r="3114" spans="15:16" x14ac:dyDescent="0.3">
      <c r="O3114" s="52"/>
      <c r="P3114" s="52"/>
    </row>
    <row r="3115" spans="15:16" x14ac:dyDescent="0.3">
      <c r="O3115" s="52"/>
      <c r="P3115" s="52"/>
    </row>
    <row r="3116" spans="15:16" x14ac:dyDescent="0.3">
      <c r="O3116" s="52"/>
      <c r="P3116" s="52"/>
    </row>
    <row r="3117" spans="15:16" x14ac:dyDescent="0.3">
      <c r="O3117" s="52"/>
      <c r="P3117" s="52"/>
    </row>
    <row r="3118" spans="15:16" x14ac:dyDescent="0.3">
      <c r="O3118" s="52"/>
      <c r="P3118" s="52"/>
    </row>
    <row r="3119" spans="15:16" x14ac:dyDescent="0.3">
      <c r="O3119" s="52"/>
      <c r="P3119" s="52"/>
    </row>
    <row r="3120" spans="15:16" x14ac:dyDescent="0.3">
      <c r="O3120" s="52"/>
      <c r="P3120" s="52"/>
    </row>
    <row r="3121" spans="15:16" x14ac:dyDescent="0.3">
      <c r="O3121" s="52"/>
      <c r="P3121" s="52"/>
    </row>
    <row r="3122" spans="15:16" x14ac:dyDescent="0.3">
      <c r="O3122" s="52"/>
      <c r="P3122" s="52"/>
    </row>
    <row r="3123" spans="15:16" x14ac:dyDescent="0.3">
      <c r="O3123" s="52"/>
      <c r="P3123" s="52"/>
    </row>
    <row r="3124" spans="15:16" x14ac:dyDescent="0.3">
      <c r="O3124" s="52"/>
      <c r="P3124" s="52"/>
    </row>
    <row r="3125" spans="15:16" x14ac:dyDescent="0.3">
      <c r="O3125" s="52"/>
      <c r="P3125" s="52"/>
    </row>
    <row r="3126" spans="15:16" x14ac:dyDescent="0.3">
      <c r="O3126" s="52"/>
      <c r="P3126" s="52"/>
    </row>
    <row r="3127" spans="15:16" x14ac:dyDescent="0.3">
      <c r="O3127" s="52"/>
      <c r="P3127" s="52"/>
    </row>
    <row r="3128" spans="15:16" x14ac:dyDescent="0.3">
      <c r="O3128" s="52"/>
      <c r="P3128" s="52"/>
    </row>
    <row r="3129" spans="15:16" x14ac:dyDescent="0.3">
      <c r="O3129" s="52"/>
      <c r="P3129" s="52"/>
    </row>
    <row r="3130" spans="15:16" x14ac:dyDescent="0.3">
      <c r="O3130" s="52"/>
      <c r="P3130" s="52"/>
    </row>
    <row r="3131" spans="15:16" x14ac:dyDescent="0.3">
      <c r="O3131" s="52"/>
      <c r="P3131" s="52"/>
    </row>
    <row r="3132" spans="15:16" x14ac:dyDescent="0.3">
      <c r="O3132" s="52"/>
      <c r="P3132" s="52"/>
    </row>
    <row r="3133" spans="15:16" x14ac:dyDescent="0.3">
      <c r="O3133" s="52"/>
      <c r="P3133" s="52"/>
    </row>
    <row r="3134" spans="15:16" x14ac:dyDescent="0.3">
      <c r="O3134" s="52"/>
      <c r="P3134" s="52"/>
    </row>
    <row r="3135" spans="15:16" x14ac:dyDescent="0.3">
      <c r="O3135" s="52"/>
      <c r="P3135" s="52"/>
    </row>
    <row r="3136" spans="15:16" x14ac:dyDescent="0.3">
      <c r="O3136" s="52"/>
      <c r="P3136" s="52"/>
    </row>
    <row r="3137" spans="15:16" x14ac:dyDescent="0.3">
      <c r="O3137" s="52"/>
      <c r="P3137" s="52"/>
    </row>
    <row r="3138" spans="15:16" x14ac:dyDescent="0.3">
      <c r="O3138" s="52"/>
      <c r="P3138" s="52"/>
    </row>
    <row r="3139" spans="15:16" x14ac:dyDescent="0.3">
      <c r="O3139" s="52"/>
      <c r="P3139" s="52"/>
    </row>
    <row r="3140" spans="15:16" x14ac:dyDescent="0.3">
      <c r="O3140" s="52"/>
      <c r="P3140" s="52"/>
    </row>
    <row r="3141" spans="15:16" x14ac:dyDescent="0.3">
      <c r="O3141" s="52"/>
      <c r="P3141" s="52"/>
    </row>
    <row r="3142" spans="15:16" x14ac:dyDescent="0.3">
      <c r="O3142" s="52"/>
      <c r="P3142" s="52"/>
    </row>
    <row r="3143" spans="15:16" x14ac:dyDescent="0.3">
      <c r="O3143" s="52"/>
      <c r="P3143" s="52"/>
    </row>
    <row r="3144" spans="15:16" x14ac:dyDescent="0.3">
      <c r="O3144" s="52"/>
      <c r="P3144" s="52"/>
    </row>
    <row r="3145" spans="15:16" x14ac:dyDescent="0.3">
      <c r="O3145" s="52"/>
      <c r="P3145" s="52"/>
    </row>
    <row r="3146" spans="15:16" x14ac:dyDescent="0.3">
      <c r="O3146" s="52"/>
      <c r="P3146" s="52"/>
    </row>
    <row r="3147" spans="15:16" x14ac:dyDescent="0.3">
      <c r="O3147" s="52"/>
      <c r="P3147" s="52"/>
    </row>
    <row r="3148" spans="15:16" x14ac:dyDescent="0.3">
      <c r="O3148" s="52"/>
      <c r="P3148" s="52"/>
    </row>
    <row r="3149" spans="15:16" x14ac:dyDescent="0.3">
      <c r="O3149" s="52"/>
      <c r="P3149" s="52"/>
    </row>
    <row r="3150" spans="15:16" x14ac:dyDescent="0.3">
      <c r="O3150" s="52"/>
      <c r="P3150" s="52"/>
    </row>
    <row r="3151" spans="15:16" x14ac:dyDescent="0.3">
      <c r="O3151" s="52"/>
      <c r="P3151" s="52"/>
    </row>
    <row r="3152" spans="15:16" x14ac:dyDescent="0.3">
      <c r="O3152" s="52"/>
      <c r="P3152" s="52"/>
    </row>
    <row r="3153" spans="15:16" x14ac:dyDescent="0.3">
      <c r="O3153" s="52"/>
      <c r="P3153" s="52"/>
    </row>
    <row r="3154" spans="15:16" x14ac:dyDescent="0.3">
      <c r="O3154" s="52"/>
      <c r="P3154" s="52"/>
    </row>
    <row r="3155" spans="15:16" x14ac:dyDescent="0.3">
      <c r="O3155" s="52"/>
      <c r="P3155" s="52"/>
    </row>
    <row r="3156" spans="15:16" x14ac:dyDescent="0.3">
      <c r="O3156" s="52"/>
      <c r="P3156" s="52"/>
    </row>
    <row r="3157" spans="15:16" x14ac:dyDescent="0.3">
      <c r="O3157" s="52"/>
      <c r="P3157" s="52"/>
    </row>
    <row r="3158" spans="15:16" x14ac:dyDescent="0.3">
      <c r="O3158" s="52"/>
      <c r="P3158" s="52"/>
    </row>
    <row r="3159" spans="15:16" x14ac:dyDescent="0.3">
      <c r="O3159" s="52"/>
      <c r="P3159" s="52"/>
    </row>
    <row r="3160" spans="15:16" x14ac:dyDescent="0.3">
      <c r="O3160" s="52"/>
      <c r="P3160" s="52"/>
    </row>
    <row r="3161" spans="15:16" x14ac:dyDescent="0.3">
      <c r="O3161" s="52"/>
      <c r="P3161" s="52"/>
    </row>
    <row r="3162" spans="15:16" x14ac:dyDescent="0.3">
      <c r="O3162" s="52"/>
      <c r="P3162" s="52"/>
    </row>
    <row r="3163" spans="15:16" x14ac:dyDescent="0.3">
      <c r="O3163" s="52"/>
      <c r="P3163" s="52"/>
    </row>
    <row r="3164" spans="15:16" x14ac:dyDescent="0.3">
      <c r="O3164" s="52"/>
      <c r="P3164" s="52"/>
    </row>
    <row r="3165" spans="15:16" x14ac:dyDescent="0.3">
      <c r="O3165" s="52"/>
      <c r="P3165" s="52"/>
    </row>
    <row r="3166" spans="15:16" x14ac:dyDescent="0.3">
      <c r="O3166" s="52"/>
      <c r="P3166" s="52"/>
    </row>
    <row r="3167" spans="15:16" x14ac:dyDescent="0.3">
      <c r="O3167" s="52"/>
      <c r="P3167" s="52"/>
    </row>
    <row r="3168" spans="15:16" x14ac:dyDescent="0.3">
      <c r="O3168" s="52"/>
      <c r="P3168" s="52"/>
    </row>
    <row r="3169" spans="15:16" x14ac:dyDescent="0.3">
      <c r="O3169" s="52"/>
      <c r="P3169" s="52"/>
    </row>
    <row r="3170" spans="15:16" x14ac:dyDescent="0.3">
      <c r="O3170" s="52"/>
      <c r="P3170" s="52"/>
    </row>
    <row r="3171" spans="15:16" x14ac:dyDescent="0.3">
      <c r="O3171" s="52"/>
      <c r="P3171" s="52"/>
    </row>
    <row r="3172" spans="15:16" x14ac:dyDescent="0.3">
      <c r="O3172" s="52"/>
      <c r="P3172" s="52"/>
    </row>
    <row r="3173" spans="15:16" x14ac:dyDescent="0.3">
      <c r="O3173" s="52"/>
      <c r="P3173" s="52"/>
    </row>
    <row r="3174" spans="15:16" x14ac:dyDescent="0.3">
      <c r="O3174" s="52"/>
      <c r="P3174" s="52"/>
    </row>
    <row r="3175" spans="15:16" x14ac:dyDescent="0.3">
      <c r="O3175" s="52"/>
      <c r="P3175" s="52"/>
    </row>
    <row r="3176" spans="15:16" x14ac:dyDescent="0.3">
      <c r="O3176" s="52"/>
      <c r="P3176" s="52"/>
    </row>
    <row r="3177" spans="15:16" x14ac:dyDescent="0.3">
      <c r="O3177" s="52"/>
      <c r="P3177" s="52"/>
    </row>
    <row r="3178" spans="15:16" x14ac:dyDescent="0.3">
      <c r="O3178" s="52"/>
      <c r="P3178" s="52"/>
    </row>
    <row r="3179" spans="15:16" x14ac:dyDescent="0.3">
      <c r="O3179" s="52"/>
      <c r="P3179" s="52"/>
    </row>
    <row r="3180" spans="15:16" x14ac:dyDescent="0.3">
      <c r="O3180" s="52"/>
      <c r="P3180" s="52"/>
    </row>
    <row r="3181" spans="15:16" x14ac:dyDescent="0.3">
      <c r="O3181" s="52"/>
      <c r="P3181" s="52"/>
    </row>
    <row r="3182" spans="15:16" x14ac:dyDescent="0.3">
      <c r="O3182" s="52"/>
      <c r="P3182" s="52"/>
    </row>
    <row r="3183" spans="15:16" x14ac:dyDescent="0.3">
      <c r="O3183" s="52"/>
      <c r="P3183" s="52"/>
    </row>
    <row r="3184" spans="15:16" x14ac:dyDescent="0.3">
      <c r="O3184" s="52"/>
      <c r="P3184" s="52"/>
    </row>
    <row r="3185" spans="15:16" x14ac:dyDescent="0.3">
      <c r="O3185" s="52"/>
      <c r="P3185" s="52"/>
    </row>
    <row r="3186" spans="15:16" x14ac:dyDescent="0.3">
      <c r="O3186" s="52"/>
      <c r="P3186" s="52"/>
    </row>
    <row r="3187" spans="15:16" x14ac:dyDescent="0.3">
      <c r="O3187" s="52"/>
      <c r="P3187" s="52"/>
    </row>
    <row r="3188" spans="15:16" x14ac:dyDescent="0.3">
      <c r="O3188" s="52"/>
      <c r="P3188" s="52"/>
    </row>
    <row r="3189" spans="15:16" x14ac:dyDescent="0.3">
      <c r="O3189" s="52"/>
      <c r="P3189" s="52"/>
    </row>
    <row r="3190" spans="15:16" x14ac:dyDescent="0.3">
      <c r="O3190" s="52"/>
      <c r="P3190" s="52"/>
    </row>
    <row r="3191" spans="15:16" x14ac:dyDescent="0.3">
      <c r="O3191" s="52"/>
      <c r="P3191" s="52"/>
    </row>
    <row r="3192" spans="15:16" x14ac:dyDescent="0.3">
      <c r="O3192" s="52"/>
      <c r="P3192" s="52"/>
    </row>
    <row r="3193" spans="15:16" x14ac:dyDescent="0.3">
      <c r="O3193" s="52"/>
      <c r="P3193" s="52"/>
    </row>
    <row r="3194" spans="15:16" x14ac:dyDescent="0.3">
      <c r="O3194" s="52"/>
      <c r="P3194" s="52"/>
    </row>
    <row r="3195" spans="15:16" x14ac:dyDescent="0.3">
      <c r="O3195" s="52"/>
      <c r="P3195" s="52"/>
    </row>
    <row r="3196" spans="15:16" x14ac:dyDescent="0.3">
      <c r="O3196" s="52"/>
      <c r="P3196" s="52"/>
    </row>
    <row r="3197" spans="15:16" x14ac:dyDescent="0.3">
      <c r="O3197" s="52"/>
      <c r="P3197" s="52"/>
    </row>
    <row r="3198" spans="15:16" x14ac:dyDescent="0.3">
      <c r="O3198" s="52"/>
      <c r="P3198" s="52"/>
    </row>
    <row r="3199" spans="15:16" x14ac:dyDescent="0.3">
      <c r="O3199" s="52"/>
      <c r="P3199" s="52"/>
    </row>
    <row r="3200" spans="15:16" x14ac:dyDescent="0.3">
      <c r="O3200" s="52"/>
      <c r="P3200" s="52"/>
    </row>
    <row r="3201" spans="15:16" x14ac:dyDescent="0.3">
      <c r="O3201" s="52"/>
      <c r="P3201" s="52"/>
    </row>
    <row r="3202" spans="15:16" x14ac:dyDescent="0.3">
      <c r="O3202" s="52"/>
      <c r="P3202" s="52"/>
    </row>
    <row r="3203" spans="15:16" x14ac:dyDescent="0.3">
      <c r="O3203" s="52"/>
      <c r="P3203" s="52"/>
    </row>
    <row r="3204" spans="15:16" x14ac:dyDescent="0.3">
      <c r="O3204" s="52"/>
      <c r="P3204" s="52"/>
    </row>
    <row r="3205" spans="15:16" x14ac:dyDescent="0.3">
      <c r="O3205" s="52"/>
      <c r="P3205" s="52"/>
    </row>
    <row r="3206" spans="15:16" x14ac:dyDescent="0.3">
      <c r="O3206" s="52"/>
      <c r="P3206" s="52"/>
    </row>
    <row r="3207" spans="15:16" x14ac:dyDescent="0.3">
      <c r="O3207" s="52"/>
      <c r="P3207" s="52"/>
    </row>
    <row r="3208" spans="15:16" x14ac:dyDescent="0.3">
      <c r="O3208" s="52"/>
      <c r="P3208" s="52"/>
    </row>
    <row r="3209" spans="15:16" x14ac:dyDescent="0.3">
      <c r="O3209" s="52"/>
      <c r="P3209" s="52"/>
    </row>
    <row r="3210" spans="15:16" x14ac:dyDescent="0.3">
      <c r="O3210" s="52"/>
      <c r="P3210" s="52"/>
    </row>
    <row r="3211" spans="15:16" x14ac:dyDescent="0.3">
      <c r="O3211" s="52"/>
      <c r="P3211" s="52"/>
    </row>
    <row r="3212" spans="15:16" x14ac:dyDescent="0.3">
      <c r="O3212" s="52"/>
      <c r="P3212" s="52"/>
    </row>
    <row r="3213" spans="15:16" x14ac:dyDescent="0.3">
      <c r="O3213" s="52"/>
      <c r="P3213" s="52"/>
    </row>
    <row r="3214" spans="15:16" x14ac:dyDescent="0.3">
      <c r="O3214" s="52"/>
      <c r="P3214" s="52"/>
    </row>
    <row r="3215" spans="15:16" x14ac:dyDescent="0.3">
      <c r="O3215" s="52"/>
      <c r="P3215" s="52"/>
    </row>
    <row r="3216" spans="15:16" x14ac:dyDescent="0.3">
      <c r="O3216" s="52"/>
      <c r="P3216" s="52"/>
    </row>
    <row r="3217" spans="15:16" x14ac:dyDescent="0.3">
      <c r="O3217" s="52"/>
      <c r="P3217" s="52"/>
    </row>
    <row r="3218" spans="15:16" x14ac:dyDescent="0.3">
      <c r="O3218" s="52"/>
      <c r="P3218" s="52"/>
    </row>
    <row r="3219" spans="15:16" x14ac:dyDescent="0.3">
      <c r="O3219" s="52"/>
      <c r="P3219" s="52"/>
    </row>
    <row r="3220" spans="15:16" x14ac:dyDescent="0.3">
      <c r="O3220" s="52"/>
      <c r="P3220" s="52"/>
    </row>
    <row r="3221" spans="15:16" x14ac:dyDescent="0.3">
      <c r="O3221" s="52"/>
      <c r="P3221" s="52"/>
    </row>
    <row r="3222" spans="15:16" x14ac:dyDescent="0.3">
      <c r="O3222" s="52"/>
      <c r="P3222" s="52"/>
    </row>
    <row r="3223" spans="15:16" x14ac:dyDescent="0.3">
      <c r="O3223" s="52"/>
      <c r="P3223" s="52"/>
    </row>
    <row r="3224" spans="15:16" x14ac:dyDescent="0.3">
      <c r="O3224" s="52"/>
      <c r="P3224" s="52"/>
    </row>
    <row r="3225" spans="15:16" x14ac:dyDescent="0.3">
      <c r="O3225" s="52"/>
      <c r="P3225" s="52"/>
    </row>
    <row r="3226" spans="15:16" x14ac:dyDescent="0.3">
      <c r="O3226" s="52"/>
      <c r="P3226" s="52"/>
    </row>
    <row r="3227" spans="15:16" x14ac:dyDescent="0.3">
      <c r="O3227" s="52"/>
      <c r="P3227" s="52"/>
    </row>
    <row r="3228" spans="15:16" x14ac:dyDescent="0.3">
      <c r="O3228" s="52"/>
      <c r="P3228" s="52"/>
    </row>
    <row r="3229" spans="15:16" x14ac:dyDescent="0.3">
      <c r="O3229" s="52"/>
      <c r="P3229" s="52"/>
    </row>
    <row r="3230" spans="15:16" x14ac:dyDescent="0.3">
      <c r="O3230" s="52"/>
      <c r="P3230" s="52"/>
    </row>
    <row r="3231" spans="15:16" x14ac:dyDescent="0.3">
      <c r="O3231" s="52"/>
      <c r="P3231" s="52"/>
    </row>
    <row r="3232" spans="15:16" x14ac:dyDescent="0.3">
      <c r="O3232" s="52"/>
      <c r="P3232" s="52"/>
    </row>
    <row r="3233" spans="15:16" x14ac:dyDescent="0.3">
      <c r="O3233" s="52"/>
      <c r="P3233" s="52"/>
    </row>
    <row r="3234" spans="15:16" x14ac:dyDescent="0.3">
      <c r="O3234" s="52"/>
      <c r="P3234" s="52"/>
    </row>
    <row r="3235" spans="15:16" x14ac:dyDescent="0.3">
      <c r="O3235" s="52"/>
      <c r="P3235" s="52"/>
    </row>
    <row r="3236" spans="15:16" x14ac:dyDescent="0.3">
      <c r="O3236" s="52"/>
      <c r="P3236" s="52"/>
    </row>
    <row r="3237" spans="15:16" x14ac:dyDescent="0.3">
      <c r="O3237" s="52"/>
      <c r="P3237" s="52"/>
    </row>
    <row r="3238" spans="15:16" x14ac:dyDescent="0.3">
      <c r="O3238" s="52"/>
      <c r="P3238" s="52"/>
    </row>
    <row r="3239" spans="15:16" x14ac:dyDescent="0.3">
      <c r="O3239" s="52"/>
      <c r="P3239" s="52"/>
    </row>
    <row r="3240" spans="15:16" x14ac:dyDescent="0.3">
      <c r="O3240" s="52"/>
      <c r="P3240" s="52"/>
    </row>
    <row r="3241" spans="15:16" x14ac:dyDescent="0.3">
      <c r="O3241" s="52"/>
      <c r="P3241" s="52"/>
    </row>
    <row r="3242" spans="15:16" x14ac:dyDescent="0.3">
      <c r="O3242" s="52"/>
      <c r="P3242" s="52"/>
    </row>
    <row r="3243" spans="15:16" x14ac:dyDescent="0.3">
      <c r="O3243" s="52"/>
      <c r="P3243" s="52"/>
    </row>
    <row r="3244" spans="15:16" x14ac:dyDescent="0.3">
      <c r="O3244" s="52"/>
      <c r="P3244" s="52"/>
    </row>
    <row r="3245" spans="15:16" x14ac:dyDescent="0.3">
      <c r="O3245" s="52"/>
      <c r="P3245" s="52"/>
    </row>
    <row r="3246" spans="15:16" x14ac:dyDescent="0.3">
      <c r="O3246" s="52"/>
      <c r="P3246" s="52"/>
    </row>
    <row r="3247" spans="15:16" x14ac:dyDescent="0.3">
      <c r="O3247" s="52"/>
      <c r="P3247" s="52"/>
    </row>
    <row r="3248" spans="15:16" x14ac:dyDescent="0.3">
      <c r="O3248" s="52"/>
      <c r="P3248" s="52"/>
    </row>
    <row r="3249" spans="15:16" x14ac:dyDescent="0.3">
      <c r="O3249" s="52"/>
      <c r="P3249" s="52"/>
    </row>
    <row r="3250" spans="15:16" x14ac:dyDescent="0.3">
      <c r="O3250" s="52"/>
      <c r="P3250" s="52"/>
    </row>
    <row r="3251" spans="15:16" x14ac:dyDescent="0.3">
      <c r="O3251" s="52"/>
      <c r="P3251" s="52"/>
    </row>
    <row r="3252" spans="15:16" x14ac:dyDescent="0.3">
      <c r="O3252" s="52"/>
      <c r="P3252" s="52"/>
    </row>
    <row r="3253" spans="15:16" x14ac:dyDescent="0.3">
      <c r="O3253" s="52"/>
      <c r="P3253" s="52"/>
    </row>
    <row r="3254" spans="15:16" x14ac:dyDescent="0.3">
      <c r="O3254" s="52"/>
      <c r="P3254" s="52"/>
    </row>
    <row r="3255" spans="15:16" x14ac:dyDescent="0.3">
      <c r="O3255" s="52"/>
      <c r="P3255" s="52"/>
    </row>
    <row r="3256" spans="15:16" x14ac:dyDescent="0.3">
      <c r="O3256" s="52"/>
      <c r="P3256" s="52"/>
    </row>
    <row r="3257" spans="15:16" x14ac:dyDescent="0.3">
      <c r="O3257" s="52"/>
      <c r="P3257" s="52"/>
    </row>
    <row r="3258" spans="15:16" x14ac:dyDescent="0.3">
      <c r="O3258" s="52"/>
      <c r="P3258" s="52"/>
    </row>
    <row r="3259" spans="15:16" x14ac:dyDescent="0.3">
      <c r="O3259" s="52"/>
      <c r="P3259" s="52"/>
    </row>
    <row r="3260" spans="15:16" x14ac:dyDescent="0.3">
      <c r="O3260" s="52"/>
      <c r="P3260" s="52"/>
    </row>
    <row r="3261" spans="15:16" x14ac:dyDescent="0.3">
      <c r="O3261" s="52"/>
      <c r="P3261" s="52"/>
    </row>
    <row r="3262" spans="15:16" x14ac:dyDescent="0.3">
      <c r="O3262" s="52"/>
      <c r="P3262" s="52"/>
    </row>
    <row r="3263" spans="15:16" x14ac:dyDescent="0.3">
      <c r="O3263" s="52"/>
      <c r="P3263" s="52"/>
    </row>
    <row r="3264" spans="15:16" x14ac:dyDescent="0.3">
      <c r="O3264" s="52"/>
      <c r="P3264" s="52"/>
    </row>
    <row r="3265" spans="15:16" x14ac:dyDescent="0.3">
      <c r="O3265" s="52"/>
      <c r="P3265" s="52"/>
    </row>
    <row r="3266" spans="15:16" x14ac:dyDescent="0.3">
      <c r="O3266" s="52"/>
      <c r="P3266" s="52"/>
    </row>
    <row r="3267" spans="15:16" x14ac:dyDescent="0.3">
      <c r="O3267" s="52"/>
      <c r="P3267" s="52"/>
    </row>
    <row r="3268" spans="15:16" x14ac:dyDescent="0.3">
      <c r="O3268" s="52"/>
      <c r="P3268" s="52"/>
    </row>
    <row r="3269" spans="15:16" x14ac:dyDescent="0.3">
      <c r="O3269" s="52"/>
      <c r="P3269" s="52"/>
    </row>
    <row r="3270" spans="15:16" x14ac:dyDescent="0.3">
      <c r="O3270" s="52"/>
      <c r="P3270" s="52"/>
    </row>
    <row r="3271" spans="15:16" x14ac:dyDescent="0.3">
      <c r="O3271" s="52"/>
      <c r="P3271" s="52"/>
    </row>
    <row r="3272" spans="15:16" x14ac:dyDescent="0.3">
      <c r="O3272" s="52"/>
      <c r="P3272" s="52"/>
    </row>
    <row r="3273" spans="15:16" x14ac:dyDescent="0.3">
      <c r="O3273" s="52"/>
      <c r="P3273" s="52"/>
    </row>
    <row r="3274" spans="15:16" x14ac:dyDescent="0.3">
      <c r="O3274" s="52"/>
      <c r="P3274" s="52"/>
    </row>
    <row r="3275" spans="15:16" x14ac:dyDescent="0.3">
      <c r="O3275" s="52"/>
      <c r="P3275" s="52"/>
    </row>
    <row r="3276" spans="15:16" x14ac:dyDescent="0.3">
      <c r="O3276" s="52"/>
      <c r="P3276" s="52"/>
    </row>
    <row r="3277" spans="15:16" x14ac:dyDescent="0.3">
      <c r="O3277" s="52"/>
      <c r="P3277" s="52"/>
    </row>
    <row r="3278" spans="15:16" x14ac:dyDescent="0.3">
      <c r="O3278" s="52"/>
      <c r="P3278" s="52"/>
    </row>
    <row r="3279" spans="15:16" x14ac:dyDescent="0.3">
      <c r="O3279" s="52"/>
      <c r="P3279" s="52"/>
    </row>
    <row r="3280" spans="15:16" x14ac:dyDescent="0.3">
      <c r="O3280" s="52"/>
      <c r="P3280" s="52"/>
    </row>
    <row r="3281" spans="15:16" x14ac:dyDescent="0.3">
      <c r="O3281" s="52"/>
      <c r="P3281" s="52"/>
    </row>
    <row r="3282" spans="15:16" x14ac:dyDescent="0.3">
      <c r="O3282" s="52"/>
      <c r="P3282" s="52"/>
    </row>
    <row r="3283" spans="15:16" x14ac:dyDescent="0.3">
      <c r="O3283" s="52"/>
      <c r="P3283" s="52"/>
    </row>
    <row r="3284" spans="15:16" x14ac:dyDescent="0.3">
      <c r="O3284" s="52"/>
      <c r="P3284" s="52"/>
    </row>
    <row r="3285" spans="15:16" x14ac:dyDescent="0.3">
      <c r="O3285" s="52"/>
      <c r="P3285" s="52"/>
    </row>
    <row r="3286" spans="15:16" x14ac:dyDescent="0.3">
      <c r="O3286" s="52"/>
      <c r="P3286" s="52"/>
    </row>
    <row r="3287" spans="15:16" x14ac:dyDescent="0.3">
      <c r="O3287" s="52"/>
      <c r="P3287" s="52"/>
    </row>
    <row r="3288" spans="15:16" x14ac:dyDescent="0.3">
      <c r="O3288" s="52"/>
      <c r="P3288" s="52"/>
    </row>
    <row r="3289" spans="15:16" x14ac:dyDescent="0.3">
      <c r="O3289" s="52"/>
      <c r="P3289" s="52"/>
    </row>
    <row r="3290" spans="15:16" x14ac:dyDescent="0.3">
      <c r="O3290" s="52"/>
      <c r="P3290" s="52"/>
    </row>
    <row r="3291" spans="15:16" x14ac:dyDescent="0.3">
      <c r="O3291" s="52"/>
      <c r="P3291" s="52"/>
    </row>
    <row r="3292" spans="15:16" x14ac:dyDescent="0.3">
      <c r="O3292" s="52"/>
      <c r="P3292" s="52"/>
    </row>
    <row r="3293" spans="15:16" x14ac:dyDescent="0.3">
      <c r="O3293" s="52"/>
      <c r="P3293" s="52"/>
    </row>
    <row r="3294" spans="15:16" x14ac:dyDescent="0.3">
      <c r="O3294" s="52"/>
      <c r="P3294" s="52"/>
    </row>
    <row r="3295" spans="15:16" x14ac:dyDescent="0.3">
      <c r="O3295" s="52"/>
      <c r="P3295" s="52"/>
    </row>
    <row r="3296" spans="15:16" x14ac:dyDescent="0.3">
      <c r="O3296" s="52"/>
      <c r="P3296" s="52"/>
    </row>
    <row r="3297" spans="15:16" x14ac:dyDescent="0.3">
      <c r="O3297" s="52"/>
      <c r="P3297" s="52"/>
    </row>
    <row r="3298" spans="15:16" x14ac:dyDescent="0.3">
      <c r="O3298" s="52"/>
      <c r="P3298" s="52"/>
    </row>
    <row r="3299" spans="15:16" x14ac:dyDescent="0.3">
      <c r="O3299" s="52"/>
      <c r="P3299" s="52"/>
    </row>
    <row r="3300" spans="15:16" x14ac:dyDescent="0.3">
      <c r="O3300" s="52"/>
      <c r="P3300" s="52"/>
    </row>
    <row r="3301" spans="15:16" x14ac:dyDescent="0.3">
      <c r="O3301" s="52"/>
      <c r="P3301" s="52"/>
    </row>
    <row r="3302" spans="15:16" x14ac:dyDescent="0.3">
      <c r="O3302" s="52"/>
      <c r="P3302" s="52"/>
    </row>
    <row r="3303" spans="15:16" x14ac:dyDescent="0.3">
      <c r="O3303" s="52"/>
      <c r="P3303" s="52"/>
    </row>
    <row r="3304" spans="15:16" x14ac:dyDescent="0.3">
      <c r="O3304" s="52"/>
      <c r="P3304" s="52"/>
    </row>
    <row r="3305" spans="15:16" x14ac:dyDescent="0.3">
      <c r="O3305" s="52"/>
      <c r="P3305" s="52"/>
    </row>
    <row r="3306" spans="15:16" x14ac:dyDescent="0.3">
      <c r="O3306" s="52"/>
      <c r="P3306" s="52"/>
    </row>
    <row r="3307" spans="15:16" x14ac:dyDescent="0.3">
      <c r="O3307" s="52"/>
      <c r="P3307" s="52"/>
    </row>
    <row r="3308" spans="15:16" x14ac:dyDescent="0.3">
      <c r="O3308" s="52"/>
      <c r="P3308" s="52"/>
    </row>
    <row r="3309" spans="15:16" x14ac:dyDescent="0.3">
      <c r="O3309" s="52"/>
      <c r="P3309" s="52"/>
    </row>
    <row r="3310" spans="15:16" x14ac:dyDescent="0.3">
      <c r="O3310" s="52"/>
      <c r="P3310" s="52"/>
    </row>
    <row r="3311" spans="15:16" x14ac:dyDescent="0.3">
      <c r="O3311" s="52"/>
      <c r="P3311" s="52"/>
    </row>
    <row r="3312" spans="15:16" x14ac:dyDescent="0.3">
      <c r="O3312" s="52"/>
      <c r="P3312" s="52"/>
    </row>
    <row r="3313" spans="15:16" x14ac:dyDescent="0.3">
      <c r="O3313" s="52"/>
      <c r="P3313" s="52"/>
    </row>
    <row r="3314" spans="15:16" x14ac:dyDescent="0.3">
      <c r="O3314" s="52"/>
      <c r="P3314" s="52"/>
    </row>
    <row r="3315" spans="15:16" x14ac:dyDescent="0.3">
      <c r="O3315" s="52"/>
      <c r="P3315" s="52"/>
    </row>
    <row r="3316" spans="15:16" x14ac:dyDescent="0.3">
      <c r="O3316" s="52"/>
      <c r="P3316" s="52"/>
    </row>
    <row r="3317" spans="15:16" x14ac:dyDescent="0.3">
      <c r="O3317" s="52"/>
      <c r="P3317" s="52"/>
    </row>
    <row r="3318" spans="15:16" x14ac:dyDescent="0.3">
      <c r="O3318" s="52"/>
      <c r="P3318" s="52"/>
    </row>
    <row r="3319" spans="15:16" x14ac:dyDescent="0.3">
      <c r="O3319" s="52"/>
      <c r="P3319" s="52"/>
    </row>
    <row r="3320" spans="15:16" x14ac:dyDescent="0.3">
      <c r="O3320" s="52"/>
      <c r="P3320" s="52"/>
    </row>
    <row r="3321" spans="15:16" x14ac:dyDescent="0.3">
      <c r="O3321" s="52"/>
      <c r="P3321" s="52"/>
    </row>
    <row r="3322" spans="15:16" x14ac:dyDescent="0.3">
      <c r="O3322" s="52"/>
      <c r="P3322" s="52"/>
    </row>
    <row r="3323" spans="15:16" x14ac:dyDescent="0.3">
      <c r="O3323" s="52"/>
      <c r="P3323" s="52"/>
    </row>
    <row r="3324" spans="15:16" x14ac:dyDescent="0.3">
      <c r="O3324" s="52"/>
      <c r="P3324" s="52"/>
    </row>
    <row r="3325" spans="15:16" x14ac:dyDescent="0.3">
      <c r="O3325" s="52"/>
      <c r="P3325" s="52"/>
    </row>
    <row r="3326" spans="15:16" x14ac:dyDescent="0.3">
      <c r="O3326" s="52"/>
      <c r="P3326" s="52"/>
    </row>
    <row r="3327" spans="15:16" x14ac:dyDescent="0.3">
      <c r="O3327" s="52"/>
      <c r="P3327" s="52"/>
    </row>
    <row r="3328" spans="15:16" x14ac:dyDescent="0.3">
      <c r="O3328" s="52"/>
      <c r="P3328" s="52"/>
    </row>
    <row r="3329" spans="15:16" x14ac:dyDescent="0.3">
      <c r="O3329" s="52"/>
      <c r="P3329" s="52"/>
    </row>
    <row r="3330" spans="15:16" x14ac:dyDescent="0.3">
      <c r="O3330" s="52"/>
      <c r="P3330" s="52"/>
    </row>
    <row r="3331" spans="15:16" x14ac:dyDescent="0.3">
      <c r="O3331" s="52"/>
      <c r="P3331" s="52"/>
    </row>
    <row r="3332" spans="15:16" x14ac:dyDescent="0.3">
      <c r="O3332" s="52"/>
      <c r="P3332" s="52"/>
    </row>
    <row r="3333" spans="15:16" x14ac:dyDescent="0.3">
      <c r="O3333" s="52"/>
      <c r="P3333" s="52"/>
    </row>
    <row r="3334" spans="15:16" x14ac:dyDescent="0.3">
      <c r="O3334" s="52"/>
      <c r="P3334" s="52"/>
    </row>
    <row r="3335" spans="15:16" x14ac:dyDescent="0.3">
      <c r="O3335" s="52"/>
      <c r="P3335" s="52"/>
    </row>
    <row r="3336" spans="15:16" x14ac:dyDescent="0.3">
      <c r="O3336" s="52"/>
      <c r="P3336" s="52"/>
    </row>
    <row r="3337" spans="15:16" x14ac:dyDescent="0.3">
      <c r="O3337" s="52"/>
      <c r="P3337" s="52"/>
    </row>
    <row r="3338" spans="15:16" x14ac:dyDescent="0.3">
      <c r="O3338" s="52"/>
      <c r="P3338" s="52"/>
    </row>
    <row r="3339" spans="15:16" x14ac:dyDescent="0.3">
      <c r="O3339" s="52"/>
      <c r="P3339" s="52"/>
    </row>
    <row r="3340" spans="15:16" x14ac:dyDescent="0.3">
      <c r="O3340" s="52"/>
      <c r="P3340" s="52"/>
    </row>
    <row r="3341" spans="15:16" x14ac:dyDescent="0.3">
      <c r="O3341" s="52"/>
      <c r="P3341" s="52"/>
    </row>
    <row r="3342" spans="15:16" x14ac:dyDescent="0.3">
      <c r="O3342" s="52"/>
      <c r="P3342" s="52"/>
    </row>
    <row r="3343" spans="15:16" x14ac:dyDescent="0.3">
      <c r="O3343" s="52"/>
      <c r="P3343" s="52"/>
    </row>
    <row r="3344" spans="15:16" x14ac:dyDescent="0.3">
      <c r="O3344" s="52"/>
      <c r="P3344" s="52"/>
    </row>
    <row r="3345" spans="15:16" x14ac:dyDescent="0.3">
      <c r="O3345" s="52"/>
      <c r="P3345" s="52"/>
    </row>
    <row r="3346" spans="15:16" x14ac:dyDescent="0.3">
      <c r="O3346" s="52"/>
      <c r="P3346" s="52"/>
    </row>
    <row r="3347" spans="15:16" x14ac:dyDescent="0.3">
      <c r="O3347" s="52"/>
      <c r="P3347" s="52"/>
    </row>
    <row r="3348" spans="15:16" x14ac:dyDescent="0.3">
      <c r="O3348" s="52"/>
      <c r="P3348" s="52"/>
    </row>
    <row r="3349" spans="15:16" x14ac:dyDescent="0.3">
      <c r="O3349" s="52"/>
      <c r="P3349" s="52"/>
    </row>
    <row r="3350" spans="15:16" x14ac:dyDescent="0.3">
      <c r="O3350" s="52"/>
      <c r="P3350" s="52"/>
    </row>
    <row r="3351" spans="15:16" x14ac:dyDescent="0.3">
      <c r="O3351" s="52"/>
      <c r="P3351" s="52"/>
    </row>
    <row r="3352" spans="15:16" x14ac:dyDescent="0.3">
      <c r="O3352" s="52"/>
      <c r="P3352" s="52"/>
    </row>
    <row r="3353" spans="15:16" x14ac:dyDescent="0.3">
      <c r="O3353" s="52"/>
      <c r="P3353" s="52"/>
    </row>
    <row r="3354" spans="15:16" x14ac:dyDescent="0.3">
      <c r="O3354" s="52"/>
      <c r="P3354" s="52"/>
    </row>
    <row r="3355" spans="15:16" x14ac:dyDescent="0.3">
      <c r="O3355" s="52"/>
      <c r="P3355" s="52"/>
    </row>
    <row r="3356" spans="15:16" x14ac:dyDescent="0.3">
      <c r="O3356" s="52"/>
      <c r="P3356" s="52"/>
    </row>
    <row r="3357" spans="15:16" x14ac:dyDescent="0.3">
      <c r="O3357" s="52"/>
      <c r="P3357" s="52"/>
    </row>
    <row r="3358" spans="15:16" x14ac:dyDescent="0.3">
      <c r="O3358" s="52"/>
      <c r="P3358" s="52"/>
    </row>
    <row r="3359" spans="15:16" x14ac:dyDescent="0.3">
      <c r="O3359" s="52"/>
      <c r="P3359" s="52"/>
    </row>
    <row r="3360" spans="15:16" x14ac:dyDescent="0.3">
      <c r="O3360" s="52"/>
      <c r="P3360" s="52"/>
    </row>
    <row r="3361" spans="15:16" x14ac:dyDescent="0.3">
      <c r="O3361" s="52"/>
      <c r="P3361" s="52"/>
    </row>
    <row r="3362" spans="15:16" x14ac:dyDescent="0.3">
      <c r="O3362" s="52"/>
      <c r="P3362" s="52"/>
    </row>
    <row r="3363" spans="15:16" x14ac:dyDescent="0.3">
      <c r="O3363" s="52"/>
      <c r="P3363" s="52"/>
    </row>
    <row r="3364" spans="15:16" x14ac:dyDescent="0.3">
      <c r="O3364" s="52"/>
      <c r="P3364" s="52"/>
    </row>
    <row r="3365" spans="15:16" x14ac:dyDescent="0.3">
      <c r="O3365" s="52"/>
      <c r="P3365" s="52"/>
    </row>
    <row r="3366" spans="15:16" x14ac:dyDescent="0.3">
      <c r="O3366" s="52"/>
      <c r="P3366" s="52"/>
    </row>
    <row r="3367" spans="15:16" x14ac:dyDescent="0.3">
      <c r="O3367" s="52"/>
      <c r="P3367" s="52"/>
    </row>
    <row r="3368" spans="15:16" x14ac:dyDescent="0.3">
      <c r="O3368" s="52"/>
      <c r="P3368" s="52"/>
    </row>
    <row r="3369" spans="15:16" x14ac:dyDescent="0.3">
      <c r="O3369" s="52"/>
      <c r="P3369" s="52"/>
    </row>
    <row r="3370" spans="15:16" x14ac:dyDescent="0.3">
      <c r="O3370" s="52"/>
      <c r="P3370" s="52"/>
    </row>
    <row r="3371" spans="15:16" x14ac:dyDescent="0.3">
      <c r="O3371" s="52"/>
      <c r="P3371" s="52"/>
    </row>
    <row r="3372" spans="15:16" x14ac:dyDescent="0.3">
      <c r="O3372" s="52"/>
      <c r="P3372" s="52"/>
    </row>
    <row r="3373" spans="15:16" x14ac:dyDescent="0.3">
      <c r="O3373" s="52"/>
      <c r="P3373" s="52"/>
    </row>
    <row r="3374" spans="15:16" x14ac:dyDescent="0.3">
      <c r="O3374" s="52"/>
      <c r="P3374" s="52"/>
    </row>
    <row r="3375" spans="15:16" x14ac:dyDescent="0.3">
      <c r="O3375" s="52"/>
      <c r="P3375" s="52"/>
    </row>
    <row r="3376" spans="15:16" x14ac:dyDescent="0.3">
      <c r="O3376" s="52"/>
      <c r="P3376" s="52"/>
    </row>
    <row r="3377" spans="15:16" x14ac:dyDescent="0.3">
      <c r="O3377" s="52"/>
      <c r="P3377" s="52"/>
    </row>
    <row r="3378" spans="15:16" x14ac:dyDescent="0.3">
      <c r="O3378" s="52"/>
      <c r="P3378" s="52"/>
    </row>
    <row r="3379" spans="15:16" x14ac:dyDescent="0.3">
      <c r="O3379" s="52"/>
      <c r="P3379" s="52"/>
    </row>
    <row r="3380" spans="15:16" x14ac:dyDescent="0.3">
      <c r="O3380" s="52"/>
      <c r="P3380" s="52"/>
    </row>
    <row r="3381" spans="15:16" x14ac:dyDescent="0.3">
      <c r="O3381" s="52"/>
      <c r="P3381" s="52"/>
    </row>
    <row r="3382" spans="15:16" x14ac:dyDescent="0.3">
      <c r="O3382" s="52"/>
      <c r="P3382" s="52"/>
    </row>
    <row r="3383" spans="15:16" x14ac:dyDescent="0.3">
      <c r="O3383" s="52"/>
      <c r="P3383" s="52"/>
    </row>
    <row r="3384" spans="15:16" x14ac:dyDescent="0.3">
      <c r="O3384" s="52"/>
      <c r="P3384" s="52"/>
    </row>
    <row r="3385" spans="15:16" x14ac:dyDescent="0.3">
      <c r="O3385" s="52"/>
      <c r="P3385" s="52"/>
    </row>
    <row r="3386" spans="15:16" x14ac:dyDescent="0.3">
      <c r="O3386" s="52"/>
      <c r="P3386" s="52"/>
    </row>
    <row r="3387" spans="15:16" x14ac:dyDescent="0.3">
      <c r="O3387" s="52"/>
      <c r="P3387" s="52"/>
    </row>
    <row r="3388" spans="15:16" x14ac:dyDescent="0.3">
      <c r="O3388" s="52"/>
      <c r="P3388" s="52"/>
    </row>
    <row r="3389" spans="15:16" x14ac:dyDescent="0.3">
      <c r="O3389" s="52"/>
      <c r="P3389" s="52"/>
    </row>
    <row r="3390" spans="15:16" x14ac:dyDescent="0.3">
      <c r="O3390" s="52"/>
      <c r="P3390" s="52"/>
    </row>
    <row r="3391" spans="15:16" x14ac:dyDescent="0.3">
      <c r="O3391" s="52"/>
      <c r="P3391" s="52"/>
    </row>
    <row r="3392" spans="15:16" x14ac:dyDescent="0.3">
      <c r="O3392" s="52"/>
      <c r="P3392" s="52"/>
    </row>
    <row r="3393" spans="15:16" x14ac:dyDescent="0.3">
      <c r="O3393" s="52"/>
      <c r="P3393" s="52"/>
    </row>
    <row r="3394" spans="15:16" x14ac:dyDescent="0.3">
      <c r="O3394" s="52"/>
      <c r="P3394" s="52"/>
    </row>
    <row r="3395" spans="15:16" x14ac:dyDescent="0.3">
      <c r="O3395" s="52"/>
      <c r="P3395" s="52"/>
    </row>
    <row r="3396" spans="15:16" x14ac:dyDescent="0.3">
      <c r="O3396" s="52"/>
      <c r="P3396" s="52"/>
    </row>
    <row r="3397" spans="15:16" x14ac:dyDescent="0.3">
      <c r="O3397" s="52"/>
      <c r="P3397" s="52"/>
    </row>
    <row r="3398" spans="15:16" x14ac:dyDescent="0.3">
      <c r="O3398" s="52"/>
      <c r="P3398" s="52"/>
    </row>
    <row r="3399" spans="15:16" x14ac:dyDescent="0.3">
      <c r="O3399" s="52"/>
      <c r="P3399" s="52"/>
    </row>
    <row r="3400" spans="15:16" x14ac:dyDescent="0.3">
      <c r="O3400" s="52"/>
      <c r="P3400" s="52"/>
    </row>
    <row r="3401" spans="15:16" x14ac:dyDescent="0.3">
      <c r="O3401" s="52"/>
      <c r="P3401" s="52"/>
    </row>
    <row r="3402" spans="15:16" x14ac:dyDescent="0.3">
      <c r="O3402" s="52"/>
      <c r="P3402" s="52"/>
    </row>
    <row r="3403" spans="15:16" x14ac:dyDescent="0.3">
      <c r="O3403" s="52"/>
      <c r="P3403" s="52"/>
    </row>
    <row r="3404" spans="15:16" x14ac:dyDescent="0.3">
      <c r="O3404" s="52"/>
      <c r="P3404" s="52"/>
    </row>
    <row r="3405" spans="15:16" x14ac:dyDescent="0.3">
      <c r="O3405" s="52"/>
      <c r="P3405" s="52"/>
    </row>
    <row r="3406" spans="15:16" x14ac:dyDescent="0.3">
      <c r="O3406" s="52"/>
      <c r="P3406" s="52"/>
    </row>
    <row r="3407" spans="15:16" x14ac:dyDescent="0.3">
      <c r="O3407" s="52"/>
      <c r="P3407" s="52"/>
    </row>
    <row r="3408" spans="15:16" x14ac:dyDescent="0.3">
      <c r="O3408" s="52"/>
      <c r="P3408" s="52"/>
    </row>
    <row r="3409" spans="15:16" x14ac:dyDescent="0.3">
      <c r="O3409" s="52"/>
      <c r="P3409" s="52"/>
    </row>
    <row r="3410" spans="15:16" x14ac:dyDescent="0.3">
      <c r="O3410" s="52"/>
      <c r="P3410" s="52"/>
    </row>
    <row r="3411" spans="15:16" x14ac:dyDescent="0.3">
      <c r="O3411" s="52"/>
      <c r="P3411" s="52"/>
    </row>
    <row r="3412" spans="15:16" x14ac:dyDescent="0.3">
      <c r="O3412" s="52"/>
      <c r="P3412" s="52"/>
    </row>
    <row r="3413" spans="15:16" x14ac:dyDescent="0.3">
      <c r="O3413" s="52"/>
      <c r="P3413" s="52"/>
    </row>
    <row r="3414" spans="15:16" x14ac:dyDescent="0.3">
      <c r="O3414" s="52"/>
      <c r="P3414" s="52"/>
    </row>
    <row r="3415" spans="15:16" x14ac:dyDescent="0.3">
      <c r="O3415" s="52"/>
      <c r="P3415" s="52"/>
    </row>
    <row r="3416" spans="15:16" x14ac:dyDescent="0.3">
      <c r="O3416" s="52"/>
      <c r="P3416" s="52"/>
    </row>
    <row r="3417" spans="15:16" x14ac:dyDescent="0.3">
      <c r="O3417" s="52"/>
      <c r="P3417" s="52"/>
    </row>
    <row r="3418" spans="15:16" x14ac:dyDescent="0.3">
      <c r="O3418" s="52"/>
      <c r="P3418" s="52"/>
    </row>
    <row r="3419" spans="15:16" x14ac:dyDescent="0.3">
      <c r="O3419" s="52"/>
      <c r="P3419" s="52"/>
    </row>
    <row r="3420" spans="15:16" x14ac:dyDescent="0.3">
      <c r="O3420" s="52"/>
      <c r="P3420" s="52"/>
    </row>
    <row r="3421" spans="15:16" x14ac:dyDescent="0.3">
      <c r="O3421" s="52"/>
      <c r="P3421" s="52"/>
    </row>
    <row r="3422" spans="15:16" x14ac:dyDescent="0.3">
      <c r="O3422" s="52"/>
      <c r="P3422" s="52"/>
    </row>
    <row r="3423" spans="15:16" x14ac:dyDescent="0.3">
      <c r="O3423" s="52"/>
      <c r="P3423" s="52"/>
    </row>
    <row r="3424" spans="15:16" x14ac:dyDescent="0.3">
      <c r="O3424" s="52"/>
      <c r="P3424" s="52"/>
    </row>
    <row r="3425" spans="15:16" x14ac:dyDescent="0.3">
      <c r="O3425" s="52"/>
      <c r="P3425" s="52"/>
    </row>
    <row r="3426" spans="15:16" x14ac:dyDescent="0.3">
      <c r="O3426" s="52"/>
      <c r="P3426" s="52"/>
    </row>
    <row r="3427" spans="15:16" x14ac:dyDescent="0.3">
      <c r="O3427" s="52"/>
      <c r="P3427" s="52"/>
    </row>
    <row r="3428" spans="15:16" x14ac:dyDescent="0.3">
      <c r="O3428" s="52"/>
      <c r="P3428" s="52"/>
    </row>
    <row r="3429" spans="15:16" x14ac:dyDescent="0.3">
      <c r="O3429" s="52"/>
      <c r="P3429" s="52"/>
    </row>
    <row r="3430" spans="15:16" x14ac:dyDescent="0.3">
      <c r="O3430" s="52"/>
      <c r="P3430" s="52"/>
    </row>
    <row r="3431" spans="15:16" x14ac:dyDescent="0.3">
      <c r="O3431" s="52"/>
      <c r="P3431" s="52"/>
    </row>
    <row r="3432" spans="15:16" x14ac:dyDescent="0.3">
      <c r="O3432" s="52"/>
      <c r="P3432" s="52"/>
    </row>
    <row r="3433" spans="15:16" x14ac:dyDescent="0.3">
      <c r="O3433" s="52"/>
      <c r="P3433" s="52"/>
    </row>
    <row r="3434" spans="15:16" x14ac:dyDescent="0.3">
      <c r="O3434" s="52"/>
      <c r="P3434" s="52"/>
    </row>
    <row r="3435" spans="15:16" x14ac:dyDescent="0.3">
      <c r="O3435" s="52"/>
      <c r="P3435" s="52"/>
    </row>
    <row r="3436" spans="15:16" x14ac:dyDescent="0.3">
      <c r="O3436" s="52"/>
      <c r="P3436" s="52"/>
    </row>
    <row r="3437" spans="15:16" x14ac:dyDescent="0.3">
      <c r="O3437" s="52"/>
      <c r="P3437" s="52"/>
    </row>
    <row r="3438" spans="15:16" x14ac:dyDescent="0.3">
      <c r="O3438" s="52"/>
      <c r="P3438" s="52"/>
    </row>
    <row r="3439" spans="15:16" x14ac:dyDescent="0.3">
      <c r="O3439" s="52"/>
      <c r="P3439" s="52"/>
    </row>
    <row r="3440" spans="15:16" x14ac:dyDescent="0.3">
      <c r="O3440" s="52"/>
      <c r="P3440" s="52"/>
    </row>
    <row r="3441" spans="15:16" x14ac:dyDescent="0.3">
      <c r="O3441" s="52"/>
      <c r="P3441" s="52"/>
    </row>
    <row r="3442" spans="15:16" x14ac:dyDescent="0.3">
      <c r="O3442" s="52"/>
      <c r="P3442" s="52"/>
    </row>
    <row r="3443" spans="15:16" x14ac:dyDescent="0.3">
      <c r="O3443" s="52"/>
      <c r="P3443" s="52"/>
    </row>
    <row r="3444" spans="15:16" x14ac:dyDescent="0.3">
      <c r="O3444" s="52"/>
      <c r="P3444" s="52"/>
    </row>
    <row r="3445" spans="15:16" x14ac:dyDescent="0.3">
      <c r="O3445" s="52"/>
      <c r="P3445" s="52"/>
    </row>
    <row r="3446" spans="15:16" x14ac:dyDescent="0.3">
      <c r="O3446" s="52"/>
      <c r="P3446" s="52"/>
    </row>
    <row r="3447" spans="15:16" x14ac:dyDescent="0.3">
      <c r="O3447" s="52"/>
      <c r="P3447" s="52"/>
    </row>
    <row r="3448" spans="15:16" x14ac:dyDescent="0.3">
      <c r="O3448" s="52"/>
      <c r="P3448" s="52"/>
    </row>
    <row r="3449" spans="15:16" x14ac:dyDescent="0.3">
      <c r="O3449" s="52"/>
      <c r="P3449" s="52"/>
    </row>
    <row r="3450" spans="15:16" x14ac:dyDescent="0.3">
      <c r="O3450" s="52"/>
      <c r="P3450" s="52"/>
    </row>
    <row r="3451" spans="15:16" x14ac:dyDescent="0.3">
      <c r="O3451" s="52"/>
      <c r="P3451" s="52"/>
    </row>
    <row r="3452" spans="15:16" x14ac:dyDescent="0.3">
      <c r="O3452" s="52"/>
      <c r="P3452" s="52"/>
    </row>
    <row r="3453" spans="15:16" x14ac:dyDescent="0.3">
      <c r="O3453" s="52"/>
      <c r="P3453" s="52"/>
    </row>
    <row r="3454" spans="15:16" x14ac:dyDescent="0.3">
      <c r="O3454" s="52"/>
      <c r="P3454" s="52"/>
    </row>
    <row r="3455" spans="15:16" x14ac:dyDescent="0.3">
      <c r="O3455" s="52"/>
      <c r="P3455" s="52"/>
    </row>
    <row r="3456" spans="15:16" x14ac:dyDescent="0.3">
      <c r="O3456" s="52"/>
      <c r="P3456" s="52"/>
    </row>
    <row r="3457" spans="15:16" x14ac:dyDescent="0.3">
      <c r="O3457" s="52"/>
      <c r="P3457" s="52"/>
    </row>
    <row r="3458" spans="15:16" x14ac:dyDescent="0.3">
      <c r="O3458" s="52"/>
      <c r="P3458" s="52"/>
    </row>
    <row r="3459" spans="15:16" x14ac:dyDescent="0.3">
      <c r="O3459" s="52"/>
      <c r="P3459" s="52"/>
    </row>
    <row r="3460" spans="15:16" x14ac:dyDescent="0.3">
      <c r="O3460" s="52"/>
      <c r="P3460" s="52"/>
    </row>
    <row r="3461" spans="15:16" x14ac:dyDescent="0.3">
      <c r="O3461" s="52"/>
      <c r="P3461" s="52"/>
    </row>
    <row r="3462" spans="15:16" x14ac:dyDescent="0.3">
      <c r="O3462" s="52"/>
      <c r="P3462" s="52"/>
    </row>
    <row r="3463" spans="15:16" x14ac:dyDescent="0.3">
      <c r="O3463" s="52"/>
      <c r="P3463" s="52"/>
    </row>
    <row r="3464" spans="15:16" x14ac:dyDescent="0.3">
      <c r="O3464" s="52"/>
      <c r="P3464" s="52"/>
    </row>
    <row r="3465" spans="15:16" x14ac:dyDescent="0.3">
      <c r="O3465" s="52"/>
      <c r="P3465" s="52"/>
    </row>
    <row r="3466" spans="15:16" x14ac:dyDescent="0.3">
      <c r="O3466" s="52"/>
      <c r="P3466" s="52"/>
    </row>
    <row r="3467" spans="15:16" x14ac:dyDescent="0.3">
      <c r="O3467" s="52"/>
      <c r="P3467" s="52"/>
    </row>
    <row r="3468" spans="15:16" x14ac:dyDescent="0.3">
      <c r="O3468" s="52"/>
      <c r="P3468" s="52"/>
    </row>
    <row r="3469" spans="15:16" x14ac:dyDescent="0.3">
      <c r="O3469" s="52"/>
      <c r="P3469" s="52"/>
    </row>
    <row r="3470" spans="15:16" x14ac:dyDescent="0.3">
      <c r="O3470" s="52"/>
      <c r="P3470" s="52"/>
    </row>
    <row r="3471" spans="15:16" x14ac:dyDescent="0.3">
      <c r="O3471" s="52"/>
      <c r="P3471" s="52"/>
    </row>
    <row r="3472" spans="15:16" x14ac:dyDescent="0.3">
      <c r="O3472" s="52"/>
      <c r="P3472" s="52"/>
    </row>
    <row r="3473" spans="15:16" x14ac:dyDescent="0.3">
      <c r="O3473" s="52"/>
      <c r="P3473" s="52"/>
    </row>
    <row r="3474" spans="15:16" x14ac:dyDescent="0.3">
      <c r="O3474" s="52"/>
      <c r="P3474" s="52"/>
    </row>
    <row r="3475" spans="15:16" x14ac:dyDescent="0.3">
      <c r="O3475" s="52"/>
      <c r="P3475" s="52"/>
    </row>
    <row r="3476" spans="15:16" x14ac:dyDescent="0.3">
      <c r="O3476" s="52"/>
      <c r="P3476" s="52"/>
    </row>
    <row r="3477" spans="15:16" x14ac:dyDescent="0.3">
      <c r="O3477" s="52"/>
      <c r="P3477" s="52"/>
    </row>
    <row r="3478" spans="15:16" x14ac:dyDescent="0.3">
      <c r="O3478" s="52"/>
      <c r="P3478" s="52"/>
    </row>
    <row r="3479" spans="15:16" x14ac:dyDescent="0.3">
      <c r="O3479" s="52"/>
      <c r="P3479" s="52"/>
    </row>
    <row r="3480" spans="15:16" x14ac:dyDescent="0.3">
      <c r="O3480" s="52"/>
      <c r="P3480" s="52"/>
    </row>
    <row r="3481" spans="15:16" x14ac:dyDescent="0.3">
      <c r="O3481" s="52"/>
      <c r="P3481" s="52"/>
    </row>
    <row r="3482" spans="15:16" x14ac:dyDescent="0.3">
      <c r="O3482" s="52"/>
      <c r="P3482" s="52"/>
    </row>
    <row r="3483" spans="15:16" x14ac:dyDescent="0.3">
      <c r="O3483" s="52"/>
      <c r="P3483" s="52"/>
    </row>
    <row r="3484" spans="15:16" x14ac:dyDescent="0.3">
      <c r="O3484" s="52"/>
      <c r="P3484" s="52"/>
    </row>
    <row r="3485" spans="15:16" x14ac:dyDescent="0.3">
      <c r="O3485" s="52"/>
      <c r="P3485" s="52"/>
    </row>
    <row r="3486" spans="15:16" x14ac:dyDescent="0.3">
      <c r="O3486" s="52"/>
      <c r="P3486" s="52"/>
    </row>
    <row r="3487" spans="15:16" x14ac:dyDescent="0.3">
      <c r="O3487" s="52"/>
      <c r="P3487" s="52"/>
    </row>
    <row r="3488" spans="15:16" x14ac:dyDescent="0.3">
      <c r="O3488" s="52"/>
      <c r="P3488" s="52"/>
    </row>
    <row r="3489" spans="15:16" x14ac:dyDescent="0.3">
      <c r="O3489" s="52"/>
      <c r="P3489" s="52"/>
    </row>
    <row r="3490" spans="15:16" x14ac:dyDescent="0.3">
      <c r="O3490" s="52"/>
      <c r="P3490" s="52"/>
    </row>
    <row r="3491" spans="15:16" x14ac:dyDescent="0.3">
      <c r="O3491" s="52"/>
      <c r="P3491" s="52"/>
    </row>
    <row r="3492" spans="15:16" x14ac:dyDescent="0.3">
      <c r="O3492" s="52"/>
      <c r="P3492" s="52"/>
    </row>
    <row r="3493" spans="15:16" x14ac:dyDescent="0.3">
      <c r="O3493" s="52"/>
      <c r="P3493" s="52"/>
    </row>
    <row r="3494" spans="15:16" x14ac:dyDescent="0.3">
      <c r="O3494" s="52"/>
      <c r="P3494" s="52"/>
    </row>
    <row r="3495" spans="15:16" x14ac:dyDescent="0.3">
      <c r="O3495" s="52"/>
      <c r="P3495" s="52"/>
    </row>
    <row r="3496" spans="15:16" x14ac:dyDescent="0.3">
      <c r="O3496" s="52"/>
      <c r="P3496" s="52"/>
    </row>
    <row r="3497" spans="15:16" x14ac:dyDescent="0.3">
      <c r="O3497" s="52"/>
      <c r="P3497" s="52"/>
    </row>
    <row r="3498" spans="15:16" x14ac:dyDescent="0.3">
      <c r="O3498" s="52"/>
      <c r="P3498" s="52"/>
    </row>
    <row r="3499" spans="15:16" x14ac:dyDescent="0.3">
      <c r="O3499" s="52"/>
      <c r="P3499" s="52"/>
    </row>
    <row r="3500" spans="15:16" x14ac:dyDescent="0.3">
      <c r="O3500" s="52"/>
      <c r="P3500" s="52"/>
    </row>
    <row r="3501" spans="15:16" x14ac:dyDescent="0.3">
      <c r="O3501" s="52"/>
      <c r="P3501" s="52"/>
    </row>
    <row r="3502" spans="15:16" x14ac:dyDescent="0.3">
      <c r="O3502" s="52"/>
      <c r="P3502" s="52"/>
    </row>
    <row r="3503" spans="15:16" x14ac:dyDescent="0.3">
      <c r="O3503" s="52"/>
      <c r="P3503" s="52"/>
    </row>
    <row r="3504" spans="15:16" x14ac:dyDescent="0.3">
      <c r="O3504" s="52"/>
      <c r="P3504" s="52"/>
    </row>
    <row r="3505" spans="15:16" x14ac:dyDescent="0.3">
      <c r="O3505" s="52"/>
      <c r="P3505" s="52"/>
    </row>
    <row r="3506" spans="15:16" x14ac:dyDescent="0.3">
      <c r="O3506" s="52"/>
      <c r="P3506" s="52"/>
    </row>
    <row r="3507" spans="15:16" x14ac:dyDescent="0.3">
      <c r="O3507" s="52"/>
      <c r="P3507" s="52"/>
    </row>
    <row r="3508" spans="15:16" x14ac:dyDescent="0.3">
      <c r="O3508" s="52"/>
      <c r="P3508" s="52"/>
    </row>
    <row r="3509" spans="15:16" x14ac:dyDescent="0.3">
      <c r="O3509" s="52"/>
      <c r="P3509" s="52"/>
    </row>
    <row r="3510" spans="15:16" x14ac:dyDescent="0.3">
      <c r="O3510" s="52"/>
      <c r="P3510" s="52"/>
    </row>
    <row r="3511" spans="15:16" x14ac:dyDescent="0.3">
      <c r="O3511" s="52"/>
      <c r="P3511" s="52"/>
    </row>
    <row r="3512" spans="15:16" x14ac:dyDescent="0.3">
      <c r="O3512" s="52"/>
      <c r="P3512" s="52"/>
    </row>
    <row r="3513" spans="15:16" x14ac:dyDescent="0.3">
      <c r="O3513" s="52"/>
      <c r="P3513" s="52"/>
    </row>
    <row r="3514" spans="15:16" x14ac:dyDescent="0.3">
      <c r="O3514" s="52"/>
      <c r="P3514" s="52"/>
    </row>
    <row r="3515" spans="15:16" x14ac:dyDescent="0.3">
      <c r="O3515" s="52"/>
      <c r="P3515" s="52"/>
    </row>
    <row r="3516" spans="15:16" x14ac:dyDescent="0.3">
      <c r="O3516" s="52"/>
      <c r="P3516" s="52"/>
    </row>
    <row r="3517" spans="15:16" x14ac:dyDescent="0.3">
      <c r="O3517" s="52"/>
      <c r="P3517" s="52"/>
    </row>
    <row r="3518" spans="15:16" x14ac:dyDescent="0.3">
      <c r="O3518" s="52"/>
      <c r="P3518" s="52"/>
    </row>
    <row r="3519" spans="15:16" x14ac:dyDescent="0.3">
      <c r="O3519" s="52"/>
      <c r="P3519" s="52"/>
    </row>
    <row r="3520" spans="15:16" x14ac:dyDescent="0.3">
      <c r="O3520" s="52"/>
      <c r="P3520" s="52"/>
    </row>
    <row r="3521" spans="15:16" x14ac:dyDescent="0.3">
      <c r="O3521" s="52"/>
      <c r="P3521" s="52"/>
    </row>
    <row r="3522" spans="15:16" x14ac:dyDescent="0.3">
      <c r="O3522" s="52"/>
      <c r="P3522" s="52"/>
    </row>
    <row r="3523" spans="15:16" x14ac:dyDescent="0.3">
      <c r="O3523" s="52"/>
      <c r="P3523" s="52"/>
    </row>
    <row r="3524" spans="15:16" x14ac:dyDescent="0.3">
      <c r="O3524" s="52"/>
      <c r="P3524" s="52"/>
    </row>
    <row r="3525" spans="15:16" x14ac:dyDescent="0.3">
      <c r="O3525" s="52"/>
      <c r="P3525" s="52"/>
    </row>
    <row r="3526" spans="15:16" x14ac:dyDescent="0.3">
      <c r="O3526" s="52"/>
      <c r="P3526" s="52"/>
    </row>
    <row r="3527" spans="15:16" x14ac:dyDescent="0.3">
      <c r="O3527" s="52"/>
      <c r="P3527" s="52"/>
    </row>
    <row r="3528" spans="15:16" x14ac:dyDescent="0.3">
      <c r="O3528" s="52"/>
      <c r="P3528" s="52"/>
    </row>
    <row r="3529" spans="15:16" x14ac:dyDescent="0.3">
      <c r="O3529" s="52"/>
      <c r="P3529" s="52"/>
    </row>
    <row r="3530" spans="15:16" x14ac:dyDescent="0.3">
      <c r="O3530" s="52"/>
      <c r="P3530" s="52"/>
    </row>
    <row r="3531" spans="15:16" x14ac:dyDescent="0.3">
      <c r="O3531" s="52"/>
      <c r="P3531" s="52"/>
    </row>
    <row r="3532" spans="15:16" x14ac:dyDescent="0.3">
      <c r="O3532" s="52"/>
      <c r="P3532" s="52"/>
    </row>
    <row r="3533" spans="15:16" x14ac:dyDescent="0.3">
      <c r="O3533" s="52"/>
      <c r="P3533" s="52"/>
    </row>
    <row r="3534" spans="15:16" x14ac:dyDescent="0.3">
      <c r="O3534" s="52"/>
      <c r="P3534" s="52"/>
    </row>
    <row r="3535" spans="15:16" x14ac:dyDescent="0.3">
      <c r="O3535" s="52"/>
      <c r="P3535" s="52"/>
    </row>
    <row r="3536" spans="15:16" x14ac:dyDescent="0.3">
      <c r="O3536" s="52"/>
      <c r="P3536" s="52"/>
    </row>
    <row r="3537" spans="15:16" x14ac:dyDescent="0.3">
      <c r="O3537" s="52"/>
      <c r="P3537" s="52"/>
    </row>
    <row r="3538" spans="15:16" x14ac:dyDescent="0.3">
      <c r="O3538" s="52"/>
      <c r="P3538" s="52"/>
    </row>
    <row r="3539" spans="15:16" x14ac:dyDescent="0.3">
      <c r="O3539" s="52"/>
      <c r="P3539" s="52"/>
    </row>
    <row r="3540" spans="15:16" x14ac:dyDescent="0.3">
      <c r="O3540" s="52"/>
      <c r="P3540" s="52"/>
    </row>
    <row r="3541" spans="15:16" x14ac:dyDescent="0.3">
      <c r="O3541" s="52"/>
      <c r="P3541" s="52"/>
    </row>
    <row r="3542" spans="15:16" x14ac:dyDescent="0.3">
      <c r="O3542" s="52"/>
      <c r="P3542" s="52"/>
    </row>
    <row r="3543" spans="15:16" x14ac:dyDescent="0.3">
      <c r="O3543" s="52"/>
      <c r="P3543" s="52"/>
    </row>
    <row r="3544" spans="15:16" x14ac:dyDescent="0.3">
      <c r="O3544" s="52"/>
      <c r="P3544" s="52"/>
    </row>
    <row r="3545" spans="15:16" x14ac:dyDescent="0.3">
      <c r="O3545" s="52"/>
      <c r="P3545" s="52"/>
    </row>
    <row r="3546" spans="15:16" x14ac:dyDescent="0.3">
      <c r="O3546" s="52"/>
      <c r="P3546" s="52"/>
    </row>
    <row r="3547" spans="15:16" x14ac:dyDescent="0.3">
      <c r="O3547" s="52"/>
      <c r="P3547" s="52"/>
    </row>
    <row r="3548" spans="15:16" x14ac:dyDescent="0.3">
      <c r="O3548" s="52"/>
      <c r="P3548" s="52"/>
    </row>
    <row r="3549" spans="15:16" x14ac:dyDescent="0.3">
      <c r="O3549" s="52"/>
      <c r="P3549" s="52"/>
    </row>
    <row r="3550" spans="15:16" x14ac:dyDescent="0.3">
      <c r="O3550" s="52"/>
      <c r="P3550" s="52"/>
    </row>
    <row r="3551" spans="15:16" x14ac:dyDescent="0.3">
      <c r="O3551" s="52"/>
      <c r="P3551" s="52"/>
    </row>
    <row r="3552" spans="15:16" x14ac:dyDescent="0.3">
      <c r="O3552" s="52"/>
      <c r="P3552" s="52"/>
    </row>
    <row r="3553" spans="15:16" x14ac:dyDescent="0.3">
      <c r="O3553" s="52"/>
      <c r="P3553" s="52"/>
    </row>
    <row r="3554" spans="15:16" x14ac:dyDescent="0.3">
      <c r="O3554" s="52"/>
      <c r="P3554" s="52"/>
    </row>
    <row r="3555" spans="15:16" x14ac:dyDescent="0.3">
      <c r="O3555" s="52"/>
      <c r="P3555" s="52"/>
    </row>
    <row r="3556" spans="15:16" x14ac:dyDescent="0.3">
      <c r="O3556" s="52"/>
      <c r="P3556" s="52"/>
    </row>
    <row r="3557" spans="15:16" x14ac:dyDescent="0.3">
      <c r="O3557" s="52"/>
      <c r="P3557" s="52"/>
    </row>
    <row r="3558" spans="15:16" x14ac:dyDescent="0.3">
      <c r="O3558" s="52"/>
      <c r="P3558" s="52"/>
    </row>
    <row r="3559" spans="15:16" x14ac:dyDescent="0.3">
      <c r="O3559" s="52"/>
      <c r="P3559" s="52"/>
    </row>
    <row r="3560" spans="15:16" x14ac:dyDescent="0.3">
      <c r="O3560" s="52"/>
      <c r="P3560" s="52"/>
    </row>
    <row r="3561" spans="15:16" x14ac:dyDescent="0.3">
      <c r="O3561" s="52"/>
      <c r="P3561" s="52"/>
    </row>
    <row r="3562" spans="15:16" x14ac:dyDescent="0.3">
      <c r="O3562" s="52"/>
      <c r="P3562" s="52"/>
    </row>
    <row r="3563" spans="15:16" x14ac:dyDescent="0.3">
      <c r="O3563" s="52"/>
      <c r="P3563" s="52"/>
    </row>
    <row r="3564" spans="15:16" x14ac:dyDescent="0.3">
      <c r="O3564" s="52"/>
      <c r="P3564" s="52"/>
    </row>
    <row r="3565" spans="15:16" x14ac:dyDescent="0.3">
      <c r="O3565" s="52"/>
      <c r="P3565" s="52"/>
    </row>
    <row r="3566" spans="15:16" x14ac:dyDescent="0.3">
      <c r="O3566" s="52"/>
      <c r="P3566" s="52"/>
    </row>
    <row r="3567" spans="15:16" x14ac:dyDescent="0.3">
      <c r="O3567" s="52"/>
      <c r="P3567" s="52"/>
    </row>
    <row r="3568" spans="15:16" x14ac:dyDescent="0.3">
      <c r="O3568" s="52"/>
      <c r="P3568" s="52"/>
    </row>
    <row r="3569" spans="15:16" x14ac:dyDescent="0.3">
      <c r="O3569" s="52"/>
      <c r="P3569" s="52"/>
    </row>
    <row r="3570" spans="15:16" x14ac:dyDescent="0.3">
      <c r="O3570" s="52"/>
      <c r="P3570" s="52"/>
    </row>
    <row r="3571" spans="15:16" x14ac:dyDescent="0.3">
      <c r="O3571" s="52"/>
      <c r="P3571" s="52"/>
    </row>
    <row r="3572" spans="15:16" x14ac:dyDescent="0.3">
      <c r="O3572" s="52"/>
      <c r="P3572" s="52"/>
    </row>
    <row r="3573" spans="15:16" x14ac:dyDescent="0.3">
      <c r="O3573" s="52"/>
      <c r="P3573" s="52"/>
    </row>
    <row r="3574" spans="15:16" x14ac:dyDescent="0.3">
      <c r="O3574" s="52"/>
      <c r="P3574" s="52"/>
    </row>
    <row r="3575" spans="15:16" x14ac:dyDescent="0.3">
      <c r="O3575" s="52"/>
      <c r="P3575" s="52"/>
    </row>
    <row r="3576" spans="15:16" x14ac:dyDescent="0.3">
      <c r="O3576" s="52"/>
      <c r="P3576" s="52"/>
    </row>
    <row r="3577" spans="15:16" x14ac:dyDescent="0.3">
      <c r="O3577" s="52"/>
      <c r="P3577" s="52"/>
    </row>
    <row r="3578" spans="15:16" x14ac:dyDescent="0.3">
      <c r="O3578" s="52"/>
      <c r="P3578" s="52"/>
    </row>
    <row r="3579" spans="15:16" x14ac:dyDescent="0.3">
      <c r="O3579" s="52"/>
      <c r="P3579" s="52"/>
    </row>
    <row r="3580" spans="15:16" x14ac:dyDescent="0.3">
      <c r="O3580" s="52"/>
      <c r="P3580" s="52"/>
    </row>
    <row r="3581" spans="15:16" x14ac:dyDescent="0.3">
      <c r="O3581" s="52"/>
      <c r="P3581" s="52"/>
    </row>
    <row r="3582" spans="15:16" x14ac:dyDescent="0.3">
      <c r="O3582" s="52"/>
      <c r="P3582" s="52"/>
    </row>
    <row r="3583" spans="15:16" x14ac:dyDescent="0.3">
      <c r="O3583" s="52"/>
      <c r="P3583" s="52"/>
    </row>
    <row r="3584" spans="15:16" x14ac:dyDescent="0.3">
      <c r="O3584" s="52"/>
      <c r="P3584" s="52"/>
    </row>
    <row r="3585" spans="15:16" x14ac:dyDescent="0.3">
      <c r="O3585" s="52"/>
      <c r="P3585" s="52"/>
    </row>
    <row r="3586" spans="15:16" x14ac:dyDescent="0.3">
      <c r="O3586" s="52"/>
      <c r="P3586" s="52"/>
    </row>
    <row r="3587" spans="15:16" x14ac:dyDescent="0.3">
      <c r="O3587" s="52"/>
      <c r="P3587" s="52"/>
    </row>
    <row r="3588" spans="15:16" x14ac:dyDescent="0.3">
      <c r="O3588" s="52"/>
      <c r="P3588" s="52"/>
    </row>
    <row r="3589" spans="15:16" x14ac:dyDescent="0.3">
      <c r="O3589" s="52"/>
      <c r="P3589" s="52"/>
    </row>
    <row r="3590" spans="15:16" x14ac:dyDescent="0.3">
      <c r="O3590" s="52"/>
      <c r="P3590" s="52"/>
    </row>
    <row r="3591" spans="15:16" x14ac:dyDescent="0.3">
      <c r="O3591" s="52"/>
      <c r="P3591" s="52"/>
    </row>
    <row r="3592" spans="15:16" x14ac:dyDescent="0.3">
      <c r="O3592" s="52"/>
      <c r="P3592" s="52"/>
    </row>
    <row r="3593" spans="15:16" x14ac:dyDescent="0.3">
      <c r="O3593" s="52"/>
      <c r="P3593" s="52"/>
    </row>
    <row r="3594" spans="15:16" x14ac:dyDescent="0.3">
      <c r="O3594" s="52"/>
      <c r="P3594" s="52"/>
    </row>
    <row r="3595" spans="15:16" x14ac:dyDescent="0.3">
      <c r="O3595" s="52"/>
      <c r="P3595" s="52"/>
    </row>
    <row r="3596" spans="15:16" x14ac:dyDescent="0.3">
      <c r="O3596" s="52"/>
      <c r="P3596" s="52"/>
    </row>
    <row r="3597" spans="15:16" x14ac:dyDescent="0.3">
      <c r="O3597" s="52"/>
      <c r="P3597" s="52"/>
    </row>
    <row r="3598" spans="15:16" x14ac:dyDescent="0.3">
      <c r="O3598" s="52"/>
      <c r="P3598" s="52"/>
    </row>
    <row r="3599" spans="15:16" x14ac:dyDescent="0.3">
      <c r="O3599" s="52"/>
      <c r="P3599" s="52"/>
    </row>
    <row r="3600" spans="15:16" x14ac:dyDescent="0.3">
      <c r="O3600" s="52"/>
      <c r="P3600" s="52"/>
    </row>
    <row r="3601" spans="15:16" x14ac:dyDescent="0.3">
      <c r="O3601" s="52"/>
      <c r="P3601" s="52"/>
    </row>
    <row r="3602" spans="15:16" x14ac:dyDescent="0.3">
      <c r="O3602" s="52"/>
      <c r="P3602" s="52"/>
    </row>
    <row r="3603" spans="15:16" x14ac:dyDescent="0.3">
      <c r="O3603" s="52"/>
      <c r="P3603" s="52"/>
    </row>
    <row r="3604" spans="15:16" x14ac:dyDescent="0.3">
      <c r="O3604" s="52"/>
      <c r="P3604" s="52"/>
    </row>
    <row r="3605" spans="15:16" x14ac:dyDescent="0.3">
      <c r="O3605" s="52"/>
      <c r="P3605" s="52"/>
    </row>
    <row r="3606" spans="15:16" x14ac:dyDescent="0.3">
      <c r="O3606" s="52"/>
      <c r="P3606" s="52"/>
    </row>
    <row r="3607" spans="15:16" x14ac:dyDescent="0.3">
      <c r="O3607" s="52"/>
      <c r="P3607" s="52"/>
    </row>
    <row r="3608" spans="15:16" x14ac:dyDescent="0.3">
      <c r="O3608" s="52"/>
      <c r="P3608" s="52"/>
    </row>
    <row r="3609" spans="15:16" x14ac:dyDescent="0.3">
      <c r="O3609" s="52"/>
      <c r="P3609" s="52"/>
    </row>
    <row r="3610" spans="15:16" x14ac:dyDescent="0.3">
      <c r="O3610" s="52"/>
      <c r="P3610" s="52"/>
    </row>
    <row r="3611" spans="15:16" x14ac:dyDescent="0.3">
      <c r="O3611" s="52"/>
      <c r="P3611" s="52"/>
    </row>
    <row r="3612" spans="15:16" x14ac:dyDescent="0.3">
      <c r="O3612" s="52"/>
      <c r="P3612" s="52"/>
    </row>
    <row r="3613" spans="15:16" x14ac:dyDescent="0.3">
      <c r="O3613" s="52"/>
      <c r="P3613" s="52"/>
    </row>
    <row r="3614" spans="15:16" x14ac:dyDescent="0.3">
      <c r="O3614" s="52"/>
      <c r="P3614" s="52"/>
    </row>
    <row r="3615" spans="15:16" x14ac:dyDescent="0.3">
      <c r="O3615" s="52"/>
      <c r="P3615" s="52"/>
    </row>
    <row r="3616" spans="15:16" x14ac:dyDescent="0.3">
      <c r="O3616" s="52"/>
      <c r="P3616" s="52"/>
    </row>
    <row r="3617" spans="15:16" x14ac:dyDescent="0.3">
      <c r="O3617" s="52"/>
      <c r="P3617" s="52"/>
    </row>
    <row r="3618" spans="15:16" x14ac:dyDescent="0.3">
      <c r="O3618" s="52"/>
      <c r="P3618" s="52"/>
    </row>
    <row r="3619" spans="15:16" x14ac:dyDescent="0.3">
      <c r="O3619" s="52"/>
      <c r="P3619" s="52"/>
    </row>
    <row r="3620" spans="15:16" x14ac:dyDescent="0.3">
      <c r="O3620" s="52"/>
      <c r="P3620" s="52"/>
    </row>
    <row r="3621" spans="15:16" x14ac:dyDescent="0.3">
      <c r="O3621" s="52"/>
      <c r="P3621" s="52"/>
    </row>
    <row r="3622" spans="15:16" x14ac:dyDescent="0.3">
      <c r="O3622" s="52"/>
      <c r="P3622" s="52"/>
    </row>
    <row r="3623" spans="15:16" x14ac:dyDescent="0.3">
      <c r="O3623" s="52"/>
      <c r="P3623" s="52"/>
    </row>
    <row r="3624" spans="15:16" x14ac:dyDescent="0.3">
      <c r="O3624" s="52"/>
      <c r="P3624" s="52"/>
    </row>
    <row r="3625" spans="15:16" x14ac:dyDescent="0.3">
      <c r="O3625" s="52"/>
      <c r="P3625" s="52"/>
    </row>
    <row r="3626" spans="15:16" x14ac:dyDescent="0.3">
      <c r="O3626" s="52"/>
      <c r="P3626" s="52"/>
    </row>
    <row r="3627" spans="15:16" x14ac:dyDescent="0.3">
      <c r="O3627" s="52"/>
      <c r="P3627" s="52"/>
    </row>
    <row r="3628" spans="15:16" x14ac:dyDescent="0.3">
      <c r="O3628" s="52"/>
      <c r="P3628" s="52"/>
    </row>
    <row r="3629" spans="15:16" x14ac:dyDescent="0.3">
      <c r="O3629" s="52"/>
      <c r="P3629" s="52"/>
    </row>
    <row r="3630" spans="15:16" x14ac:dyDescent="0.3">
      <c r="O3630" s="52"/>
      <c r="P3630" s="52"/>
    </row>
    <row r="3631" spans="15:16" x14ac:dyDescent="0.3">
      <c r="O3631" s="52"/>
      <c r="P3631" s="52"/>
    </row>
    <row r="3632" spans="15:16" x14ac:dyDescent="0.3">
      <c r="O3632" s="52"/>
      <c r="P3632" s="52"/>
    </row>
    <row r="3633" spans="15:16" x14ac:dyDescent="0.3">
      <c r="O3633" s="52"/>
      <c r="P3633" s="52"/>
    </row>
    <row r="3634" spans="15:16" x14ac:dyDescent="0.3">
      <c r="O3634" s="52"/>
      <c r="P3634" s="52"/>
    </row>
    <row r="3635" spans="15:16" x14ac:dyDescent="0.3">
      <c r="O3635" s="52"/>
      <c r="P3635" s="52"/>
    </row>
    <row r="3636" spans="15:16" x14ac:dyDescent="0.3">
      <c r="O3636" s="52"/>
      <c r="P3636" s="52"/>
    </row>
    <row r="3637" spans="15:16" x14ac:dyDescent="0.3">
      <c r="O3637" s="52"/>
      <c r="P3637" s="52"/>
    </row>
    <row r="3638" spans="15:16" x14ac:dyDescent="0.3">
      <c r="O3638" s="52"/>
      <c r="P3638" s="52"/>
    </row>
    <row r="3639" spans="15:16" x14ac:dyDescent="0.3">
      <c r="O3639" s="52"/>
      <c r="P3639" s="52"/>
    </row>
    <row r="3640" spans="15:16" x14ac:dyDescent="0.3">
      <c r="O3640" s="52"/>
      <c r="P3640" s="52"/>
    </row>
    <row r="3641" spans="15:16" x14ac:dyDescent="0.3">
      <c r="O3641" s="52"/>
      <c r="P3641" s="52"/>
    </row>
    <row r="3642" spans="15:16" x14ac:dyDescent="0.3">
      <c r="O3642" s="52"/>
      <c r="P3642" s="52"/>
    </row>
    <row r="3643" spans="15:16" x14ac:dyDescent="0.3">
      <c r="O3643" s="52"/>
      <c r="P3643" s="52"/>
    </row>
    <row r="3644" spans="15:16" x14ac:dyDescent="0.3">
      <c r="O3644" s="52"/>
      <c r="P3644" s="52"/>
    </row>
    <row r="3645" spans="15:16" x14ac:dyDescent="0.3">
      <c r="O3645" s="52"/>
      <c r="P3645" s="52"/>
    </row>
    <row r="3646" spans="15:16" x14ac:dyDescent="0.3">
      <c r="O3646" s="52"/>
      <c r="P3646" s="52"/>
    </row>
    <row r="3647" spans="15:16" x14ac:dyDescent="0.3">
      <c r="O3647" s="52"/>
      <c r="P3647" s="52"/>
    </row>
    <row r="3648" spans="15:16" x14ac:dyDescent="0.3">
      <c r="O3648" s="52"/>
      <c r="P3648" s="52"/>
    </row>
    <row r="3649" spans="15:16" x14ac:dyDescent="0.3">
      <c r="O3649" s="52"/>
      <c r="P3649" s="52"/>
    </row>
    <row r="3650" spans="15:16" x14ac:dyDescent="0.3">
      <c r="O3650" s="52"/>
      <c r="P3650" s="52"/>
    </row>
    <row r="3651" spans="15:16" x14ac:dyDescent="0.3">
      <c r="O3651" s="52"/>
      <c r="P3651" s="52"/>
    </row>
    <row r="3652" spans="15:16" x14ac:dyDescent="0.3">
      <c r="O3652" s="52"/>
      <c r="P3652" s="52"/>
    </row>
    <row r="3653" spans="15:16" x14ac:dyDescent="0.3">
      <c r="O3653" s="52"/>
      <c r="P3653" s="52"/>
    </row>
    <row r="3654" spans="15:16" x14ac:dyDescent="0.3">
      <c r="O3654" s="52"/>
      <c r="P3654" s="52"/>
    </row>
    <row r="3655" spans="15:16" x14ac:dyDescent="0.3">
      <c r="O3655" s="52"/>
      <c r="P3655" s="52"/>
    </row>
    <row r="3656" spans="15:16" x14ac:dyDescent="0.3">
      <c r="O3656" s="52"/>
      <c r="P3656" s="52"/>
    </row>
    <row r="3657" spans="15:16" x14ac:dyDescent="0.3">
      <c r="O3657" s="52"/>
      <c r="P3657" s="52"/>
    </row>
    <row r="3658" spans="15:16" x14ac:dyDescent="0.3">
      <c r="O3658" s="52"/>
      <c r="P3658" s="52"/>
    </row>
    <row r="3659" spans="15:16" x14ac:dyDescent="0.3">
      <c r="O3659" s="52"/>
      <c r="P3659" s="52"/>
    </row>
    <row r="3660" spans="15:16" x14ac:dyDescent="0.3">
      <c r="O3660" s="52"/>
      <c r="P3660" s="52"/>
    </row>
    <row r="3661" spans="15:16" x14ac:dyDescent="0.3">
      <c r="O3661" s="52"/>
      <c r="P3661" s="52"/>
    </row>
    <row r="3662" spans="15:16" x14ac:dyDescent="0.3">
      <c r="O3662" s="52"/>
      <c r="P3662" s="52"/>
    </row>
    <row r="3663" spans="15:16" x14ac:dyDescent="0.3">
      <c r="O3663" s="52"/>
      <c r="P3663" s="52"/>
    </row>
    <row r="3664" spans="15:16" x14ac:dyDescent="0.3">
      <c r="O3664" s="52"/>
      <c r="P3664" s="52"/>
    </row>
    <row r="3665" spans="15:16" x14ac:dyDescent="0.3">
      <c r="O3665" s="52"/>
      <c r="P3665" s="52"/>
    </row>
    <row r="3666" spans="15:16" x14ac:dyDescent="0.3">
      <c r="O3666" s="52"/>
      <c r="P3666" s="52"/>
    </row>
    <row r="3667" spans="15:16" x14ac:dyDescent="0.3">
      <c r="O3667" s="52"/>
      <c r="P3667" s="52"/>
    </row>
    <row r="3668" spans="15:16" x14ac:dyDescent="0.3">
      <c r="O3668" s="52"/>
      <c r="P3668" s="52"/>
    </row>
    <row r="3669" spans="15:16" x14ac:dyDescent="0.3">
      <c r="O3669" s="52"/>
      <c r="P3669" s="52"/>
    </row>
    <row r="3670" spans="15:16" x14ac:dyDescent="0.3">
      <c r="O3670" s="52"/>
      <c r="P3670" s="52"/>
    </row>
    <row r="3671" spans="15:16" x14ac:dyDescent="0.3">
      <c r="O3671" s="52"/>
      <c r="P3671" s="52"/>
    </row>
    <row r="3672" spans="15:16" x14ac:dyDescent="0.3">
      <c r="O3672" s="52"/>
      <c r="P3672" s="52"/>
    </row>
    <row r="3673" spans="15:16" x14ac:dyDescent="0.3">
      <c r="O3673" s="52"/>
      <c r="P3673" s="52"/>
    </row>
    <row r="3674" spans="15:16" x14ac:dyDescent="0.3">
      <c r="O3674" s="52"/>
      <c r="P3674" s="52"/>
    </row>
    <row r="3675" spans="15:16" x14ac:dyDescent="0.3">
      <c r="O3675" s="52"/>
      <c r="P3675" s="52"/>
    </row>
    <row r="3676" spans="15:16" x14ac:dyDescent="0.3">
      <c r="O3676" s="52"/>
      <c r="P3676" s="52"/>
    </row>
    <row r="3677" spans="15:16" x14ac:dyDescent="0.3">
      <c r="O3677" s="52"/>
      <c r="P3677" s="52"/>
    </row>
    <row r="3678" spans="15:16" x14ac:dyDescent="0.3">
      <c r="O3678" s="52"/>
      <c r="P3678" s="52"/>
    </row>
    <row r="3679" spans="15:16" x14ac:dyDescent="0.3">
      <c r="O3679" s="52"/>
      <c r="P3679" s="52"/>
    </row>
    <row r="3680" spans="15:16" x14ac:dyDescent="0.3">
      <c r="O3680" s="52"/>
      <c r="P3680" s="52"/>
    </row>
    <row r="3681" spans="15:16" x14ac:dyDescent="0.3">
      <c r="O3681" s="52"/>
      <c r="P3681" s="52"/>
    </row>
    <row r="3682" spans="15:16" x14ac:dyDescent="0.3">
      <c r="O3682" s="52"/>
      <c r="P3682" s="52"/>
    </row>
    <row r="3683" spans="15:16" x14ac:dyDescent="0.3">
      <c r="O3683" s="52"/>
      <c r="P3683" s="52"/>
    </row>
    <row r="3684" spans="15:16" x14ac:dyDescent="0.3">
      <c r="O3684" s="52"/>
      <c r="P3684" s="52"/>
    </row>
    <row r="3685" spans="15:16" x14ac:dyDescent="0.3">
      <c r="O3685" s="52"/>
      <c r="P3685" s="52"/>
    </row>
    <row r="3686" spans="15:16" x14ac:dyDescent="0.3">
      <c r="O3686" s="52"/>
      <c r="P3686" s="52"/>
    </row>
    <row r="3687" spans="15:16" x14ac:dyDescent="0.3">
      <c r="O3687" s="52"/>
      <c r="P3687" s="52"/>
    </row>
    <row r="3688" spans="15:16" x14ac:dyDescent="0.3">
      <c r="O3688" s="52"/>
      <c r="P3688" s="52"/>
    </row>
    <row r="3689" spans="15:16" x14ac:dyDescent="0.3">
      <c r="O3689" s="52"/>
      <c r="P3689" s="52"/>
    </row>
    <row r="3690" spans="15:16" x14ac:dyDescent="0.3">
      <c r="O3690" s="52"/>
      <c r="P3690" s="52"/>
    </row>
    <row r="3691" spans="15:16" x14ac:dyDescent="0.3">
      <c r="O3691" s="52"/>
      <c r="P3691" s="52"/>
    </row>
    <row r="3692" spans="15:16" x14ac:dyDescent="0.3">
      <c r="O3692" s="52"/>
    </row>
    <row r="3693" spans="15:16" x14ac:dyDescent="0.3">
      <c r="O3693" s="52"/>
    </row>
    <row r="3694" spans="15:16" x14ac:dyDescent="0.3">
      <c r="O3694" s="52"/>
    </row>
    <row r="3695" spans="15:16" x14ac:dyDescent="0.3">
      <c r="O3695" s="52"/>
    </row>
    <row r="3696" spans="15:16" x14ac:dyDescent="0.3">
      <c r="O3696" s="52"/>
    </row>
    <row r="3697" spans="15:15" x14ac:dyDescent="0.3">
      <c r="O3697" s="52"/>
    </row>
  </sheetData>
  <phoneticPr fontId="18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0AFD6-FB12-45DB-B32C-28370E83DDFE}">
  <dimension ref="A1:AR155"/>
  <sheetViews>
    <sheetView topLeftCell="A53" zoomScale="90" zoomScaleNormal="90" workbookViewId="0">
      <selection activeCell="A86" sqref="A86:E89"/>
    </sheetView>
  </sheetViews>
  <sheetFormatPr baseColWidth="10" defaultColWidth="8.88671875" defaultRowHeight="14.4" x14ac:dyDescent="0.3"/>
  <cols>
    <col min="2" max="2" width="19.109375" customWidth="1"/>
    <col min="3" max="3" width="14.6640625" bestFit="1" customWidth="1"/>
    <col min="7" max="7" width="10" bestFit="1" customWidth="1"/>
    <col min="22" max="22" width="13.44140625" customWidth="1"/>
  </cols>
  <sheetData>
    <row r="1" spans="1:44" ht="15" thickBot="1" x14ac:dyDescent="0.35"/>
    <row r="2" spans="1:44" ht="15" customHeight="1" thickTop="1" thickBot="1" x14ac:dyDescent="0.35">
      <c r="A2" s="238" t="s">
        <v>347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40"/>
    </row>
    <row r="3" spans="1:44" ht="15" customHeight="1" thickBot="1" x14ac:dyDescent="0.35">
      <c r="A3" s="241"/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3"/>
      <c r="AF3" s="244" t="s">
        <v>297</v>
      </c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6"/>
    </row>
    <row r="4" spans="1:44" ht="15" customHeight="1" thickTop="1" x14ac:dyDescent="0.3">
      <c r="A4" t="s">
        <v>77</v>
      </c>
      <c r="B4" t="s">
        <v>78</v>
      </c>
      <c r="C4" t="s">
        <v>180</v>
      </c>
      <c r="D4" t="s">
        <v>80</v>
      </c>
      <c r="E4" t="s">
        <v>81</v>
      </c>
      <c r="F4" t="s">
        <v>181</v>
      </c>
      <c r="G4" t="s">
        <v>82</v>
      </c>
      <c r="H4" t="s">
        <v>83</v>
      </c>
      <c r="I4" t="s">
        <v>79</v>
      </c>
      <c r="J4" t="s">
        <v>84</v>
      </c>
      <c r="K4" t="s">
        <v>85</v>
      </c>
      <c r="L4" t="s">
        <v>86</v>
      </c>
      <c r="M4" t="s">
        <v>87</v>
      </c>
      <c r="R4" t="s">
        <v>77</v>
      </c>
      <c r="S4" t="s">
        <v>78</v>
      </c>
      <c r="T4" t="s">
        <v>180</v>
      </c>
      <c r="U4" t="s">
        <v>80</v>
      </c>
      <c r="V4" t="s">
        <v>81</v>
      </c>
      <c r="W4" t="s">
        <v>181</v>
      </c>
      <c r="X4" t="s">
        <v>82</v>
      </c>
      <c r="Y4" t="s">
        <v>83</v>
      </c>
      <c r="Z4" t="s">
        <v>79</v>
      </c>
      <c r="AA4" t="s">
        <v>84</v>
      </c>
      <c r="AB4" t="s">
        <v>85</v>
      </c>
      <c r="AC4" t="s">
        <v>86</v>
      </c>
      <c r="AD4" s="154" t="s">
        <v>87</v>
      </c>
      <c r="AF4" s="247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9"/>
    </row>
    <row r="5" spans="1:44" ht="14.4" customHeight="1" thickBot="1" x14ac:dyDescent="0.35">
      <c r="A5" t="s">
        <v>88</v>
      </c>
      <c r="B5" t="s">
        <v>89</v>
      </c>
      <c r="D5" t="s">
        <v>90</v>
      </c>
      <c r="E5" t="s">
        <v>91</v>
      </c>
      <c r="F5" t="s">
        <v>92</v>
      </c>
      <c r="G5" t="s">
        <v>93</v>
      </c>
      <c r="H5" t="s">
        <v>94</v>
      </c>
      <c r="J5" t="s">
        <v>90</v>
      </c>
      <c r="K5" t="s">
        <v>95</v>
      </c>
      <c r="L5" t="s">
        <v>95</v>
      </c>
      <c r="M5" t="s">
        <v>95</v>
      </c>
      <c r="R5" t="s">
        <v>88</v>
      </c>
      <c r="S5" t="s">
        <v>89</v>
      </c>
      <c r="U5" t="s">
        <v>90</v>
      </c>
      <c r="V5" t="s">
        <v>91</v>
      </c>
      <c r="W5" t="s">
        <v>92</v>
      </c>
      <c r="X5" t="s">
        <v>93</v>
      </c>
      <c r="Y5" t="s">
        <v>94</v>
      </c>
      <c r="AA5" t="s">
        <v>90</v>
      </c>
      <c r="AB5" t="s">
        <v>95</v>
      </c>
      <c r="AC5" t="s">
        <v>95</v>
      </c>
      <c r="AD5" s="154" t="s">
        <v>95</v>
      </c>
      <c r="AF5" s="250"/>
      <c r="AG5" s="251"/>
      <c r="AH5" s="251"/>
      <c r="AI5" s="251"/>
      <c r="AJ5" s="251"/>
      <c r="AK5" s="251"/>
      <c r="AL5" s="251"/>
      <c r="AM5" s="251"/>
      <c r="AN5" s="251"/>
      <c r="AO5" s="251"/>
      <c r="AP5" s="251"/>
      <c r="AQ5" s="251"/>
      <c r="AR5" s="252"/>
    </row>
    <row r="6" spans="1:44" ht="14.4" customHeight="1" x14ac:dyDescent="0.4">
      <c r="D6" s="155" t="s">
        <v>96</v>
      </c>
      <c r="E6" s="155" t="s">
        <v>96</v>
      </c>
      <c r="F6" s="155" t="s">
        <v>96</v>
      </c>
      <c r="G6" s="155" t="s">
        <v>96</v>
      </c>
      <c r="H6" s="155" t="s">
        <v>96</v>
      </c>
      <c r="I6" s="155" t="s">
        <v>96</v>
      </c>
      <c r="J6" s="155" t="s">
        <v>96</v>
      </c>
      <c r="K6" s="155" t="s">
        <v>96</v>
      </c>
      <c r="L6" s="155" t="s">
        <v>96</v>
      </c>
      <c r="M6" s="155" t="s">
        <v>96</v>
      </c>
      <c r="U6" s="156" t="s">
        <v>96</v>
      </c>
      <c r="V6" s="156" t="s">
        <v>96</v>
      </c>
      <c r="W6" s="156" t="s">
        <v>96</v>
      </c>
      <c r="X6" s="156" t="s">
        <v>96</v>
      </c>
      <c r="Y6" s="156" t="s">
        <v>96</v>
      </c>
      <c r="Z6" s="156" t="s">
        <v>96</v>
      </c>
      <c r="AA6" s="156" t="s">
        <v>96</v>
      </c>
      <c r="AB6" s="156" t="s">
        <v>96</v>
      </c>
      <c r="AC6" s="156" t="s">
        <v>96</v>
      </c>
      <c r="AD6" s="157" t="s">
        <v>96</v>
      </c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</row>
    <row r="7" spans="1:44" ht="14.4" customHeight="1" x14ac:dyDescent="0.4">
      <c r="D7" s="155" t="s">
        <v>97</v>
      </c>
      <c r="E7" s="155" t="s">
        <v>97</v>
      </c>
      <c r="F7" s="155" t="s">
        <v>97</v>
      </c>
      <c r="G7" s="155" t="s">
        <v>97</v>
      </c>
      <c r="H7" s="155" t="s">
        <v>97</v>
      </c>
      <c r="I7" s="155" t="s">
        <v>97</v>
      </c>
      <c r="J7" s="155" t="s">
        <v>97</v>
      </c>
      <c r="K7" s="155" t="s">
        <v>97</v>
      </c>
      <c r="L7" s="155" t="s">
        <v>97</v>
      </c>
      <c r="M7" s="155" t="s">
        <v>97</v>
      </c>
      <c r="U7" s="158" t="s">
        <v>182</v>
      </c>
      <c r="V7" s="158" t="s">
        <v>182</v>
      </c>
      <c r="W7" s="158" t="s">
        <v>182</v>
      </c>
      <c r="X7" s="158" t="s">
        <v>182</v>
      </c>
      <c r="Y7" s="158" t="s">
        <v>182</v>
      </c>
      <c r="Z7" s="158" t="s">
        <v>182</v>
      </c>
      <c r="AA7" s="158" t="s">
        <v>182</v>
      </c>
      <c r="AB7" s="158" t="s">
        <v>182</v>
      </c>
      <c r="AC7" s="158" t="s">
        <v>182</v>
      </c>
      <c r="AD7" s="159" t="s">
        <v>182</v>
      </c>
      <c r="AG7" s="167"/>
      <c r="AH7" s="167"/>
      <c r="AI7" s="167"/>
      <c r="AJ7" s="167"/>
      <c r="AK7" s="167"/>
      <c r="AL7" s="167"/>
      <c r="AM7" s="167"/>
      <c r="AN7" s="167"/>
      <c r="AO7" s="167"/>
      <c r="AP7" s="167"/>
      <c r="AQ7" s="167"/>
      <c r="AR7" s="167"/>
    </row>
    <row r="8" spans="1:44" ht="14.4" customHeight="1" x14ac:dyDescent="0.4">
      <c r="A8">
        <v>1</v>
      </c>
      <c r="B8" t="s">
        <v>196</v>
      </c>
      <c r="C8" t="s">
        <v>197</v>
      </c>
      <c r="D8" t="s">
        <v>198</v>
      </c>
      <c r="E8" t="s">
        <v>198</v>
      </c>
      <c r="F8" t="s">
        <v>198</v>
      </c>
      <c r="G8" t="s">
        <v>198</v>
      </c>
      <c r="H8" t="s">
        <v>198</v>
      </c>
      <c r="I8" t="s">
        <v>198</v>
      </c>
      <c r="J8" t="s">
        <v>198</v>
      </c>
      <c r="K8" t="s">
        <v>198</v>
      </c>
      <c r="L8" t="s">
        <v>198</v>
      </c>
      <c r="M8" t="s">
        <v>198</v>
      </c>
      <c r="R8">
        <v>1</v>
      </c>
      <c r="S8" t="s">
        <v>196</v>
      </c>
      <c r="T8" t="s">
        <v>197</v>
      </c>
      <c r="U8">
        <v>18.033000000000001</v>
      </c>
      <c r="V8">
        <v>8.6930999999999994</v>
      </c>
      <c r="W8">
        <v>19.579999999999998</v>
      </c>
      <c r="X8">
        <v>12.0288</v>
      </c>
      <c r="Y8">
        <v>24.49</v>
      </c>
      <c r="Z8" t="s">
        <v>236</v>
      </c>
      <c r="AA8">
        <v>0.45900000000000002</v>
      </c>
      <c r="AB8">
        <v>1.28</v>
      </c>
      <c r="AC8" t="s">
        <v>198</v>
      </c>
      <c r="AD8" s="154">
        <v>8566</v>
      </c>
      <c r="AG8" s="167"/>
      <c r="AH8" s="167"/>
      <c r="AI8" s="167"/>
      <c r="AJ8" s="167"/>
      <c r="AK8" s="167"/>
      <c r="AL8" s="167"/>
      <c r="AM8" s="167"/>
      <c r="AN8" s="167"/>
      <c r="AO8" s="167"/>
      <c r="AP8" s="167"/>
      <c r="AQ8" s="167"/>
      <c r="AR8" s="167"/>
    </row>
    <row r="9" spans="1:44" ht="14.4" customHeight="1" x14ac:dyDescent="0.4">
      <c r="A9">
        <v>2</v>
      </c>
      <c r="B9" t="s">
        <v>196</v>
      </c>
      <c r="C9" t="s">
        <v>197</v>
      </c>
      <c r="D9" t="s">
        <v>198</v>
      </c>
      <c r="E9" t="s">
        <v>198</v>
      </c>
      <c r="F9" t="s">
        <v>198</v>
      </c>
      <c r="G9" t="s">
        <v>198</v>
      </c>
      <c r="H9" t="s">
        <v>198</v>
      </c>
      <c r="I9" t="s">
        <v>198</v>
      </c>
      <c r="J9" t="s">
        <v>198</v>
      </c>
      <c r="K9" t="s">
        <v>198</v>
      </c>
      <c r="L9" t="s">
        <v>198</v>
      </c>
      <c r="M9" t="s">
        <v>198</v>
      </c>
      <c r="R9">
        <v>2</v>
      </c>
      <c r="S9" t="s">
        <v>196</v>
      </c>
      <c r="T9" t="s">
        <v>197</v>
      </c>
      <c r="U9">
        <v>18.033000000000001</v>
      </c>
      <c r="V9">
        <v>9.2683999999999997</v>
      </c>
      <c r="W9">
        <v>98.69</v>
      </c>
      <c r="X9">
        <v>12.8249</v>
      </c>
      <c r="Y9">
        <v>25.92</v>
      </c>
      <c r="Z9" t="s">
        <v>236</v>
      </c>
      <c r="AA9">
        <v>0.45900000000000002</v>
      </c>
      <c r="AB9">
        <v>1.29</v>
      </c>
      <c r="AC9" t="s">
        <v>198</v>
      </c>
      <c r="AD9" s="154">
        <v>8537</v>
      </c>
      <c r="AG9" s="167"/>
      <c r="AH9" s="167"/>
      <c r="AI9" s="167"/>
      <c r="AJ9" s="167"/>
      <c r="AK9" s="167"/>
      <c r="AL9" s="167"/>
      <c r="AM9" s="167"/>
      <c r="AN9" s="167"/>
      <c r="AO9" s="167"/>
      <c r="AP9" s="167"/>
      <c r="AQ9" s="167"/>
      <c r="AR9" s="167"/>
    </row>
    <row r="10" spans="1:44" ht="14.4" customHeight="1" x14ac:dyDescent="0.4">
      <c r="A10">
        <v>3</v>
      </c>
      <c r="B10" t="s">
        <v>199</v>
      </c>
      <c r="C10" t="s">
        <v>197</v>
      </c>
      <c r="D10">
        <v>13.433</v>
      </c>
      <c r="E10">
        <v>9.9099999999999994E-2</v>
      </c>
      <c r="F10">
        <v>84.08</v>
      </c>
      <c r="G10">
        <v>1.2386999999999999</v>
      </c>
      <c r="H10">
        <v>2.95</v>
      </c>
      <c r="I10" t="s">
        <v>200</v>
      </c>
      <c r="J10">
        <v>0.39200000000000002</v>
      </c>
      <c r="K10">
        <v>1.26</v>
      </c>
      <c r="L10" t="s">
        <v>198</v>
      </c>
      <c r="M10">
        <v>6490</v>
      </c>
      <c r="R10">
        <v>3</v>
      </c>
      <c r="S10" t="s">
        <v>199</v>
      </c>
      <c r="T10" t="s">
        <v>197</v>
      </c>
      <c r="U10" t="s">
        <v>198</v>
      </c>
      <c r="V10" t="s">
        <v>198</v>
      </c>
      <c r="W10" t="s">
        <v>198</v>
      </c>
      <c r="X10" t="s">
        <v>198</v>
      </c>
      <c r="Y10" t="s">
        <v>198</v>
      </c>
      <c r="Z10" t="s">
        <v>198</v>
      </c>
      <c r="AA10" t="s">
        <v>198</v>
      </c>
      <c r="AB10" t="s">
        <v>198</v>
      </c>
      <c r="AC10" t="s">
        <v>198</v>
      </c>
      <c r="AD10" s="154" t="s">
        <v>198</v>
      </c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</row>
    <row r="11" spans="1:44" ht="14.4" customHeight="1" x14ac:dyDescent="0.4">
      <c r="A11">
        <v>4</v>
      </c>
      <c r="B11" t="s">
        <v>293</v>
      </c>
      <c r="C11" t="s">
        <v>202</v>
      </c>
      <c r="D11">
        <v>13.333</v>
      </c>
      <c r="E11">
        <v>4.9642999999999997</v>
      </c>
      <c r="F11">
        <v>98.09</v>
      </c>
      <c r="G11">
        <v>62.076300000000003</v>
      </c>
      <c r="H11">
        <v>100.92</v>
      </c>
      <c r="I11" t="s">
        <v>236</v>
      </c>
      <c r="J11">
        <v>0.59199999999999997</v>
      </c>
      <c r="K11">
        <v>1.1399999999999999</v>
      </c>
      <c r="L11">
        <v>5.45</v>
      </c>
      <c r="M11">
        <v>2806</v>
      </c>
      <c r="R11">
        <v>4</v>
      </c>
      <c r="S11" t="s">
        <v>293</v>
      </c>
      <c r="T11" t="s">
        <v>202</v>
      </c>
      <c r="U11">
        <v>18.067</v>
      </c>
      <c r="V11">
        <v>0.43759999999999999</v>
      </c>
      <c r="W11">
        <v>1.92</v>
      </c>
      <c r="X11">
        <v>1.2112000000000001</v>
      </c>
      <c r="Y11">
        <v>2.76</v>
      </c>
      <c r="Z11" t="s">
        <v>236</v>
      </c>
      <c r="AA11">
        <v>0.433</v>
      </c>
      <c r="AB11">
        <v>1.35</v>
      </c>
      <c r="AC11" t="s">
        <v>198</v>
      </c>
      <c r="AD11" s="154">
        <v>9654</v>
      </c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</row>
    <row r="12" spans="1:44" x14ac:dyDescent="0.3">
      <c r="A12">
        <v>5</v>
      </c>
      <c r="B12" t="s">
        <v>294</v>
      </c>
      <c r="C12" t="s">
        <v>202</v>
      </c>
      <c r="D12">
        <v>13.333</v>
      </c>
      <c r="E12">
        <v>4.9661</v>
      </c>
      <c r="F12">
        <v>98.04</v>
      </c>
      <c r="G12">
        <v>62.0991</v>
      </c>
      <c r="H12">
        <v>100.65</v>
      </c>
      <c r="I12" t="s">
        <v>236</v>
      </c>
      <c r="J12">
        <v>0.59399999999999997</v>
      </c>
      <c r="K12">
        <v>1.1499999999999999</v>
      </c>
      <c r="L12">
        <v>5.3</v>
      </c>
      <c r="M12">
        <v>2788</v>
      </c>
      <c r="R12">
        <v>5</v>
      </c>
      <c r="S12" t="s">
        <v>294</v>
      </c>
      <c r="T12" t="s">
        <v>202</v>
      </c>
      <c r="U12">
        <v>18.033000000000001</v>
      </c>
      <c r="V12">
        <v>0.4481</v>
      </c>
      <c r="W12">
        <v>1.96</v>
      </c>
      <c r="X12">
        <v>1.24</v>
      </c>
      <c r="Y12">
        <v>2.74</v>
      </c>
      <c r="Z12" t="s">
        <v>236</v>
      </c>
      <c r="AA12">
        <v>0.45300000000000001</v>
      </c>
      <c r="AB12">
        <v>1.49</v>
      </c>
      <c r="AC12" t="s">
        <v>198</v>
      </c>
      <c r="AD12" s="154">
        <v>8791</v>
      </c>
    </row>
    <row r="13" spans="1:44" x14ac:dyDescent="0.3">
      <c r="A13">
        <v>6</v>
      </c>
      <c r="B13" t="s">
        <v>205</v>
      </c>
      <c r="C13" t="s">
        <v>202</v>
      </c>
      <c r="D13">
        <v>13.333</v>
      </c>
      <c r="E13">
        <v>5.0578000000000003</v>
      </c>
      <c r="F13">
        <v>99.09</v>
      </c>
      <c r="G13">
        <v>63.245600000000003</v>
      </c>
      <c r="H13">
        <v>102.33</v>
      </c>
      <c r="I13" t="s">
        <v>236</v>
      </c>
      <c r="J13">
        <v>0.59499999999999997</v>
      </c>
      <c r="K13">
        <v>1.1499999999999999</v>
      </c>
      <c r="L13">
        <v>5.28</v>
      </c>
      <c r="M13">
        <v>2781</v>
      </c>
      <c r="R13">
        <v>6</v>
      </c>
      <c r="S13" t="s">
        <v>205</v>
      </c>
      <c r="T13" t="s">
        <v>202</v>
      </c>
      <c r="U13">
        <v>18.067</v>
      </c>
      <c r="V13">
        <v>0.20910000000000001</v>
      </c>
      <c r="W13">
        <v>0.91</v>
      </c>
      <c r="X13">
        <v>0.57869999999999999</v>
      </c>
      <c r="Y13">
        <v>1.26</v>
      </c>
      <c r="Z13" t="s">
        <v>236</v>
      </c>
      <c r="AA13">
        <v>0.46300000000000002</v>
      </c>
      <c r="AB13">
        <v>1.41</v>
      </c>
      <c r="AC13" t="s">
        <v>198</v>
      </c>
      <c r="AD13" s="154">
        <v>8428</v>
      </c>
    </row>
    <row r="14" spans="1:44" x14ac:dyDescent="0.3">
      <c r="A14">
        <v>7</v>
      </c>
      <c r="B14" t="s">
        <v>206</v>
      </c>
      <c r="C14" t="s">
        <v>202</v>
      </c>
      <c r="D14">
        <v>13.333</v>
      </c>
      <c r="E14">
        <v>5.0739000000000001</v>
      </c>
      <c r="F14">
        <v>99.08</v>
      </c>
      <c r="G14">
        <v>63.446599999999997</v>
      </c>
      <c r="H14">
        <v>102.35</v>
      </c>
      <c r="I14" t="s">
        <v>236</v>
      </c>
      <c r="J14">
        <v>0.59699999999999998</v>
      </c>
      <c r="K14">
        <v>1.1499999999999999</v>
      </c>
      <c r="L14">
        <v>5.4</v>
      </c>
      <c r="M14">
        <v>2767</v>
      </c>
      <c r="R14">
        <v>7</v>
      </c>
      <c r="S14" t="s">
        <v>206</v>
      </c>
      <c r="T14" t="s">
        <v>202</v>
      </c>
      <c r="U14">
        <v>18.100000000000001</v>
      </c>
      <c r="V14">
        <v>0.21360000000000001</v>
      </c>
      <c r="W14">
        <v>0.92</v>
      </c>
      <c r="X14">
        <v>0.59119999999999995</v>
      </c>
      <c r="Y14">
        <v>1.27</v>
      </c>
      <c r="Z14" t="s">
        <v>236</v>
      </c>
      <c r="AA14">
        <v>0.44500000000000001</v>
      </c>
      <c r="AB14">
        <v>1.2</v>
      </c>
      <c r="AC14" t="s">
        <v>198</v>
      </c>
      <c r="AD14" s="154">
        <v>9151</v>
      </c>
    </row>
    <row r="15" spans="1:44" x14ac:dyDescent="0.3">
      <c r="A15">
        <v>8</v>
      </c>
      <c r="B15" t="s">
        <v>207</v>
      </c>
      <c r="C15" t="s">
        <v>202</v>
      </c>
      <c r="D15">
        <v>13.433</v>
      </c>
      <c r="E15">
        <v>7.9641999999999999</v>
      </c>
      <c r="F15">
        <v>99.44</v>
      </c>
      <c r="G15">
        <v>99.588300000000004</v>
      </c>
      <c r="H15">
        <v>212.44</v>
      </c>
      <c r="I15" t="s">
        <v>295</v>
      </c>
      <c r="J15">
        <v>0.42199999999999999</v>
      </c>
      <c r="K15">
        <v>1.23</v>
      </c>
      <c r="L15" t="s">
        <v>198</v>
      </c>
      <c r="M15">
        <v>5616</v>
      </c>
      <c r="R15">
        <v>8</v>
      </c>
      <c r="S15" t="s">
        <v>207</v>
      </c>
      <c r="T15" t="s">
        <v>202</v>
      </c>
      <c r="U15" t="s">
        <v>198</v>
      </c>
      <c r="V15" t="s">
        <v>198</v>
      </c>
      <c r="W15" t="s">
        <v>198</v>
      </c>
      <c r="X15" t="s">
        <v>198</v>
      </c>
      <c r="Y15" t="s">
        <v>198</v>
      </c>
      <c r="Z15" t="s">
        <v>198</v>
      </c>
      <c r="AA15" t="s">
        <v>198</v>
      </c>
      <c r="AB15" t="s">
        <v>198</v>
      </c>
      <c r="AC15" t="s">
        <v>198</v>
      </c>
      <c r="AD15" s="154" t="s">
        <v>198</v>
      </c>
    </row>
    <row r="16" spans="1:44" x14ac:dyDescent="0.3">
      <c r="A16">
        <v>9</v>
      </c>
      <c r="B16" t="s">
        <v>209</v>
      </c>
      <c r="C16" t="s">
        <v>202</v>
      </c>
      <c r="D16">
        <v>13.433</v>
      </c>
      <c r="E16">
        <v>7.8932000000000002</v>
      </c>
      <c r="F16">
        <v>99.46</v>
      </c>
      <c r="G16">
        <v>98.701099999999997</v>
      </c>
      <c r="H16">
        <v>208.81</v>
      </c>
      <c r="I16" t="s">
        <v>295</v>
      </c>
      <c r="J16">
        <v>0.42599999999999999</v>
      </c>
      <c r="K16">
        <v>1.24</v>
      </c>
      <c r="L16" t="s">
        <v>198</v>
      </c>
      <c r="M16">
        <v>5516</v>
      </c>
      <c r="R16">
        <v>9</v>
      </c>
      <c r="S16" t="s">
        <v>209</v>
      </c>
      <c r="T16" t="s">
        <v>202</v>
      </c>
      <c r="U16" t="s">
        <v>198</v>
      </c>
      <c r="V16" t="s">
        <v>198</v>
      </c>
      <c r="W16" t="s">
        <v>198</v>
      </c>
      <c r="X16" t="s">
        <v>198</v>
      </c>
      <c r="Y16" t="s">
        <v>198</v>
      </c>
      <c r="Z16" t="s">
        <v>198</v>
      </c>
      <c r="AA16" t="s">
        <v>198</v>
      </c>
      <c r="AB16" t="s">
        <v>198</v>
      </c>
      <c r="AC16" t="s">
        <v>198</v>
      </c>
      <c r="AD16" s="154" t="s">
        <v>198</v>
      </c>
    </row>
    <row r="17" spans="1:30" x14ac:dyDescent="0.3">
      <c r="A17">
        <v>10</v>
      </c>
      <c r="B17" t="s">
        <v>210</v>
      </c>
      <c r="C17" t="s">
        <v>202</v>
      </c>
      <c r="D17">
        <v>13.433</v>
      </c>
      <c r="E17">
        <v>7.8699000000000003</v>
      </c>
      <c r="F17">
        <v>99.38</v>
      </c>
      <c r="G17">
        <v>98.409400000000005</v>
      </c>
      <c r="H17">
        <v>211.02</v>
      </c>
      <c r="I17" t="s">
        <v>295</v>
      </c>
      <c r="J17">
        <v>0.42499999999999999</v>
      </c>
      <c r="K17">
        <v>1.37</v>
      </c>
      <c r="L17" t="s">
        <v>198</v>
      </c>
      <c r="M17">
        <v>5545</v>
      </c>
      <c r="R17">
        <v>10</v>
      </c>
      <c r="S17" t="s">
        <v>210</v>
      </c>
      <c r="T17" t="s">
        <v>202</v>
      </c>
      <c r="U17" t="s">
        <v>198</v>
      </c>
      <c r="V17" t="s">
        <v>198</v>
      </c>
      <c r="W17" t="s">
        <v>198</v>
      </c>
      <c r="X17" t="s">
        <v>198</v>
      </c>
      <c r="Y17" t="s">
        <v>198</v>
      </c>
      <c r="Z17" t="s">
        <v>198</v>
      </c>
      <c r="AA17" t="s">
        <v>198</v>
      </c>
      <c r="AB17" t="s">
        <v>198</v>
      </c>
      <c r="AC17" t="s">
        <v>198</v>
      </c>
      <c r="AD17" s="154" t="s">
        <v>198</v>
      </c>
    </row>
    <row r="18" spans="1:30" x14ac:dyDescent="0.3">
      <c r="A18">
        <v>11</v>
      </c>
      <c r="B18" t="s">
        <v>211</v>
      </c>
      <c r="C18" t="s">
        <v>202</v>
      </c>
      <c r="D18">
        <v>13.433</v>
      </c>
      <c r="E18">
        <v>7.4358000000000004</v>
      </c>
      <c r="F18">
        <v>99.38</v>
      </c>
      <c r="G18">
        <v>92.981700000000004</v>
      </c>
      <c r="H18">
        <v>198.68</v>
      </c>
      <c r="I18" t="s">
        <v>295</v>
      </c>
      <c r="J18">
        <v>0.42599999999999999</v>
      </c>
      <c r="K18">
        <v>1.36</v>
      </c>
      <c r="L18" t="s">
        <v>198</v>
      </c>
      <c r="M18">
        <v>5496</v>
      </c>
      <c r="R18">
        <v>11</v>
      </c>
      <c r="S18" t="s">
        <v>211</v>
      </c>
      <c r="T18" t="s">
        <v>202</v>
      </c>
      <c r="U18" t="s">
        <v>198</v>
      </c>
      <c r="V18" t="s">
        <v>198</v>
      </c>
      <c r="W18" t="s">
        <v>198</v>
      </c>
      <c r="X18" t="s">
        <v>198</v>
      </c>
      <c r="Y18" t="s">
        <v>198</v>
      </c>
      <c r="Z18" t="s">
        <v>198</v>
      </c>
      <c r="AA18" t="s">
        <v>198</v>
      </c>
      <c r="AB18" t="s">
        <v>198</v>
      </c>
      <c r="AC18" t="s">
        <v>198</v>
      </c>
      <c r="AD18" s="154" t="s">
        <v>198</v>
      </c>
    </row>
    <row r="19" spans="1:30" x14ac:dyDescent="0.3">
      <c r="A19">
        <v>12</v>
      </c>
      <c r="B19" t="s">
        <v>212</v>
      </c>
      <c r="C19" t="s">
        <v>202</v>
      </c>
      <c r="D19">
        <v>13.433</v>
      </c>
      <c r="E19">
        <v>10.696899999999999</v>
      </c>
      <c r="F19">
        <v>99.25</v>
      </c>
      <c r="G19">
        <v>66.8797</v>
      </c>
      <c r="H19">
        <v>143.88999999999999</v>
      </c>
      <c r="I19" t="s">
        <v>295</v>
      </c>
      <c r="J19">
        <v>0.42399999999999999</v>
      </c>
      <c r="K19">
        <v>1.31</v>
      </c>
      <c r="L19" t="s">
        <v>198</v>
      </c>
      <c r="M19">
        <v>5566</v>
      </c>
      <c r="R19">
        <v>12</v>
      </c>
      <c r="S19" t="s">
        <v>212</v>
      </c>
      <c r="T19" t="s">
        <v>202</v>
      </c>
      <c r="U19" t="s">
        <v>198</v>
      </c>
      <c r="V19" t="s">
        <v>198</v>
      </c>
      <c r="W19" t="s">
        <v>198</v>
      </c>
      <c r="X19" t="s">
        <v>198</v>
      </c>
      <c r="Y19" t="s">
        <v>198</v>
      </c>
      <c r="Z19" t="s">
        <v>198</v>
      </c>
      <c r="AA19" t="s">
        <v>198</v>
      </c>
      <c r="AB19" t="s">
        <v>198</v>
      </c>
      <c r="AC19" t="s">
        <v>198</v>
      </c>
      <c r="AD19" s="154" t="s">
        <v>198</v>
      </c>
    </row>
    <row r="20" spans="1:30" x14ac:dyDescent="0.3">
      <c r="A20">
        <v>13</v>
      </c>
      <c r="B20" t="s">
        <v>213</v>
      </c>
      <c r="C20" t="s">
        <v>202</v>
      </c>
      <c r="D20">
        <v>13.433</v>
      </c>
      <c r="E20">
        <v>10.667899999999999</v>
      </c>
      <c r="F20">
        <v>99.29</v>
      </c>
      <c r="G20">
        <v>66.698300000000003</v>
      </c>
      <c r="H20">
        <v>143.31</v>
      </c>
      <c r="I20" t="s">
        <v>295</v>
      </c>
      <c r="J20">
        <v>0.42399999999999999</v>
      </c>
      <c r="K20">
        <v>1.3</v>
      </c>
      <c r="L20" t="s">
        <v>198</v>
      </c>
      <c r="M20">
        <v>5560</v>
      </c>
      <c r="R20">
        <v>13</v>
      </c>
      <c r="S20" t="s">
        <v>213</v>
      </c>
      <c r="T20" t="s">
        <v>202</v>
      </c>
      <c r="U20" t="s">
        <v>198</v>
      </c>
      <c r="V20" t="s">
        <v>198</v>
      </c>
      <c r="W20" t="s">
        <v>198</v>
      </c>
      <c r="X20" t="s">
        <v>198</v>
      </c>
      <c r="Y20" t="s">
        <v>198</v>
      </c>
      <c r="Z20" t="s">
        <v>198</v>
      </c>
      <c r="AA20" t="s">
        <v>198</v>
      </c>
      <c r="AB20" t="s">
        <v>198</v>
      </c>
      <c r="AC20" t="s">
        <v>198</v>
      </c>
      <c r="AD20" s="154" t="s">
        <v>198</v>
      </c>
    </row>
    <row r="21" spans="1:30" x14ac:dyDescent="0.3">
      <c r="A21">
        <v>14</v>
      </c>
      <c r="B21" t="s">
        <v>214</v>
      </c>
      <c r="C21" t="s">
        <v>202</v>
      </c>
      <c r="D21">
        <v>13.433</v>
      </c>
      <c r="E21">
        <v>10.8292</v>
      </c>
      <c r="F21">
        <v>99.21</v>
      </c>
      <c r="G21">
        <v>67.7072</v>
      </c>
      <c r="H21">
        <v>145.65</v>
      </c>
      <c r="I21" t="s">
        <v>295</v>
      </c>
      <c r="J21">
        <v>0.42399999999999999</v>
      </c>
      <c r="K21">
        <v>1.31</v>
      </c>
      <c r="L21" t="s">
        <v>198</v>
      </c>
      <c r="M21">
        <v>5561</v>
      </c>
      <c r="R21">
        <v>14</v>
      </c>
      <c r="S21" t="s">
        <v>214</v>
      </c>
      <c r="T21" t="s">
        <v>202</v>
      </c>
      <c r="U21" t="s">
        <v>198</v>
      </c>
      <c r="V21" t="s">
        <v>198</v>
      </c>
      <c r="W21" t="s">
        <v>198</v>
      </c>
      <c r="X21" t="s">
        <v>198</v>
      </c>
      <c r="Y21" t="s">
        <v>198</v>
      </c>
      <c r="Z21" t="s">
        <v>198</v>
      </c>
      <c r="AA21" t="s">
        <v>198</v>
      </c>
      <c r="AB21" t="s">
        <v>198</v>
      </c>
      <c r="AC21" t="s">
        <v>198</v>
      </c>
      <c r="AD21" s="154" t="s">
        <v>198</v>
      </c>
    </row>
    <row r="22" spans="1:30" x14ac:dyDescent="0.3">
      <c r="A22">
        <v>15</v>
      </c>
      <c r="B22" t="s">
        <v>215</v>
      </c>
      <c r="C22" t="s">
        <v>202</v>
      </c>
      <c r="D22">
        <v>13.433</v>
      </c>
      <c r="E22">
        <v>10.8818</v>
      </c>
      <c r="F22">
        <v>99.23</v>
      </c>
      <c r="G22">
        <v>68.036199999999994</v>
      </c>
      <c r="H22">
        <v>145.91</v>
      </c>
      <c r="I22" t="s">
        <v>295</v>
      </c>
      <c r="J22">
        <v>0.42499999999999999</v>
      </c>
      <c r="K22">
        <v>1.32</v>
      </c>
      <c r="L22" t="s">
        <v>198</v>
      </c>
      <c r="M22">
        <v>5529</v>
      </c>
      <c r="R22">
        <v>15</v>
      </c>
      <c r="S22" t="s">
        <v>215</v>
      </c>
      <c r="T22" t="s">
        <v>202</v>
      </c>
      <c r="U22" t="s">
        <v>198</v>
      </c>
      <c r="V22" t="s">
        <v>198</v>
      </c>
      <c r="W22" t="s">
        <v>198</v>
      </c>
      <c r="X22" t="s">
        <v>198</v>
      </c>
      <c r="Y22" t="s">
        <v>198</v>
      </c>
      <c r="Z22" t="s">
        <v>198</v>
      </c>
      <c r="AA22" t="s">
        <v>198</v>
      </c>
      <c r="AB22" t="s">
        <v>198</v>
      </c>
      <c r="AC22" t="s">
        <v>198</v>
      </c>
      <c r="AD22" s="154" t="s">
        <v>198</v>
      </c>
    </row>
    <row r="23" spans="1:30" x14ac:dyDescent="0.3">
      <c r="A23">
        <v>16</v>
      </c>
      <c r="B23" t="s">
        <v>216</v>
      </c>
      <c r="C23" t="s">
        <v>202</v>
      </c>
      <c r="D23">
        <v>13.433</v>
      </c>
      <c r="E23">
        <v>13.664300000000001</v>
      </c>
      <c r="F23">
        <v>99.16</v>
      </c>
      <c r="G23">
        <v>85.432699999999997</v>
      </c>
      <c r="H23">
        <v>183.61</v>
      </c>
      <c r="I23" t="s">
        <v>295</v>
      </c>
      <c r="J23">
        <v>0.42399999999999999</v>
      </c>
      <c r="K23">
        <v>1.31</v>
      </c>
      <c r="L23" t="s">
        <v>198</v>
      </c>
      <c r="M23">
        <v>5561</v>
      </c>
      <c r="R23">
        <v>16</v>
      </c>
      <c r="S23" t="s">
        <v>216</v>
      </c>
      <c r="T23" t="s">
        <v>202</v>
      </c>
      <c r="U23" t="s">
        <v>198</v>
      </c>
      <c r="V23" t="s">
        <v>198</v>
      </c>
      <c r="W23" t="s">
        <v>198</v>
      </c>
      <c r="X23" t="s">
        <v>198</v>
      </c>
      <c r="Y23" t="s">
        <v>198</v>
      </c>
      <c r="Z23" t="s">
        <v>198</v>
      </c>
      <c r="AA23" t="s">
        <v>198</v>
      </c>
      <c r="AB23" t="s">
        <v>198</v>
      </c>
      <c r="AC23" t="s">
        <v>198</v>
      </c>
      <c r="AD23" s="154" t="s">
        <v>198</v>
      </c>
    </row>
    <row r="24" spans="1:30" x14ac:dyDescent="0.3">
      <c r="A24">
        <v>17</v>
      </c>
      <c r="B24" t="s">
        <v>217</v>
      </c>
      <c r="C24" t="s">
        <v>202</v>
      </c>
      <c r="D24">
        <v>13.433</v>
      </c>
      <c r="E24">
        <v>13.5314</v>
      </c>
      <c r="F24">
        <v>99.18</v>
      </c>
      <c r="G24">
        <v>84.601699999999994</v>
      </c>
      <c r="H24">
        <v>181.71</v>
      </c>
      <c r="I24" t="s">
        <v>295</v>
      </c>
      <c r="J24">
        <v>0.42399999999999999</v>
      </c>
      <c r="K24">
        <v>1.31</v>
      </c>
      <c r="L24" t="s">
        <v>198</v>
      </c>
      <c r="M24">
        <v>5551</v>
      </c>
      <c r="R24">
        <v>17</v>
      </c>
      <c r="S24" t="s">
        <v>217</v>
      </c>
      <c r="T24" t="s">
        <v>202</v>
      </c>
      <c r="U24" t="s">
        <v>198</v>
      </c>
      <c r="V24" t="s">
        <v>198</v>
      </c>
      <c r="W24" t="s">
        <v>198</v>
      </c>
      <c r="X24" t="s">
        <v>198</v>
      </c>
      <c r="Y24" t="s">
        <v>198</v>
      </c>
      <c r="Z24" t="s">
        <v>198</v>
      </c>
      <c r="AA24" t="s">
        <v>198</v>
      </c>
      <c r="AB24" t="s">
        <v>198</v>
      </c>
      <c r="AC24" t="s">
        <v>198</v>
      </c>
      <c r="AD24" s="154" t="s">
        <v>198</v>
      </c>
    </row>
    <row r="25" spans="1:30" x14ac:dyDescent="0.3">
      <c r="A25">
        <v>18</v>
      </c>
      <c r="B25" t="s">
        <v>218</v>
      </c>
      <c r="C25" t="s">
        <v>202</v>
      </c>
      <c r="D25">
        <v>13.433</v>
      </c>
      <c r="E25">
        <v>13.821899999999999</v>
      </c>
      <c r="F25">
        <v>99.16</v>
      </c>
      <c r="G25">
        <v>86.417900000000003</v>
      </c>
      <c r="H25">
        <v>185.15</v>
      </c>
      <c r="I25" t="s">
        <v>295</v>
      </c>
      <c r="J25">
        <v>0.42499999999999999</v>
      </c>
      <c r="K25">
        <v>1.31</v>
      </c>
      <c r="L25" t="s">
        <v>198</v>
      </c>
      <c r="M25">
        <v>5538</v>
      </c>
      <c r="R25">
        <v>18</v>
      </c>
      <c r="S25" t="s">
        <v>218</v>
      </c>
      <c r="T25" t="s">
        <v>202</v>
      </c>
      <c r="U25" t="s">
        <v>198</v>
      </c>
      <c r="V25" t="s">
        <v>198</v>
      </c>
      <c r="W25" t="s">
        <v>198</v>
      </c>
      <c r="X25" t="s">
        <v>198</v>
      </c>
      <c r="Y25" t="s">
        <v>198</v>
      </c>
      <c r="Z25" t="s">
        <v>198</v>
      </c>
      <c r="AA25" t="s">
        <v>198</v>
      </c>
      <c r="AB25" t="s">
        <v>198</v>
      </c>
      <c r="AC25" t="s">
        <v>198</v>
      </c>
      <c r="AD25" s="154" t="s">
        <v>198</v>
      </c>
    </row>
    <row r="26" spans="1:30" x14ac:dyDescent="0.3">
      <c r="A26">
        <v>19</v>
      </c>
      <c r="B26" t="s">
        <v>219</v>
      </c>
      <c r="C26" t="s">
        <v>202</v>
      </c>
      <c r="D26">
        <v>13.433</v>
      </c>
      <c r="E26">
        <v>13.8635</v>
      </c>
      <c r="F26">
        <v>99.15</v>
      </c>
      <c r="G26">
        <v>86.678600000000003</v>
      </c>
      <c r="H26">
        <v>185.78</v>
      </c>
      <c r="I26" t="s">
        <v>295</v>
      </c>
      <c r="J26">
        <v>0.42399999999999999</v>
      </c>
      <c r="K26">
        <v>1.31</v>
      </c>
      <c r="L26" t="s">
        <v>198</v>
      </c>
      <c r="M26">
        <v>5557</v>
      </c>
      <c r="R26">
        <v>19</v>
      </c>
      <c r="S26" t="s">
        <v>219</v>
      </c>
      <c r="T26" t="s">
        <v>202</v>
      </c>
      <c r="U26" t="s">
        <v>198</v>
      </c>
      <c r="V26" t="s">
        <v>198</v>
      </c>
      <c r="W26" t="s">
        <v>198</v>
      </c>
      <c r="X26" t="s">
        <v>198</v>
      </c>
      <c r="Y26" t="s">
        <v>198</v>
      </c>
      <c r="Z26" t="s">
        <v>198</v>
      </c>
      <c r="AA26" t="s">
        <v>198</v>
      </c>
      <c r="AB26" t="s">
        <v>198</v>
      </c>
      <c r="AC26" t="s">
        <v>198</v>
      </c>
      <c r="AD26" s="154" t="s">
        <v>198</v>
      </c>
    </row>
    <row r="27" spans="1:30" x14ac:dyDescent="0.3">
      <c r="A27">
        <v>20</v>
      </c>
      <c r="B27" t="s">
        <v>220</v>
      </c>
      <c r="C27" t="s">
        <v>202</v>
      </c>
      <c r="D27">
        <v>13.433</v>
      </c>
      <c r="E27">
        <v>16.621200000000002</v>
      </c>
      <c r="F27">
        <v>99.09</v>
      </c>
      <c r="G27">
        <v>103.92019999999999</v>
      </c>
      <c r="H27">
        <v>224.11</v>
      </c>
      <c r="I27" t="s">
        <v>295</v>
      </c>
      <c r="J27">
        <v>0.42199999999999999</v>
      </c>
      <c r="K27">
        <v>1.3</v>
      </c>
      <c r="L27" t="s">
        <v>198</v>
      </c>
      <c r="M27">
        <v>5610</v>
      </c>
      <c r="R27">
        <v>20</v>
      </c>
      <c r="S27" t="s">
        <v>220</v>
      </c>
      <c r="T27" t="s">
        <v>202</v>
      </c>
      <c r="U27" t="s">
        <v>198</v>
      </c>
      <c r="V27" t="s">
        <v>198</v>
      </c>
      <c r="W27" t="s">
        <v>198</v>
      </c>
      <c r="X27" t="s">
        <v>198</v>
      </c>
      <c r="Y27" t="s">
        <v>198</v>
      </c>
      <c r="Z27" t="s">
        <v>198</v>
      </c>
      <c r="AA27" t="s">
        <v>198</v>
      </c>
      <c r="AB27" t="s">
        <v>198</v>
      </c>
      <c r="AC27" t="s">
        <v>198</v>
      </c>
      <c r="AD27" s="154" t="s">
        <v>198</v>
      </c>
    </row>
    <row r="28" spans="1:30" x14ac:dyDescent="0.3">
      <c r="A28">
        <v>21</v>
      </c>
      <c r="B28" t="s">
        <v>221</v>
      </c>
      <c r="C28" t="s">
        <v>202</v>
      </c>
      <c r="D28">
        <v>13.433</v>
      </c>
      <c r="E28">
        <v>16.615200000000002</v>
      </c>
      <c r="F28">
        <v>99.09</v>
      </c>
      <c r="G28">
        <v>103.8828</v>
      </c>
      <c r="H28">
        <v>223.59</v>
      </c>
      <c r="I28" t="s">
        <v>295</v>
      </c>
      <c r="J28">
        <v>0.42299999999999999</v>
      </c>
      <c r="K28">
        <v>1.3</v>
      </c>
      <c r="L28" t="s">
        <v>198</v>
      </c>
      <c r="M28">
        <v>5600</v>
      </c>
      <c r="R28">
        <v>21</v>
      </c>
      <c r="S28" t="s">
        <v>221</v>
      </c>
      <c r="T28" t="s">
        <v>202</v>
      </c>
      <c r="U28" t="s">
        <v>198</v>
      </c>
      <c r="V28" t="s">
        <v>198</v>
      </c>
      <c r="W28" t="s">
        <v>198</v>
      </c>
      <c r="X28" t="s">
        <v>198</v>
      </c>
      <c r="Y28" t="s">
        <v>198</v>
      </c>
      <c r="Z28" t="s">
        <v>198</v>
      </c>
      <c r="AA28" t="s">
        <v>198</v>
      </c>
      <c r="AB28" t="s">
        <v>198</v>
      </c>
      <c r="AC28" t="s">
        <v>198</v>
      </c>
      <c r="AD28" s="154" t="s">
        <v>198</v>
      </c>
    </row>
    <row r="29" spans="1:30" x14ac:dyDescent="0.3">
      <c r="A29">
        <v>22</v>
      </c>
      <c r="B29" t="s">
        <v>222</v>
      </c>
      <c r="C29" t="s">
        <v>202</v>
      </c>
      <c r="D29">
        <v>13.433</v>
      </c>
      <c r="E29">
        <v>16.5624</v>
      </c>
      <c r="F29">
        <v>99.06</v>
      </c>
      <c r="G29">
        <v>103.5523</v>
      </c>
      <c r="H29">
        <v>221.97</v>
      </c>
      <c r="I29" t="s">
        <v>295</v>
      </c>
      <c r="J29">
        <v>0.42299999999999999</v>
      </c>
      <c r="K29">
        <v>1.31</v>
      </c>
      <c r="L29" t="s">
        <v>198</v>
      </c>
      <c r="M29">
        <v>5578</v>
      </c>
      <c r="R29">
        <v>22</v>
      </c>
      <c r="S29" t="s">
        <v>222</v>
      </c>
      <c r="T29" t="s">
        <v>202</v>
      </c>
      <c r="U29" t="s">
        <v>198</v>
      </c>
      <c r="V29" t="s">
        <v>198</v>
      </c>
      <c r="W29" t="s">
        <v>198</v>
      </c>
      <c r="X29" t="s">
        <v>198</v>
      </c>
      <c r="Y29" t="s">
        <v>198</v>
      </c>
      <c r="Z29" t="s">
        <v>198</v>
      </c>
      <c r="AA29" t="s">
        <v>198</v>
      </c>
      <c r="AB29" t="s">
        <v>198</v>
      </c>
      <c r="AC29" t="s">
        <v>198</v>
      </c>
      <c r="AD29" s="154" t="s">
        <v>198</v>
      </c>
    </row>
    <row r="30" spans="1:30" x14ac:dyDescent="0.3">
      <c r="A30">
        <v>23</v>
      </c>
      <c r="B30" t="s">
        <v>223</v>
      </c>
      <c r="C30" t="s">
        <v>202</v>
      </c>
      <c r="D30">
        <v>13.433</v>
      </c>
      <c r="E30">
        <v>16.625900000000001</v>
      </c>
      <c r="F30">
        <v>99.06</v>
      </c>
      <c r="G30">
        <v>103.9495</v>
      </c>
      <c r="H30">
        <v>223.09</v>
      </c>
      <c r="I30" t="s">
        <v>295</v>
      </c>
      <c r="J30">
        <v>0.42299999999999999</v>
      </c>
      <c r="K30">
        <v>1.31</v>
      </c>
      <c r="L30" t="s">
        <v>198</v>
      </c>
      <c r="M30">
        <v>5598</v>
      </c>
      <c r="R30">
        <v>23</v>
      </c>
      <c r="S30" t="s">
        <v>223</v>
      </c>
      <c r="T30" t="s">
        <v>202</v>
      </c>
      <c r="U30" t="s">
        <v>198</v>
      </c>
      <c r="V30" t="s">
        <v>198</v>
      </c>
      <c r="W30" t="s">
        <v>198</v>
      </c>
      <c r="X30" t="s">
        <v>198</v>
      </c>
      <c r="Y30" t="s">
        <v>198</v>
      </c>
      <c r="Z30" t="s">
        <v>198</v>
      </c>
      <c r="AA30" t="s">
        <v>198</v>
      </c>
      <c r="AB30" t="s">
        <v>198</v>
      </c>
      <c r="AC30" t="s">
        <v>198</v>
      </c>
      <c r="AD30" s="154" t="s">
        <v>198</v>
      </c>
    </row>
    <row r="31" spans="1:30" x14ac:dyDescent="0.3">
      <c r="A31">
        <v>24</v>
      </c>
      <c r="B31" t="s">
        <v>224</v>
      </c>
      <c r="C31" t="s">
        <v>202</v>
      </c>
      <c r="D31">
        <v>13.4</v>
      </c>
      <c r="E31">
        <v>21.334299999999999</v>
      </c>
      <c r="F31">
        <v>98.91</v>
      </c>
      <c r="G31">
        <v>66.693799999999996</v>
      </c>
      <c r="H31">
        <v>144.22999999999999</v>
      </c>
      <c r="I31" t="s">
        <v>295</v>
      </c>
      <c r="J31">
        <v>0.42099999999999999</v>
      </c>
      <c r="K31">
        <v>1.35</v>
      </c>
      <c r="L31" t="s">
        <v>198</v>
      </c>
      <c r="M31">
        <v>5611</v>
      </c>
      <c r="R31">
        <v>24</v>
      </c>
      <c r="S31" t="s">
        <v>224</v>
      </c>
      <c r="T31" t="s">
        <v>202</v>
      </c>
      <c r="U31" t="s">
        <v>198</v>
      </c>
      <c r="V31" t="s">
        <v>198</v>
      </c>
      <c r="W31" t="s">
        <v>198</v>
      </c>
      <c r="X31" t="s">
        <v>198</v>
      </c>
      <c r="Y31" t="s">
        <v>198</v>
      </c>
      <c r="Z31" t="s">
        <v>198</v>
      </c>
      <c r="AA31" t="s">
        <v>198</v>
      </c>
      <c r="AB31" t="s">
        <v>198</v>
      </c>
      <c r="AC31" t="s">
        <v>198</v>
      </c>
      <c r="AD31" s="154" t="s">
        <v>198</v>
      </c>
    </row>
    <row r="32" spans="1:30" x14ac:dyDescent="0.3">
      <c r="A32">
        <v>25</v>
      </c>
      <c r="B32" t="s">
        <v>225</v>
      </c>
      <c r="C32" t="s">
        <v>202</v>
      </c>
      <c r="D32">
        <v>13.4</v>
      </c>
      <c r="E32">
        <v>21.987500000000001</v>
      </c>
      <c r="F32">
        <v>98.9</v>
      </c>
      <c r="G32">
        <v>68.735900000000001</v>
      </c>
      <c r="H32">
        <v>148.88</v>
      </c>
      <c r="I32" t="s">
        <v>295</v>
      </c>
      <c r="J32">
        <v>0.42</v>
      </c>
      <c r="K32">
        <v>1.35</v>
      </c>
      <c r="L32" t="s">
        <v>198</v>
      </c>
      <c r="M32">
        <v>5627</v>
      </c>
      <c r="R32">
        <v>25</v>
      </c>
      <c r="S32" t="s">
        <v>225</v>
      </c>
      <c r="T32" t="s">
        <v>202</v>
      </c>
      <c r="U32" t="s">
        <v>198</v>
      </c>
      <c r="V32" t="s">
        <v>198</v>
      </c>
      <c r="W32" t="s">
        <v>198</v>
      </c>
      <c r="X32" t="s">
        <v>198</v>
      </c>
      <c r="Y32" t="s">
        <v>198</v>
      </c>
      <c r="Z32" t="s">
        <v>198</v>
      </c>
      <c r="AA32" t="s">
        <v>198</v>
      </c>
      <c r="AB32" t="s">
        <v>198</v>
      </c>
      <c r="AC32" t="s">
        <v>198</v>
      </c>
      <c r="AD32" s="154" t="s">
        <v>198</v>
      </c>
    </row>
    <row r="33" spans="1:39" x14ac:dyDescent="0.3">
      <c r="A33">
        <v>26</v>
      </c>
      <c r="B33" t="s">
        <v>226</v>
      </c>
      <c r="C33" t="s">
        <v>202</v>
      </c>
      <c r="D33">
        <v>13.4</v>
      </c>
      <c r="E33">
        <v>22.034600000000001</v>
      </c>
      <c r="F33">
        <v>98.86</v>
      </c>
      <c r="G33">
        <v>68.882999999999996</v>
      </c>
      <c r="H33">
        <v>148.32</v>
      </c>
      <c r="I33" t="s">
        <v>295</v>
      </c>
      <c r="J33">
        <v>0.42299999999999999</v>
      </c>
      <c r="K33">
        <v>1.36</v>
      </c>
      <c r="L33" t="s">
        <v>198</v>
      </c>
      <c r="M33">
        <v>5571</v>
      </c>
      <c r="R33">
        <v>26</v>
      </c>
      <c r="S33" t="s">
        <v>226</v>
      </c>
      <c r="T33" t="s">
        <v>202</v>
      </c>
      <c r="U33" t="s">
        <v>198</v>
      </c>
      <c r="V33" t="s">
        <v>198</v>
      </c>
      <c r="W33" t="s">
        <v>198</v>
      </c>
      <c r="X33" t="s">
        <v>198</v>
      </c>
      <c r="Y33" t="s">
        <v>198</v>
      </c>
      <c r="Z33" t="s">
        <v>198</v>
      </c>
      <c r="AA33" t="s">
        <v>198</v>
      </c>
      <c r="AB33" t="s">
        <v>198</v>
      </c>
      <c r="AC33" t="s">
        <v>198</v>
      </c>
      <c r="AD33" s="154" t="s">
        <v>198</v>
      </c>
    </row>
    <row r="34" spans="1:39" x14ac:dyDescent="0.3">
      <c r="A34">
        <v>27</v>
      </c>
      <c r="B34" t="s">
        <v>227</v>
      </c>
      <c r="C34" t="s">
        <v>202</v>
      </c>
      <c r="D34">
        <v>13.4</v>
      </c>
      <c r="E34">
        <v>21.6706</v>
      </c>
      <c r="F34">
        <v>98.81</v>
      </c>
      <c r="G34">
        <v>67.745000000000005</v>
      </c>
      <c r="H34">
        <v>147.16</v>
      </c>
      <c r="I34" t="s">
        <v>295</v>
      </c>
      <c r="J34">
        <v>0.41799999999999998</v>
      </c>
      <c r="K34">
        <v>1.36</v>
      </c>
      <c r="L34" t="s">
        <v>198</v>
      </c>
      <c r="M34">
        <v>5681</v>
      </c>
      <c r="R34">
        <v>27</v>
      </c>
      <c r="S34" t="s">
        <v>227</v>
      </c>
      <c r="T34" t="s">
        <v>202</v>
      </c>
      <c r="U34" t="s">
        <v>198</v>
      </c>
      <c r="V34" t="s">
        <v>198</v>
      </c>
      <c r="W34" t="s">
        <v>198</v>
      </c>
      <c r="X34" t="s">
        <v>198</v>
      </c>
      <c r="Y34" t="s">
        <v>198</v>
      </c>
      <c r="Z34" t="s">
        <v>198</v>
      </c>
      <c r="AA34" t="s">
        <v>198</v>
      </c>
      <c r="AB34" t="s">
        <v>198</v>
      </c>
      <c r="AC34" t="s">
        <v>198</v>
      </c>
      <c r="AD34" s="154" t="s">
        <v>198</v>
      </c>
    </row>
    <row r="35" spans="1:39" x14ac:dyDescent="0.3">
      <c r="A35">
        <v>28</v>
      </c>
      <c r="B35" t="s">
        <v>228</v>
      </c>
      <c r="C35" t="s">
        <v>202</v>
      </c>
      <c r="D35">
        <v>13.4</v>
      </c>
      <c r="E35">
        <v>23.362300000000001</v>
      </c>
      <c r="F35">
        <v>98.93</v>
      </c>
      <c r="G35">
        <v>73.033600000000007</v>
      </c>
      <c r="H35">
        <v>159.07</v>
      </c>
      <c r="I35" t="s">
        <v>295</v>
      </c>
      <c r="J35">
        <v>0.41699999999999998</v>
      </c>
      <c r="K35">
        <v>1.37</v>
      </c>
      <c r="L35" t="s">
        <v>198</v>
      </c>
      <c r="M35">
        <v>5733</v>
      </c>
      <c r="R35">
        <v>28</v>
      </c>
      <c r="S35" t="s">
        <v>228</v>
      </c>
      <c r="T35" t="s">
        <v>202</v>
      </c>
      <c r="U35" t="s">
        <v>198</v>
      </c>
      <c r="V35" t="s">
        <v>198</v>
      </c>
      <c r="W35" t="s">
        <v>198</v>
      </c>
      <c r="X35" t="s">
        <v>198</v>
      </c>
      <c r="Y35" t="s">
        <v>198</v>
      </c>
      <c r="Z35" t="s">
        <v>198</v>
      </c>
      <c r="AA35" t="s">
        <v>198</v>
      </c>
      <c r="AB35" t="s">
        <v>198</v>
      </c>
      <c r="AC35" t="s">
        <v>198</v>
      </c>
      <c r="AD35" s="154" t="s">
        <v>198</v>
      </c>
    </row>
    <row r="36" spans="1:39" x14ac:dyDescent="0.3">
      <c r="A36">
        <v>29</v>
      </c>
      <c r="B36" t="s">
        <v>229</v>
      </c>
      <c r="C36" t="s">
        <v>202</v>
      </c>
      <c r="D36">
        <v>13.4</v>
      </c>
      <c r="E36">
        <v>22.7576</v>
      </c>
      <c r="F36">
        <v>98.89</v>
      </c>
      <c r="G36">
        <v>71.1434</v>
      </c>
      <c r="H36">
        <v>155.41999999999999</v>
      </c>
      <c r="I36" t="s">
        <v>295</v>
      </c>
      <c r="J36">
        <v>0.41599999999999998</v>
      </c>
      <c r="K36">
        <v>1.37</v>
      </c>
      <c r="L36" t="s">
        <v>198</v>
      </c>
      <c r="M36">
        <v>5761</v>
      </c>
      <c r="R36">
        <v>29</v>
      </c>
      <c r="S36" t="s">
        <v>229</v>
      </c>
      <c r="T36" t="s">
        <v>202</v>
      </c>
      <c r="U36" t="s">
        <v>198</v>
      </c>
      <c r="V36" t="s">
        <v>198</v>
      </c>
      <c r="W36" t="s">
        <v>198</v>
      </c>
      <c r="X36" t="s">
        <v>198</v>
      </c>
      <c r="Y36" t="s">
        <v>198</v>
      </c>
      <c r="Z36" t="s">
        <v>198</v>
      </c>
      <c r="AA36" t="s">
        <v>198</v>
      </c>
      <c r="AB36" t="s">
        <v>198</v>
      </c>
      <c r="AC36" t="s">
        <v>198</v>
      </c>
      <c r="AD36" s="154" t="s">
        <v>198</v>
      </c>
    </row>
    <row r="37" spans="1:39" x14ac:dyDescent="0.3">
      <c r="A37">
        <v>30</v>
      </c>
      <c r="B37" t="s">
        <v>230</v>
      </c>
      <c r="C37" t="s">
        <v>202</v>
      </c>
      <c r="D37">
        <v>13.4</v>
      </c>
      <c r="E37">
        <v>23.035</v>
      </c>
      <c r="F37">
        <v>98.83</v>
      </c>
      <c r="G37">
        <v>72.010400000000004</v>
      </c>
      <c r="H37">
        <v>158.31</v>
      </c>
      <c r="I37" t="s">
        <v>295</v>
      </c>
      <c r="J37">
        <v>0.41299999999999998</v>
      </c>
      <c r="K37">
        <v>1.37</v>
      </c>
      <c r="L37" t="s">
        <v>198</v>
      </c>
      <c r="M37">
        <v>5839</v>
      </c>
      <c r="R37">
        <v>30</v>
      </c>
      <c r="S37" t="s">
        <v>230</v>
      </c>
      <c r="T37" t="s">
        <v>202</v>
      </c>
      <c r="U37" t="s">
        <v>198</v>
      </c>
      <c r="V37" t="s">
        <v>198</v>
      </c>
      <c r="W37" t="s">
        <v>198</v>
      </c>
      <c r="X37" t="s">
        <v>198</v>
      </c>
      <c r="Y37" t="s">
        <v>198</v>
      </c>
      <c r="Z37" t="s">
        <v>198</v>
      </c>
      <c r="AA37" t="s">
        <v>198</v>
      </c>
      <c r="AB37" t="s">
        <v>198</v>
      </c>
      <c r="AC37" t="s">
        <v>198</v>
      </c>
      <c r="AD37" s="154" t="s">
        <v>198</v>
      </c>
    </row>
    <row r="38" spans="1:39" x14ac:dyDescent="0.3">
      <c r="A38">
        <v>31</v>
      </c>
      <c r="B38" t="s">
        <v>231</v>
      </c>
      <c r="C38" t="s">
        <v>202</v>
      </c>
      <c r="D38">
        <v>13.4</v>
      </c>
      <c r="E38">
        <v>23.4876</v>
      </c>
      <c r="F38">
        <v>98.81</v>
      </c>
      <c r="G38">
        <v>73.425399999999996</v>
      </c>
      <c r="H38">
        <v>161.4</v>
      </c>
      <c r="I38" t="s">
        <v>295</v>
      </c>
      <c r="J38">
        <v>0.41099999999999998</v>
      </c>
      <c r="K38">
        <v>1.37</v>
      </c>
      <c r="L38" t="s">
        <v>198</v>
      </c>
      <c r="M38">
        <v>5883</v>
      </c>
      <c r="R38">
        <v>31</v>
      </c>
      <c r="S38" t="s">
        <v>231</v>
      </c>
      <c r="T38" t="s">
        <v>202</v>
      </c>
      <c r="U38" t="s">
        <v>198</v>
      </c>
      <c r="V38" t="s">
        <v>198</v>
      </c>
      <c r="W38" t="s">
        <v>198</v>
      </c>
      <c r="X38" t="s">
        <v>198</v>
      </c>
      <c r="Y38" t="s">
        <v>198</v>
      </c>
      <c r="Z38" t="s">
        <v>198</v>
      </c>
      <c r="AA38" t="s">
        <v>198</v>
      </c>
      <c r="AB38" t="s">
        <v>198</v>
      </c>
      <c r="AC38" t="s">
        <v>198</v>
      </c>
      <c r="AD38" s="154" t="s">
        <v>198</v>
      </c>
    </row>
    <row r="39" spans="1:39" x14ac:dyDescent="0.3">
      <c r="A39">
        <v>32</v>
      </c>
      <c r="B39" t="s">
        <v>232</v>
      </c>
      <c r="C39" t="s">
        <v>202</v>
      </c>
      <c r="D39">
        <v>13.4</v>
      </c>
      <c r="E39">
        <v>24.598500000000001</v>
      </c>
      <c r="F39">
        <v>98.82</v>
      </c>
      <c r="G39">
        <v>76.898099999999999</v>
      </c>
      <c r="H39">
        <v>169.59</v>
      </c>
      <c r="I39" t="s">
        <v>295</v>
      </c>
      <c r="J39">
        <v>0.41</v>
      </c>
      <c r="K39">
        <v>1.36</v>
      </c>
      <c r="L39" t="s">
        <v>198</v>
      </c>
      <c r="M39">
        <v>5924</v>
      </c>
      <c r="R39">
        <v>32</v>
      </c>
      <c r="S39" t="s">
        <v>232</v>
      </c>
      <c r="T39" t="s">
        <v>202</v>
      </c>
      <c r="U39" t="s">
        <v>198</v>
      </c>
      <c r="V39" t="s">
        <v>198</v>
      </c>
      <c r="W39" t="s">
        <v>198</v>
      </c>
      <c r="X39" t="s">
        <v>198</v>
      </c>
      <c r="Y39" t="s">
        <v>198</v>
      </c>
      <c r="Z39" t="s">
        <v>198</v>
      </c>
      <c r="AA39" t="s">
        <v>198</v>
      </c>
      <c r="AB39" t="s">
        <v>198</v>
      </c>
      <c r="AC39" t="s">
        <v>198</v>
      </c>
      <c r="AD39" s="154" t="s">
        <v>198</v>
      </c>
    </row>
    <row r="40" spans="1:39" x14ac:dyDescent="0.3">
      <c r="A40">
        <v>33</v>
      </c>
      <c r="B40" t="s">
        <v>233</v>
      </c>
      <c r="C40" t="s">
        <v>202</v>
      </c>
      <c r="D40">
        <v>13.4</v>
      </c>
      <c r="E40">
        <v>24.593399999999999</v>
      </c>
      <c r="F40">
        <v>98.84</v>
      </c>
      <c r="G40">
        <v>76.882099999999994</v>
      </c>
      <c r="H40">
        <v>169.47</v>
      </c>
      <c r="I40" t="s">
        <v>295</v>
      </c>
      <c r="J40">
        <v>0.40899999999999997</v>
      </c>
      <c r="K40">
        <v>1.37</v>
      </c>
      <c r="L40" t="s">
        <v>198</v>
      </c>
      <c r="M40">
        <v>5942</v>
      </c>
      <c r="R40">
        <v>33</v>
      </c>
      <c r="S40" t="s">
        <v>233</v>
      </c>
      <c r="T40" t="s">
        <v>202</v>
      </c>
      <c r="U40" t="s">
        <v>198</v>
      </c>
      <c r="V40" t="s">
        <v>198</v>
      </c>
      <c r="W40" t="s">
        <v>198</v>
      </c>
      <c r="X40" t="s">
        <v>198</v>
      </c>
      <c r="Y40" t="s">
        <v>198</v>
      </c>
      <c r="Z40" t="s">
        <v>198</v>
      </c>
      <c r="AA40" t="s">
        <v>198</v>
      </c>
      <c r="AB40" t="s">
        <v>198</v>
      </c>
      <c r="AC40" t="s">
        <v>198</v>
      </c>
      <c r="AD40" s="154" t="s">
        <v>198</v>
      </c>
    </row>
    <row r="41" spans="1:39" x14ac:dyDescent="0.3">
      <c r="A41">
        <v>34</v>
      </c>
      <c r="B41" t="s">
        <v>234</v>
      </c>
      <c r="C41" t="s">
        <v>202</v>
      </c>
      <c r="D41">
        <v>13.4</v>
      </c>
      <c r="E41">
        <v>24.340699999999998</v>
      </c>
      <c r="F41">
        <v>96.41</v>
      </c>
      <c r="G41">
        <v>76.092399999999998</v>
      </c>
      <c r="H41">
        <v>167.77</v>
      </c>
      <c r="I41" t="s">
        <v>295</v>
      </c>
      <c r="J41">
        <v>0.40899999999999997</v>
      </c>
      <c r="K41">
        <v>1.37</v>
      </c>
      <c r="L41">
        <v>6.29</v>
      </c>
      <c r="M41">
        <v>5944</v>
      </c>
      <c r="R41">
        <v>34</v>
      </c>
      <c r="S41" t="s">
        <v>234</v>
      </c>
      <c r="T41" t="s">
        <v>202</v>
      </c>
      <c r="U41">
        <v>18.033000000000001</v>
      </c>
      <c r="V41">
        <v>2.7126999999999999</v>
      </c>
      <c r="W41">
        <v>2.38</v>
      </c>
      <c r="X41">
        <v>1.8768</v>
      </c>
      <c r="Y41">
        <v>3.8</v>
      </c>
      <c r="Z41" t="s">
        <v>236</v>
      </c>
      <c r="AA41">
        <v>0.46</v>
      </c>
      <c r="AB41">
        <v>1.34</v>
      </c>
      <c r="AC41" t="s">
        <v>198</v>
      </c>
      <c r="AD41" s="154">
        <v>8510</v>
      </c>
    </row>
    <row r="42" spans="1:39" x14ac:dyDescent="0.3">
      <c r="A42">
        <v>35</v>
      </c>
      <c r="B42" t="s">
        <v>235</v>
      </c>
      <c r="C42" t="s">
        <v>202</v>
      </c>
      <c r="D42">
        <v>13.4</v>
      </c>
      <c r="E42">
        <v>24.7883</v>
      </c>
      <c r="F42">
        <v>97.61</v>
      </c>
      <c r="G42">
        <v>77.491600000000005</v>
      </c>
      <c r="H42">
        <v>170.66</v>
      </c>
      <c r="I42" t="s">
        <v>295</v>
      </c>
      <c r="J42">
        <v>0.40899999999999997</v>
      </c>
      <c r="K42">
        <v>1.37</v>
      </c>
      <c r="L42">
        <v>6.29</v>
      </c>
      <c r="M42">
        <v>5951</v>
      </c>
      <c r="R42">
        <v>35</v>
      </c>
      <c r="S42" t="s">
        <v>235</v>
      </c>
      <c r="T42" t="s">
        <v>202</v>
      </c>
      <c r="U42">
        <v>18.033000000000001</v>
      </c>
      <c r="V42">
        <v>2.7391999999999999</v>
      </c>
      <c r="W42">
        <v>2.39</v>
      </c>
      <c r="X42">
        <v>1.8952</v>
      </c>
      <c r="Y42">
        <v>3.88</v>
      </c>
      <c r="Z42" t="s">
        <v>236</v>
      </c>
      <c r="AA42">
        <v>0.46100000000000002</v>
      </c>
      <c r="AB42">
        <v>1.3</v>
      </c>
      <c r="AC42" t="s">
        <v>198</v>
      </c>
      <c r="AD42" s="154">
        <v>8486</v>
      </c>
    </row>
    <row r="43" spans="1:39" ht="15" thickBot="1" x14ac:dyDescent="0.35">
      <c r="A43">
        <v>36</v>
      </c>
      <c r="B43" t="s">
        <v>196</v>
      </c>
      <c r="C43" t="s">
        <v>197</v>
      </c>
      <c r="D43" t="s">
        <v>198</v>
      </c>
      <c r="E43" t="s">
        <v>198</v>
      </c>
      <c r="F43" t="s">
        <v>198</v>
      </c>
      <c r="G43" t="s">
        <v>198</v>
      </c>
      <c r="H43" t="s">
        <v>198</v>
      </c>
      <c r="I43" t="s">
        <v>198</v>
      </c>
      <c r="J43" t="s">
        <v>198</v>
      </c>
      <c r="K43" t="s">
        <v>198</v>
      </c>
      <c r="L43" t="s">
        <v>198</v>
      </c>
      <c r="M43" t="s">
        <v>198</v>
      </c>
      <c r="R43">
        <v>36</v>
      </c>
      <c r="S43" t="s">
        <v>196</v>
      </c>
      <c r="T43" t="s">
        <v>197</v>
      </c>
      <c r="U43">
        <v>18.033000000000001</v>
      </c>
      <c r="V43">
        <v>9.7786000000000008</v>
      </c>
      <c r="W43">
        <v>100</v>
      </c>
      <c r="X43">
        <v>13.530799999999999</v>
      </c>
      <c r="Y43">
        <v>26.43</v>
      </c>
      <c r="Z43" t="s">
        <v>236</v>
      </c>
      <c r="AA43">
        <v>0.46800000000000003</v>
      </c>
      <c r="AB43">
        <v>1.35</v>
      </c>
      <c r="AC43" t="s">
        <v>198</v>
      </c>
      <c r="AD43" s="154">
        <v>8217</v>
      </c>
    </row>
    <row r="44" spans="1:39" ht="14.4" customHeight="1" x14ac:dyDescent="0.3">
      <c r="A44">
        <v>37</v>
      </c>
      <c r="B44" t="s">
        <v>199</v>
      </c>
      <c r="C44" t="s">
        <v>197</v>
      </c>
      <c r="D44">
        <v>13.433</v>
      </c>
      <c r="E44">
        <v>0.1011</v>
      </c>
      <c r="F44">
        <v>100</v>
      </c>
      <c r="G44">
        <v>1.2643</v>
      </c>
      <c r="H44">
        <v>2.81</v>
      </c>
      <c r="I44" t="s">
        <v>236</v>
      </c>
      <c r="J44">
        <v>0.41799999999999998</v>
      </c>
      <c r="K44">
        <v>1.3</v>
      </c>
      <c r="L44" t="s">
        <v>198</v>
      </c>
      <c r="M44">
        <v>5713</v>
      </c>
      <c r="R44">
        <v>37</v>
      </c>
      <c r="S44" t="s">
        <v>199</v>
      </c>
      <c r="T44" t="s">
        <v>197</v>
      </c>
      <c r="U44" t="s">
        <v>198</v>
      </c>
      <c r="V44" t="s">
        <v>198</v>
      </c>
      <c r="W44" t="s">
        <v>198</v>
      </c>
      <c r="X44" t="s">
        <v>198</v>
      </c>
      <c r="Y44" t="s">
        <v>198</v>
      </c>
      <c r="Z44" t="s">
        <v>198</v>
      </c>
      <c r="AA44" t="s">
        <v>198</v>
      </c>
      <c r="AB44" t="s">
        <v>198</v>
      </c>
      <c r="AC44" t="s">
        <v>198</v>
      </c>
      <c r="AD44" s="154" t="s">
        <v>198</v>
      </c>
      <c r="AF44" s="229" t="s">
        <v>296</v>
      </c>
      <c r="AG44" s="230"/>
      <c r="AH44" s="230"/>
      <c r="AI44" s="230"/>
      <c r="AJ44" s="230"/>
      <c r="AK44" s="230"/>
      <c r="AL44" s="230"/>
      <c r="AM44" s="231"/>
    </row>
    <row r="45" spans="1:39" ht="14.4" customHeight="1" x14ac:dyDescent="0.3">
      <c r="A45" t="s">
        <v>237</v>
      </c>
      <c r="D45">
        <v>13.433</v>
      </c>
      <c r="E45">
        <v>24.7883</v>
      </c>
      <c r="F45">
        <v>100</v>
      </c>
      <c r="G45">
        <v>103.9495</v>
      </c>
      <c r="H45">
        <v>224.11</v>
      </c>
      <c r="J45">
        <v>0.59699999999999998</v>
      </c>
      <c r="K45">
        <v>1.37</v>
      </c>
      <c r="L45">
        <v>6.29</v>
      </c>
      <c r="M45">
        <v>6490</v>
      </c>
      <c r="R45" t="s">
        <v>237</v>
      </c>
      <c r="U45">
        <v>18.100000000000001</v>
      </c>
      <c r="V45">
        <v>9.7786000000000008</v>
      </c>
      <c r="W45">
        <v>100</v>
      </c>
      <c r="X45">
        <v>13.530799999999999</v>
      </c>
      <c r="Y45">
        <v>26.43</v>
      </c>
      <c r="AA45">
        <v>0.46800000000000003</v>
      </c>
      <c r="AB45">
        <v>1.49</v>
      </c>
      <c r="AC45">
        <v>0</v>
      </c>
      <c r="AD45" s="154">
        <v>9654</v>
      </c>
      <c r="AF45" s="232"/>
      <c r="AG45" s="233"/>
      <c r="AH45" s="233"/>
      <c r="AI45" s="233"/>
      <c r="AJ45" s="233"/>
      <c r="AK45" s="233"/>
      <c r="AL45" s="233"/>
      <c r="AM45" s="234"/>
    </row>
    <row r="46" spans="1:39" ht="14.4" customHeight="1" x14ac:dyDescent="0.3">
      <c r="A46" t="s">
        <v>98</v>
      </c>
      <c r="D46">
        <v>13.41</v>
      </c>
      <c r="E46">
        <v>14.523400000000001</v>
      </c>
      <c r="F46">
        <v>98.49</v>
      </c>
      <c r="G46">
        <v>74.701300000000003</v>
      </c>
      <c r="H46">
        <v>157.38</v>
      </c>
      <c r="J46">
        <v>0.44</v>
      </c>
      <c r="K46">
        <v>1.31</v>
      </c>
      <c r="L46">
        <v>5.67</v>
      </c>
      <c r="M46">
        <v>5347</v>
      </c>
      <c r="R46" t="s">
        <v>98</v>
      </c>
      <c r="U46">
        <v>18.047999999999998</v>
      </c>
      <c r="V46">
        <v>3.8334000000000001</v>
      </c>
      <c r="W46">
        <v>25.41</v>
      </c>
      <c r="X46">
        <v>5.0864000000000003</v>
      </c>
      <c r="Y46">
        <v>10.28</v>
      </c>
      <c r="AA46">
        <v>0.45600000000000002</v>
      </c>
      <c r="AB46">
        <v>1.34</v>
      </c>
      <c r="AC46" t="s">
        <v>198</v>
      </c>
      <c r="AD46" s="154">
        <v>8704</v>
      </c>
      <c r="AF46" s="232"/>
      <c r="AG46" s="233"/>
      <c r="AH46" s="233"/>
      <c r="AI46" s="233"/>
      <c r="AJ46" s="233"/>
      <c r="AK46" s="233"/>
      <c r="AL46" s="233"/>
      <c r="AM46" s="234"/>
    </row>
    <row r="47" spans="1:39" ht="14.4" customHeight="1" x14ac:dyDescent="0.3">
      <c r="A47" t="s">
        <v>238</v>
      </c>
      <c r="D47">
        <v>13.333</v>
      </c>
      <c r="E47">
        <v>9.9099999999999994E-2</v>
      </c>
      <c r="F47">
        <v>84.08</v>
      </c>
      <c r="G47">
        <v>1.2386999999999999</v>
      </c>
      <c r="H47">
        <v>2.81</v>
      </c>
      <c r="J47">
        <v>0.39200000000000002</v>
      </c>
      <c r="K47">
        <v>1.1399999999999999</v>
      </c>
      <c r="L47">
        <v>5.28</v>
      </c>
      <c r="M47">
        <v>2767</v>
      </c>
      <c r="R47" t="s">
        <v>238</v>
      </c>
      <c r="U47">
        <v>18.033000000000001</v>
      </c>
      <c r="V47">
        <v>0.20910000000000001</v>
      </c>
      <c r="W47">
        <v>0.91</v>
      </c>
      <c r="X47">
        <v>0.57869999999999999</v>
      </c>
      <c r="Y47">
        <v>1.26</v>
      </c>
      <c r="AA47">
        <v>0.433</v>
      </c>
      <c r="AB47">
        <v>1.2</v>
      </c>
      <c r="AC47">
        <v>0</v>
      </c>
      <c r="AD47" s="154">
        <v>8217</v>
      </c>
      <c r="AF47" s="232"/>
      <c r="AG47" s="233"/>
      <c r="AH47" s="233"/>
      <c r="AI47" s="233"/>
      <c r="AJ47" s="233"/>
      <c r="AK47" s="233"/>
      <c r="AL47" s="233"/>
      <c r="AM47" s="234"/>
    </row>
    <row r="48" spans="1:39" ht="15" customHeight="1" x14ac:dyDescent="0.3">
      <c r="A48" t="s">
        <v>239</v>
      </c>
      <c r="D48">
        <v>3.2000000000000001E-2</v>
      </c>
      <c r="E48">
        <v>7.6841999999999997</v>
      </c>
      <c r="F48">
        <v>2.62</v>
      </c>
      <c r="G48">
        <v>23.217500000000001</v>
      </c>
      <c r="H48">
        <v>52.9</v>
      </c>
      <c r="J48">
        <v>5.8000000000000003E-2</v>
      </c>
      <c r="K48">
        <v>7.0000000000000007E-2</v>
      </c>
      <c r="L48">
        <v>0.49</v>
      </c>
      <c r="M48">
        <v>969</v>
      </c>
      <c r="R48" t="s">
        <v>239</v>
      </c>
      <c r="U48">
        <v>2.4E-2</v>
      </c>
      <c r="V48">
        <v>4.1860999999999997</v>
      </c>
      <c r="W48">
        <v>42.32</v>
      </c>
      <c r="X48">
        <v>5.8117999999999999</v>
      </c>
      <c r="Y48">
        <v>11.54</v>
      </c>
      <c r="AA48">
        <v>1.0999999999999999E-2</v>
      </c>
      <c r="AB48">
        <v>0.08</v>
      </c>
      <c r="AC48" t="s">
        <v>198</v>
      </c>
      <c r="AD48" s="154">
        <v>441</v>
      </c>
      <c r="AF48" s="232"/>
      <c r="AG48" s="233"/>
      <c r="AH48" s="233"/>
      <c r="AI48" s="233"/>
      <c r="AJ48" s="233"/>
      <c r="AK48" s="233"/>
      <c r="AL48" s="233"/>
      <c r="AM48" s="234"/>
    </row>
    <row r="49" spans="1:39" ht="15" thickBot="1" x14ac:dyDescent="0.35">
      <c r="A49" s="161" t="s">
        <v>240</v>
      </c>
      <c r="B49" s="161"/>
      <c r="C49" s="161"/>
      <c r="D49" s="162">
        <v>2.3999999999999998E-3</v>
      </c>
      <c r="E49" s="162">
        <v>0.52910000000000001</v>
      </c>
      <c r="F49" s="162">
        <v>2.6599999999999999E-2</v>
      </c>
      <c r="G49" s="162">
        <v>0.31080000000000002</v>
      </c>
      <c r="H49" s="162">
        <v>0.33610000000000001</v>
      </c>
      <c r="I49" s="161"/>
      <c r="J49" s="162">
        <v>0.13170000000000001</v>
      </c>
      <c r="K49" s="162">
        <v>5.3699999999999998E-2</v>
      </c>
      <c r="L49" s="162">
        <v>8.5800000000000001E-2</v>
      </c>
      <c r="M49" s="162">
        <v>0.18129999999999999</v>
      </c>
      <c r="N49" s="161"/>
      <c r="O49" s="161"/>
      <c r="P49" s="161"/>
      <c r="Q49" s="161"/>
      <c r="R49" s="161" t="s">
        <v>240</v>
      </c>
      <c r="S49" s="161"/>
      <c r="T49" s="161"/>
      <c r="U49" s="162">
        <v>1.2999999999999999E-3</v>
      </c>
      <c r="V49" s="162">
        <v>1.0920000000000001</v>
      </c>
      <c r="W49" s="162">
        <v>1.6653</v>
      </c>
      <c r="X49" s="162">
        <v>1.1426000000000001</v>
      </c>
      <c r="Y49" s="162">
        <v>1.1226</v>
      </c>
      <c r="Z49" s="161"/>
      <c r="AA49" s="162">
        <v>2.3599999999999999E-2</v>
      </c>
      <c r="AB49" s="162">
        <v>6.0600000000000001E-2</v>
      </c>
      <c r="AC49" s="161" t="s">
        <v>198</v>
      </c>
      <c r="AD49" s="163">
        <v>5.0700000000000002E-2</v>
      </c>
      <c r="AF49" s="235"/>
      <c r="AG49" s="236"/>
      <c r="AH49" s="236"/>
      <c r="AI49" s="236"/>
      <c r="AJ49" s="236"/>
      <c r="AK49" s="236"/>
      <c r="AL49" s="236"/>
      <c r="AM49" s="237"/>
    </row>
    <row r="50" spans="1:39" ht="15" thickTop="1" x14ac:dyDescent="0.3">
      <c r="A50" s="238" t="s">
        <v>348</v>
      </c>
      <c r="B50" s="239"/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40"/>
    </row>
    <row r="51" spans="1:39" ht="15" thickBot="1" x14ac:dyDescent="0.35">
      <c r="A51" s="241"/>
      <c r="B51" s="242"/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3"/>
    </row>
    <row r="52" spans="1:39" ht="15" thickTop="1" x14ac:dyDescent="0.3">
      <c r="A52" s="150" t="s">
        <v>77</v>
      </c>
      <c r="B52" s="151" t="s">
        <v>78</v>
      </c>
      <c r="C52" s="151" t="s">
        <v>180</v>
      </c>
      <c r="D52" s="151" t="s">
        <v>80</v>
      </c>
      <c r="E52" s="151" t="s">
        <v>81</v>
      </c>
      <c r="F52" s="151" t="s">
        <v>181</v>
      </c>
      <c r="G52" s="151" t="s">
        <v>82</v>
      </c>
      <c r="H52" s="151" t="s">
        <v>83</v>
      </c>
      <c r="I52" s="151" t="s">
        <v>79</v>
      </c>
      <c r="J52" s="151" t="s">
        <v>84</v>
      </c>
      <c r="K52" s="151" t="s">
        <v>85</v>
      </c>
      <c r="L52" s="151" t="s">
        <v>86</v>
      </c>
      <c r="M52" s="151" t="s">
        <v>87</v>
      </c>
      <c r="N52" s="151"/>
      <c r="O52" s="151"/>
      <c r="P52" s="151"/>
      <c r="Q52" s="151"/>
      <c r="R52" s="151" t="s">
        <v>77</v>
      </c>
      <c r="S52" s="151" t="s">
        <v>78</v>
      </c>
      <c r="T52" s="151" t="s">
        <v>180</v>
      </c>
      <c r="U52" s="151" t="s">
        <v>80</v>
      </c>
      <c r="V52" s="151" t="s">
        <v>81</v>
      </c>
      <c r="W52" s="151" t="s">
        <v>181</v>
      </c>
      <c r="X52" s="151" t="s">
        <v>82</v>
      </c>
      <c r="Y52" s="151" t="s">
        <v>83</v>
      </c>
      <c r="Z52" s="151" t="s">
        <v>79</v>
      </c>
      <c r="AA52" s="151" t="s">
        <v>84</v>
      </c>
      <c r="AB52" s="151" t="s">
        <v>85</v>
      </c>
      <c r="AC52" s="151" t="s">
        <v>86</v>
      </c>
      <c r="AD52" s="152" t="s">
        <v>87</v>
      </c>
    </row>
    <row r="53" spans="1:39" x14ac:dyDescent="0.3">
      <c r="A53" s="153" t="s">
        <v>88</v>
      </c>
      <c r="B53" t="s">
        <v>89</v>
      </c>
      <c r="D53" t="s">
        <v>90</v>
      </c>
      <c r="E53" t="s">
        <v>91</v>
      </c>
      <c r="F53" t="s">
        <v>92</v>
      </c>
      <c r="G53" t="s">
        <v>93</v>
      </c>
      <c r="H53" t="s">
        <v>94</v>
      </c>
      <c r="J53" t="s">
        <v>90</v>
      </c>
      <c r="K53" t="s">
        <v>95</v>
      </c>
      <c r="L53" t="s">
        <v>95</v>
      </c>
      <c r="M53" t="s">
        <v>95</v>
      </c>
      <c r="R53" t="s">
        <v>88</v>
      </c>
      <c r="S53" t="s">
        <v>89</v>
      </c>
      <c r="U53" t="s">
        <v>90</v>
      </c>
      <c r="V53" t="s">
        <v>91</v>
      </c>
      <c r="W53" t="s">
        <v>92</v>
      </c>
      <c r="X53" t="s">
        <v>93</v>
      </c>
      <c r="Y53" t="s">
        <v>94</v>
      </c>
      <c r="AA53" t="s">
        <v>90</v>
      </c>
      <c r="AB53" t="s">
        <v>95</v>
      </c>
      <c r="AC53" t="s">
        <v>95</v>
      </c>
      <c r="AD53" s="154" t="s">
        <v>95</v>
      </c>
    </row>
    <row r="54" spans="1:39" x14ac:dyDescent="0.3">
      <c r="A54" s="153"/>
      <c r="D54" s="155" t="s">
        <v>96</v>
      </c>
      <c r="E54" s="155" t="s">
        <v>96</v>
      </c>
      <c r="F54" s="155" t="s">
        <v>96</v>
      </c>
      <c r="G54" s="155" t="s">
        <v>96</v>
      </c>
      <c r="H54" s="155" t="s">
        <v>96</v>
      </c>
      <c r="I54" s="155" t="s">
        <v>96</v>
      </c>
      <c r="J54" s="155" t="s">
        <v>96</v>
      </c>
      <c r="K54" s="155" t="s">
        <v>96</v>
      </c>
      <c r="L54" s="155" t="s">
        <v>96</v>
      </c>
      <c r="M54" s="155" t="s">
        <v>96</v>
      </c>
      <c r="U54" s="156" t="s">
        <v>96</v>
      </c>
      <c r="V54" s="156" t="s">
        <v>96</v>
      </c>
      <c r="W54" s="156" t="s">
        <v>96</v>
      </c>
      <c r="X54" s="156" t="s">
        <v>96</v>
      </c>
      <c r="Y54" s="156" t="s">
        <v>96</v>
      </c>
      <c r="Z54" s="156" t="s">
        <v>96</v>
      </c>
      <c r="AA54" s="156" t="s">
        <v>96</v>
      </c>
      <c r="AB54" s="156" t="s">
        <v>96</v>
      </c>
      <c r="AC54" s="156" t="s">
        <v>96</v>
      </c>
      <c r="AD54" s="157" t="s">
        <v>96</v>
      </c>
    </row>
    <row r="55" spans="1:39" x14ac:dyDescent="0.3">
      <c r="A55" s="153"/>
      <c r="D55" s="155" t="s">
        <v>97</v>
      </c>
      <c r="E55" s="155" t="s">
        <v>97</v>
      </c>
      <c r="F55" s="155" t="s">
        <v>97</v>
      </c>
      <c r="G55" s="155" t="s">
        <v>97</v>
      </c>
      <c r="H55" s="155" t="s">
        <v>97</v>
      </c>
      <c r="I55" s="155" t="s">
        <v>97</v>
      </c>
      <c r="J55" s="155" t="s">
        <v>97</v>
      </c>
      <c r="K55" s="155" t="s">
        <v>97</v>
      </c>
      <c r="L55" s="155" t="s">
        <v>97</v>
      </c>
      <c r="M55" s="155" t="s">
        <v>97</v>
      </c>
      <c r="U55" s="158" t="s">
        <v>182</v>
      </c>
      <c r="V55" s="158" t="s">
        <v>182</v>
      </c>
      <c r="W55" s="158" t="s">
        <v>182</v>
      </c>
      <c r="X55" s="158" t="s">
        <v>182</v>
      </c>
      <c r="Y55" s="158" t="s">
        <v>182</v>
      </c>
      <c r="Z55" s="158" t="s">
        <v>182</v>
      </c>
      <c r="AA55" s="158" t="s">
        <v>182</v>
      </c>
      <c r="AB55" s="158" t="s">
        <v>182</v>
      </c>
      <c r="AC55" s="158" t="s">
        <v>182</v>
      </c>
      <c r="AD55" s="159" t="s">
        <v>182</v>
      </c>
    </row>
    <row r="56" spans="1:39" x14ac:dyDescent="0.3">
      <c r="A56" s="153">
        <v>27</v>
      </c>
      <c r="B56" t="s">
        <v>196</v>
      </c>
      <c r="C56" t="s">
        <v>197</v>
      </c>
      <c r="D56" t="s">
        <v>198</v>
      </c>
      <c r="E56" t="s">
        <v>198</v>
      </c>
      <c r="F56" t="s">
        <v>198</v>
      </c>
      <c r="G56" t="s">
        <v>198</v>
      </c>
      <c r="H56" t="s">
        <v>198</v>
      </c>
      <c r="I56" t="s">
        <v>198</v>
      </c>
      <c r="J56" t="s">
        <v>198</v>
      </c>
      <c r="K56" t="s">
        <v>198</v>
      </c>
      <c r="L56" t="s">
        <v>198</v>
      </c>
      <c r="M56" t="s">
        <v>198</v>
      </c>
      <c r="R56">
        <v>27</v>
      </c>
      <c r="S56" t="s">
        <v>196</v>
      </c>
      <c r="T56" t="s">
        <v>197</v>
      </c>
      <c r="U56">
        <v>18.100000000000001</v>
      </c>
      <c r="V56">
        <v>8.5984999999999996</v>
      </c>
      <c r="W56">
        <v>100</v>
      </c>
      <c r="X56">
        <v>11.8979</v>
      </c>
      <c r="Y56">
        <v>22.75</v>
      </c>
      <c r="Z56" t="s">
        <v>236</v>
      </c>
      <c r="AA56">
        <v>0.48799999999999999</v>
      </c>
      <c r="AB56">
        <v>1.28</v>
      </c>
      <c r="AC56" t="s">
        <v>198</v>
      </c>
      <c r="AD56" s="154">
        <v>7632</v>
      </c>
    </row>
    <row r="57" spans="1:39" x14ac:dyDescent="0.3">
      <c r="A57" s="153">
        <v>28</v>
      </c>
      <c r="B57" t="s">
        <v>199</v>
      </c>
      <c r="C57" t="s">
        <v>197</v>
      </c>
      <c r="D57">
        <v>13.433</v>
      </c>
      <c r="E57">
        <v>0.1033</v>
      </c>
      <c r="F57">
        <v>84.69</v>
      </c>
      <c r="G57">
        <v>1.2923</v>
      </c>
      <c r="H57">
        <v>2.81</v>
      </c>
      <c r="I57" t="s">
        <v>200</v>
      </c>
      <c r="J57">
        <v>0.41899999999999998</v>
      </c>
      <c r="K57">
        <v>1.38</v>
      </c>
      <c r="L57" t="s">
        <v>198</v>
      </c>
      <c r="M57">
        <v>5704</v>
      </c>
      <c r="R57">
        <v>28</v>
      </c>
      <c r="S57" t="s">
        <v>199</v>
      </c>
      <c r="T57" t="s">
        <v>197</v>
      </c>
      <c r="U57" t="s">
        <v>198</v>
      </c>
      <c r="V57" t="s">
        <v>198</v>
      </c>
      <c r="W57" t="s">
        <v>198</v>
      </c>
      <c r="X57" t="s">
        <v>198</v>
      </c>
      <c r="Y57" t="s">
        <v>198</v>
      </c>
      <c r="Z57" t="s">
        <v>198</v>
      </c>
      <c r="AA57" t="s">
        <v>198</v>
      </c>
      <c r="AB57" t="s">
        <v>198</v>
      </c>
      <c r="AC57" t="s">
        <v>198</v>
      </c>
      <c r="AD57" s="154" t="s">
        <v>198</v>
      </c>
    </row>
    <row r="58" spans="1:39" x14ac:dyDescent="0.3">
      <c r="A58" s="153">
        <v>29</v>
      </c>
      <c r="B58" t="s">
        <v>201</v>
      </c>
      <c r="C58" t="s">
        <v>202</v>
      </c>
      <c r="D58">
        <v>13.367000000000001</v>
      </c>
      <c r="E58">
        <v>4.3407</v>
      </c>
      <c r="F58">
        <v>98.81</v>
      </c>
      <c r="G58">
        <v>54.278500000000001</v>
      </c>
      <c r="H58">
        <v>92.3</v>
      </c>
      <c r="I58" t="s">
        <v>203</v>
      </c>
      <c r="J58">
        <v>0.56699999999999995</v>
      </c>
      <c r="K58">
        <v>1.1399999999999999</v>
      </c>
      <c r="L58" t="s">
        <v>198</v>
      </c>
      <c r="M58">
        <v>3081</v>
      </c>
      <c r="R58">
        <v>29</v>
      </c>
      <c r="S58" t="s">
        <v>201</v>
      </c>
      <c r="T58" t="s">
        <v>202</v>
      </c>
      <c r="U58">
        <v>18.100000000000001</v>
      </c>
      <c r="V58">
        <v>0.66930000000000001</v>
      </c>
      <c r="W58">
        <v>3.26</v>
      </c>
      <c r="X58">
        <v>1.8523000000000001</v>
      </c>
      <c r="Y58">
        <v>3.85</v>
      </c>
      <c r="Z58" t="s">
        <v>236</v>
      </c>
      <c r="AA58">
        <v>0.46899999999999997</v>
      </c>
      <c r="AB58">
        <v>1.27</v>
      </c>
      <c r="AC58" t="s">
        <v>198</v>
      </c>
      <c r="AD58" s="154">
        <v>8246</v>
      </c>
    </row>
    <row r="59" spans="1:39" x14ac:dyDescent="0.3">
      <c r="A59" s="153">
        <v>30</v>
      </c>
      <c r="B59" t="s">
        <v>204</v>
      </c>
      <c r="C59" t="s">
        <v>202</v>
      </c>
      <c r="D59">
        <v>13.367000000000001</v>
      </c>
      <c r="E59">
        <v>4.3205999999999998</v>
      </c>
      <c r="F59">
        <v>98.84</v>
      </c>
      <c r="G59">
        <v>54.026699999999998</v>
      </c>
      <c r="H59">
        <v>91.83</v>
      </c>
      <c r="I59" t="s">
        <v>203</v>
      </c>
      <c r="J59">
        <v>0.56699999999999995</v>
      </c>
      <c r="K59">
        <v>1.1299999999999999</v>
      </c>
      <c r="L59" t="s">
        <v>198</v>
      </c>
      <c r="M59">
        <v>3078</v>
      </c>
      <c r="R59">
        <v>30</v>
      </c>
      <c r="S59" t="s">
        <v>204</v>
      </c>
      <c r="T59" t="s">
        <v>202</v>
      </c>
      <c r="U59">
        <v>18.100000000000001</v>
      </c>
      <c r="V59">
        <v>0.68220000000000003</v>
      </c>
      <c r="W59">
        <v>3.34</v>
      </c>
      <c r="X59">
        <v>1.8878999999999999</v>
      </c>
      <c r="Y59">
        <v>3.85</v>
      </c>
      <c r="Z59" t="s">
        <v>236</v>
      </c>
      <c r="AA59">
        <v>0.47099999999999997</v>
      </c>
      <c r="AB59">
        <v>1.34</v>
      </c>
      <c r="AC59" t="s">
        <v>198</v>
      </c>
      <c r="AD59" s="154">
        <v>8189</v>
      </c>
    </row>
    <row r="60" spans="1:39" x14ac:dyDescent="0.3">
      <c r="A60" s="153">
        <v>31</v>
      </c>
      <c r="B60" t="s">
        <v>205</v>
      </c>
      <c r="C60" t="s">
        <v>202</v>
      </c>
      <c r="D60">
        <v>13.3</v>
      </c>
      <c r="E60">
        <v>5.7283999999999997</v>
      </c>
      <c r="F60">
        <v>99.04</v>
      </c>
      <c r="G60">
        <v>71.631200000000007</v>
      </c>
      <c r="H60">
        <v>118.48</v>
      </c>
      <c r="I60" t="s">
        <v>203</v>
      </c>
      <c r="J60">
        <v>0.57199999999999995</v>
      </c>
      <c r="K60">
        <v>1.24</v>
      </c>
      <c r="L60" t="s">
        <v>198</v>
      </c>
      <c r="M60">
        <v>2991</v>
      </c>
      <c r="R60">
        <v>31</v>
      </c>
      <c r="S60" t="s">
        <v>205</v>
      </c>
      <c r="T60" t="s">
        <v>202</v>
      </c>
      <c r="U60">
        <v>18.100000000000001</v>
      </c>
      <c r="V60">
        <v>0.4864</v>
      </c>
      <c r="W60">
        <v>1.83</v>
      </c>
      <c r="X60">
        <v>1.3461000000000001</v>
      </c>
      <c r="Y60">
        <v>2.83</v>
      </c>
      <c r="Z60" t="s">
        <v>236</v>
      </c>
      <c r="AA60">
        <v>0.46800000000000003</v>
      </c>
      <c r="AB60">
        <v>1.31</v>
      </c>
      <c r="AC60" t="s">
        <v>198</v>
      </c>
      <c r="AD60" s="154">
        <v>8304</v>
      </c>
    </row>
    <row r="61" spans="1:39" x14ac:dyDescent="0.3">
      <c r="A61" s="153">
        <v>32</v>
      </c>
      <c r="B61" t="s">
        <v>206</v>
      </c>
      <c r="C61" t="s">
        <v>202</v>
      </c>
      <c r="D61">
        <v>13.3</v>
      </c>
      <c r="E61">
        <v>5.7840999999999996</v>
      </c>
      <c r="F61">
        <v>99.02</v>
      </c>
      <c r="G61">
        <v>72.3279</v>
      </c>
      <c r="H61">
        <v>119.18</v>
      </c>
      <c r="I61" t="s">
        <v>203</v>
      </c>
      <c r="J61">
        <v>0.57399999999999995</v>
      </c>
      <c r="K61">
        <v>1.25</v>
      </c>
      <c r="L61" t="s">
        <v>198</v>
      </c>
      <c r="M61">
        <v>2971</v>
      </c>
      <c r="R61">
        <v>32</v>
      </c>
      <c r="S61" t="s">
        <v>206</v>
      </c>
      <c r="T61" t="s">
        <v>202</v>
      </c>
      <c r="U61">
        <v>18.100000000000001</v>
      </c>
      <c r="V61">
        <v>0.4728</v>
      </c>
      <c r="W61">
        <v>1.76</v>
      </c>
      <c r="X61">
        <v>1.3085</v>
      </c>
      <c r="Y61">
        <v>2.78</v>
      </c>
      <c r="Z61" t="s">
        <v>236</v>
      </c>
      <c r="AA61">
        <v>0.46600000000000003</v>
      </c>
      <c r="AB61">
        <v>1.27</v>
      </c>
      <c r="AC61" t="s">
        <v>198</v>
      </c>
      <c r="AD61" s="154">
        <v>8366</v>
      </c>
    </row>
    <row r="62" spans="1:39" x14ac:dyDescent="0.3">
      <c r="A62" s="153">
        <v>33</v>
      </c>
      <c r="B62" t="s">
        <v>207</v>
      </c>
      <c r="C62" t="s">
        <v>202</v>
      </c>
      <c r="D62">
        <v>13.433</v>
      </c>
      <c r="E62">
        <v>8.7042999999999999</v>
      </c>
      <c r="F62">
        <v>94.6</v>
      </c>
      <c r="G62">
        <v>108.8438</v>
      </c>
      <c r="H62">
        <v>229.78</v>
      </c>
      <c r="I62" t="s">
        <v>208</v>
      </c>
      <c r="J62">
        <v>0.42699999999999999</v>
      </c>
      <c r="K62">
        <v>1.42</v>
      </c>
      <c r="L62" t="s">
        <v>198</v>
      </c>
      <c r="M62">
        <v>5485</v>
      </c>
      <c r="R62">
        <v>33</v>
      </c>
      <c r="S62" t="s">
        <v>207</v>
      </c>
      <c r="T62" t="s">
        <v>202</v>
      </c>
      <c r="U62" t="s">
        <v>198</v>
      </c>
      <c r="V62" t="s">
        <v>198</v>
      </c>
      <c r="W62" t="s">
        <v>198</v>
      </c>
      <c r="X62" t="s">
        <v>198</v>
      </c>
      <c r="Y62" t="s">
        <v>198</v>
      </c>
      <c r="Z62" t="s">
        <v>198</v>
      </c>
      <c r="AA62" t="s">
        <v>198</v>
      </c>
      <c r="AB62" t="s">
        <v>198</v>
      </c>
      <c r="AC62" t="s">
        <v>198</v>
      </c>
      <c r="AD62" s="154" t="s">
        <v>198</v>
      </c>
    </row>
    <row r="63" spans="1:39" x14ac:dyDescent="0.3">
      <c r="A63" s="153">
        <v>34</v>
      </c>
      <c r="B63" t="s">
        <v>209</v>
      </c>
      <c r="C63" t="s">
        <v>202</v>
      </c>
      <c r="D63">
        <v>13.433</v>
      </c>
      <c r="E63">
        <v>8.5779999999999994</v>
      </c>
      <c r="F63">
        <v>94.62</v>
      </c>
      <c r="G63">
        <v>107.2642</v>
      </c>
      <c r="H63">
        <v>224.8</v>
      </c>
      <c r="I63" t="s">
        <v>208</v>
      </c>
      <c r="J63">
        <v>0.43099999999999999</v>
      </c>
      <c r="K63">
        <v>1.42</v>
      </c>
      <c r="L63" t="s">
        <v>198</v>
      </c>
      <c r="M63">
        <v>5393</v>
      </c>
      <c r="R63">
        <v>34</v>
      </c>
      <c r="S63" t="s">
        <v>209</v>
      </c>
      <c r="T63" t="s">
        <v>202</v>
      </c>
      <c r="U63" t="s">
        <v>198</v>
      </c>
      <c r="V63" t="s">
        <v>198</v>
      </c>
      <c r="W63" t="s">
        <v>198</v>
      </c>
      <c r="X63" t="s">
        <v>198</v>
      </c>
      <c r="Y63" t="s">
        <v>198</v>
      </c>
      <c r="Z63" t="s">
        <v>198</v>
      </c>
      <c r="AA63" t="s">
        <v>198</v>
      </c>
      <c r="AB63" t="s">
        <v>198</v>
      </c>
      <c r="AC63" t="s">
        <v>198</v>
      </c>
      <c r="AD63" s="154" t="s">
        <v>198</v>
      </c>
    </row>
    <row r="64" spans="1:39" x14ac:dyDescent="0.3">
      <c r="A64" s="153">
        <v>35</v>
      </c>
      <c r="B64" t="s">
        <v>210</v>
      </c>
      <c r="C64" t="s">
        <v>202</v>
      </c>
      <c r="D64">
        <v>13.433</v>
      </c>
      <c r="E64">
        <v>8.5861000000000001</v>
      </c>
      <c r="F64">
        <v>94.58</v>
      </c>
      <c r="G64">
        <v>107.3651</v>
      </c>
      <c r="H64">
        <v>223.59</v>
      </c>
      <c r="I64" t="s">
        <v>208</v>
      </c>
      <c r="J64">
        <v>0.432</v>
      </c>
      <c r="K64">
        <v>1.39</v>
      </c>
      <c r="L64" t="s">
        <v>198</v>
      </c>
      <c r="M64">
        <v>5364</v>
      </c>
      <c r="R64">
        <v>35</v>
      </c>
      <c r="S64" t="s">
        <v>210</v>
      </c>
      <c r="T64" t="s">
        <v>202</v>
      </c>
      <c r="U64" t="s">
        <v>198</v>
      </c>
      <c r="V64" t="s">
        <v>198</v>
      </c>
      <c r="W64" t="s">
        <v>198</v>
      </c>
      <c r="X64" t="s">
        <v>198</v>
      </c>
      <c r="Y64" t="s">
        <v>198</v>
      </c>
      <c r="Z64" t="s">
        <v>198</v>
      </c>
      <c r="AA64" t="s">
        <v>198</v>
      </c>
      <c r="AB64" t="s">
        <v>198</v>
      </c>
      <c r="AC64" t="s">
        <v>198</v>
      </c>
      <c r="AD64" s="154" t="s">
        <v>198</v>
      </c>
    </row>
    <row r="65" spans="1:30" x14ac:dyDescent="0.3">
      <c r="A65" s="153">
        <v>36</v>
      </c>
      <c r="B65" t="s">
        <v>211</v>
      </c>
      <c r="C65" t="s">
        <v>202</v>
      </c>
      <c r="D65">
        <v>13.433</v>
      </c>
      <c r="E65">
        <v>8.6880000000000006</v>
      </c>
      <c r="F65">
        <v>94.64</v>
      </c>
      <c r="G65">
        <v>108.63939999999999</v>
      </c>
      <c r="H65">
        <v>226.22</v>
      </c>
      <c r="I65" t="s">
        <v>208</v>
      </c>
      <c r="J65">
        <v>0.432</v>
      </c>
      <c r="K65">
        <v>1.4</v>
      </c>
      <c r="L65" t="s">
        <v>198</v>
      </c>
      <c r="M65">
        <v>5366</v>
      </c>
      <c r="R65">
        <v>36</v>
      </c>
      <c r="S65" t="s">
        <v>211</v>
      </c>
      <c r="T65" t="s">
        <v>202</v>
      </c>
      <c r="U65" t="s">
        <v>198</v>
      </c>
      <c r="V65" t="s">
        <v>198</v>
      </c>
      <c r="W65" t="s">
        <v>198</v>
      </c>
      <c r="X65" t="s">
        <v>198</v>
      </c>
      <c r="Y65" t="s">
        <v>198</v>
      </c>
      <c r="Z65" t="s">
        <v>198</v>
      </c>
      <c r="AA65" t="s">
        <v>198</v>
      </c>
      <c r="AB65" t="s">
        <v>198</v>
      </c>
      <c r="AC65" t="s">
        <v>198</v>
      </c>
      <c r="AD65" s="154" t="s">
        <v>198</v>
      </c>
    </row>
    <row r="66" spans="1:30" x14ac:dyDescent="0.3">
      <c r="A66" s="153">
        <v>37</v>
      </c>
      <c r="B66" t="s">
        <v>212</v>
      </c>
      <c r="C66" t="s">
        <v>202</v>
      </c>
      <c r="D66">
        <v>13.433</v>
      </c>
      <c r="E66">
        <v>11.882099999999999</v>
      </c>
      <c r="F66">
        <v>94.92</v>
      </c>
      <c r="G66">
        <v>74.289900000000003</v>
      </c>
      <c r="H66">
        <v>156.21</v>
      </c>
      <c r="I66" t="s">
        <v>208</v>
      </c>
      <c r="J66">
        <v>0.42699999999999999</v>
      </c>
      <c r="K66">
        <v>1.37</v>
      </c>
      <c r="L66" t="s">
        <v>198</v>
      </c>
      <c r="M66">
        <v>5493</v>
      </c>
      <c r="R66">
        <v>37</v>
      </c>
      <c r="S66" t="s">
        <v>212</v>
      </c>
      <c r="T66" t="s">
        <v>202</v>
      </c>
      <c r="U66" t="s">
        <v>198</v>
      </c>
      <c r="V66" t="s">
        <v>198</v>
      </c>
      <c r="W66" t="s">
        <v>198</v>
      </c>
      <c r="X66" t="s">
        <v>198</v>
      </c>
      <c r="Y66" t="s">
        <v>198</v>
      </c>
      <c r="Z66" t="s">
        <v>198</v>
      </c>
      <c r="AA66" t="s">
        <v>198</v>
      </c>
      <c r="AB66" t="s">
        <v>198</v>
      </c>
      <c r="AC66" t="s">
        <v>198</v>
      </c>
      <c r="AD66" s="154" t="s">
        <v>198</v>
      </c>
    </row>
    <row r="67" spans="1:30" x14ac:dyDescent="0.3">
      <c r="A67" s="153">
        <v>38</v>
      </c>
      <c r="B67" t="s">
        <v>213</v>
      </c>
      <c r="C67" t="s">
        <v>202</v>
      </c>
      <c r="D67">
        <v>13.433</v>
      </c>
      <c r="E67">
        <v>11.904</v>
      </c>
      <c r="F67">
        <v>94.85</v>
      </c>
      <c r="G67">
        <v>74.427000000000007</v>
      </c>
      <c r="H67">
        <v>156.47</v>
      </c>
      <c r="I67" t="s">
        <v>208</v>
      </c>
      <c r="J67">
        <v>0.42599999999999999</v>
      </c>
      <c r="K67">
        <v>1.37</v>
      </c>
      <c r="L67" t="s">
        <v>198</v>
      </c>
      <c r="M67">
        <v>5497</v>
      </c>
      <c r="R67">
        <v>38</v>
      </c>
      <c r="S67" t="s">
        <v>213</v>
      </c>
      <c r="T67" t="s">
        <v>202</v>
      </c>
      <c r="U67" t="s">
        <v>198</v>
      </c>
      <c r="V67" t="s">
        <v>198</v>
      </c>
      <c r="W67" t="s">
        <v>198</v>
      </c>
      <c r="X67" t="s">
        <v>198</v>
      </c>
      <c r="Y67" t="s">
        <v>198</v>
      </c>
      <c r="Z67" t="s">
        <v>198</v>
      </c>
      <c r="AA67" t="s">
        <v>198</v>
      </c>
      <c r="AB67" t="s">
        <v>198</v>
      </c>
      <c r="AC67" t="s">
        <v>198</v>
      </c>
      <c r="AD67" s="154" t="s">
        <v>198</v>
      </c>
    </row>
    <row r="68" spans="1:30" x14ac:dyDescent="0.3">
      <c r="A68" s="153">
        <v>39</v>
      </c>
      <c r="B68" t="s">
        <v>214</v>
      </c>
      <c r="C68" t="s">
        <v>202</v>
      </c>
      <c r="D68">
        <v>13.433</v>
      </c>
      <c r="E68">
        <v>11.7403</v>
      </c>
      <c r="F68">
        <v>94.76</v>
      </c>
      <c r="G68">
        <v>73.403499999999994</v>
      </c>
      <c r="H68">
        <v>154.22</v>
      </c>
      <c r="I68" t="s">
        <v>208</v>
      </c>
      <c r="J68">
        <v>0.42699999999999999</v>
      </c>
      <c r="K68">
        <v>1.38</v>
      </c>
      <c r="L68" t="s">
        <v>198</v>
      </c>
      <c r="M68">
        <v>5481</v>
      </c>
      <c r="R68">
        <v>39</v>
      </c>
      <c r="S68" t="s">
        <v>214</v>
      </c>
      <c r="T68" t="s">
        <v>202</v>
      </c>
      <c r="U68" t="s">
        <v>198</v>
      </c>
      <c r="V68" t="s">
        <v>198</v>
      </c>
      <c r="W68" t="s">
        <v>198</v>
      </c>
      <c r="X68" t="s">
        <v>198</v>
      </c>
      <c r="Y68" t="s">
        <v>198</v>
      </c>
      <c r="Z68" t="s">
        <v>198</v>
      </c>
      <c r="AA68" t="s">
        <v>198</v>
      </c>
      <c r="AB68" t="s">
        <v>198</v>
      </c>
      <c r="AC68" t="s">
        <v>198</v>
      </c>
      <c r="AD68" s="154" t="s">
        <v>198</v>
      </c>
    </row>
    <row r="69" spans="1:30" x14ac:dyDescent="0.3">
      <c r="A69" s="153">
        <v>40</v>
      </c>
      <c r="B69" t="s">
        <v>215</v>
      </c>
      <c r="C69" t="s">
        <v>202</v>
      </c>
      <c r="D69">
        <v>13.433</v>
      </c>
      <c r="E69">
        <v>11.7464</v>
      </c>
      <c r="F69">
        <v>94.85</v>
      </c>
      <c r="G69">
        <v>73.441599999999994</v>
      </c>
      <c r="H69">
        <v>154.33000000000001</v>
      </c>
      <c r="I69" t="s">
        <v>208</v>
      </c>
      <c r="J69">
        <v>0.42799999999999999</v>
      </c>
      <c r="K69">
        <v>1.37</v>
      </c>
      <c r="L69" t="s">
        <v>198</v>
      </c>
      <c r="M69">
        <v>5469</v>
      </c>
      <c r="R69">
        <v>40</v>
      </c>
      <c r="S69" t="s">
        <v>215</v>
      </c>
      <c r="T69" t="s">
        <v>202</v>
      </c>
      <c r="U69" t="s">
        <v>198</v>
      </c>
      <c r="V69" t="s">
        <v>198</v>
      </c>
      <c r="W69" t="s">
        <v>198</v>
      </c>
      <c r="X69" t="s">
        <v>198</v>
      </c>
      <c r="Y69" t="s">
        <v>198</v>
      </c>
      <c r="Z69" t="s">
        <v>198</v>
      </c>
      <c r="AA69" t="s">
        <v>198</v>
      </c>
      <c r="AB69" t="s">
        <v>198</v>
      </c>
      <c r="AC69" t="s">
        <v>198</v>
      </c>
      <c r="AD69" s="154" t="s">
        <v>198</v>
      </c>
    </row>
    <row r="70" spans="1:30" x14ac:dyDescent="0.3">
      <c r="A70" s="153">
        <v>41</v>
      </c>
      <c r="B70" t="s">
        <v>216</v>
      </c>
      <c r="C70" t="s">
        <v>202</v>
      </c>
      <c r="D70">
        <v>13.433</v>
      </c>
      <c r="E70">
        <v>15.3696</v>
      </c>
      <c r="F70">
        <v>95.02</v>
      </c>
      <c r="G70">
        <v>96.094999999999999</v>
      </c>
      <c r="H70">
        <v>202.11</v>
      </c>
      <c r="I70" t="s">
        <v>208</v>
      </c>
      <c r="J70">
        <v>0.42799999999999999</v>
      </c>
      <c r="K70">
        <v>1.36</v>
      </c>
      <c r="L70" t="s">
        <v>198</v>
      </c>
      <c r="M70">
        <v>5470</v>
      </c>
      <c r="R70">
        <v>41</v>
      </c>
      <c r="S70" t="s">
        <v>216</v>
      </c>
      <c r="T70" t="s">
        <v>202</v>
      </c>
      <c r="U70" t="s">
        <v>198</v>
      </c>
      <c r="V70" t="s">
        <v>198</v>
      </c>
      <c r="W70" t="s">
        <v>198</v>
      </c>
      <c r="X70" t="s">
        <v>198</v>
      </c>
      <c r="Y70" t="s">
        <v>198</v>
      </c>
      <c r="Z70" t="s">
        <v>198</v>
      </c>
      <c r="AA70" t="s">
        <v>198</v>
      </c>
      <c r="AB70" t="s">
        <v>198</v>
      </c>
      <c r="AC70" t="s">
        <v>198</v>
      </c>
      <c r="AD70" s="154" t="s">
        <v>198</v>
      </c>
    </row>
    <row r="71" spans="1:30" x14ac:dyDescent="0.3">
      <c r="A71" s="153">
        <v>42</v>
      </c>
      <c r="B71" t="s">
        <v>217</v>
      </c>
      <c r="C71" t="s">
        <v>202</v>
      </c>
      <c r="D71">
        <v>13.433</v>
      </c>
      <c r="E71">
        <v>15.2204</v>
      </c>
      <c r="F71">
        <v>95.01</v>
      </c>
      <c r="G71">
        <v>95.161900000000003</v>
      </c>
      <c r="H71">
        <v>200.64</v>
      </c>
      <c r="I71" t="s">
        <v>208</v>
      </c>
      <c r="J71">
        <v>0.42599999999999999</v>
      </c>
      <c r="K71">
        <v>1.35</v>
      </c>
      <c r="L71" t="s">
        <v>198</v>
      </c>
      <c r="M71">
        <v>5521</v>
      </c>
      <c r="R71">
        <v>42</v>
      </c>
      <c r="S71" t="s">
        <v>217</v>
      </c>
      <c r="T71" t="s">
        <v>202</v>
      </c>
      <c r="U71" t="s">
        <v>198</v>
      </c>
      <c r="V71" t="s">
        <v>198</v>
      </c>
      <c r="W71" t="s">
        <v>198</v>
      </c>
      <c r="X71" t="s">
        <v>198</v>
      </c>
      <c r="Y71" t="s">
        <v>198</v>
      </c>
      <c r="Z71" t="s">
        <v>198</v>
      </c>
      <c r="AA71" t="s">
        <v>198</v>
      </c>
      <c r="AB71" t="s">
        <v>198</v>
      </c>
      <c r="AC71" t="s">
        <v>198</v>
      </c>
      <c r="AD71" s="154" t="s">
        <v>198</v>
      </c>
    </row>
    <row r="72" spans="1:30" x14ac:dyDescent="0.3">
      <c r="A72" s="153">
        <v>43</v>
      </c>
      <c r="B72" t="s">
        <v>218</v>
      </c>
      <c r="C72" t="s">
        <v>202</v>
      </c>
      <c r="D72">
        <v>13.433</v>
      </c>
      <c r="E72">
        <v>15.2826</v>
      </c>
      <c r="F72">
        <v>95.03</v>
      </c>
      <c r="G72">
        <v>95.551199999999994</v>
      </c>
      <c r="H72">
        <v>201.62</v>
      </c>
      <c r="I72" t="s">
        <v>208</v>
      </c>
      <c r="J72">
        <v>0.42399999999999999</v>
      </c>
      <c r="K72">
        <v>1.36</v>
      </c>
      <c r="L72" t="s">
        <v>198</v>
      </c>
      <c r="M72">
        <v>5551</v>
      </c>
      <c r="R72">
        <v>43</v>
      </c>
      <c r="S72" t="s">
        <v>218</v>
      </c>
      <c r="T72" t="s">
        <v>202</v>
      </c>
      <c r="U72" t="s">
        <v>198</v>
      </c>
      <c r="V72" t="s">
        <v>198</v>
      </c>
      <c r="W72" t="s">
        <v>198</v>
      </c>
      <c r="X72" t="s">
        <v>198</v>
      </c>
      <c r="Y72" t="s">
        <v>198</v>
      </c>
      <c r="Z72" t="s">
        <v>198</v>
      </c>
      <c r="AA72" t="s">
        <v>198</v>
      </c>
      <c r="AB72" t="s">
        <v>198</v>
      </c>
      <c r="AC72" t="s">
        <v>198</v>
      </c>
      <c r="AD72" s="154" t="s">
        <v>198</v>
      </c>
    </row>
    <row r="73" spans="1:30" x14ac:dyDescent="0.3">
      <c r="A73" s="153">
        <v>44</v>
      </c>
      <c r="B73" t="s">
        <v>219</v>
      </c>
      <c r="C73" t="s">
        <v>202</v>
      </c>
      <c r="D73">
        <v>13.433</v>
      </c>
      <c r="E73">
        <v>15.059699999999999</v>
      </c>
      <c r="F73">
        <v>95.06</v>
      </c>
      <c r="G73">
        <v>94.157200000000003</v>
      </c>
      <c r="H73">
        <v>198.51</v>
      </c>
      <c r="I73" t="s">
        <v>208</v>
      </c>
      <c r="J73">
        <v>0.42399999999999999</v>
      </c>
      <c r="K73">
        <v>1.34</v>
      </c>
      <c r="L73" t="s">
        <v>198</v>
      </c>
      <c r="M73">
        <v>5553</v>
      </c>
      <c r="R73">
        <v>44</v>
      </c>
      <c r="S73" t="s">
        <v>219</v>
      </c>
      <c r="T73" t="s">
        <v>202</v>
      </c>
      <c r="U73" t="s">
        <v>198</v>
      </c>
      <c r="V73" t="s">
        <v>198</v>
      </c>
      <c r="W73" t="s">
        <v>198</v>
      </c>
      <c r="X73" t="s">
        <v>198</v>
      </c>
      <c r="Y73" t="s">
        <v>198</v>
      </c>
      <c r="Z73" t="s">
        <v>198</v>
      </c>
      <c r="AA73" t="s">
        <v>198</v>
      </c>
      <c r="AB73" t="s">
        <v>198</v>
      </c>
      <c r="AC73" t="s">
        <v>198</v>
      </c>
      <c r="AD73" s="154" t="s">
        <v>198</v>
      </c>
    </row>
    <row r="74" spans="1:30" x14ac:dyDescent="0.3">
      <c r="A74" s="153">
        <v>45</v>
      </c>
      <c r="B74" t="s">
        <v>220</v>
      </c>
      <c r="C74" t="s">
        <v>202</v>
      </c>
      <c r="D74">
        <v>13.433</v>
      </c>
      <c r="E74">
        <v>18.593900000000001</v>
      </c>
      <c r="F74">
        <v>95.53</v>
      </c>
      <c r="G74">
        <v>116.25409999999999</v>
      </c>
      <c r="H74">
        <v>244</v>
      </c>
      <c r="I74" t="s">
        <v>208</v>
      </c>
      <c r="J74">
        <v>0.42699999999999999</v>
      </c>
      <c r="K74">
        <v>1.31</v>
      </c>
      <c r="L74" t="s">
        <v>198</v>
      </c>
      <c r="M74">
        <v>5479</v>
      </c>
      <c r="R74">
        <v>45</v>
      </c>
      <c r="S74" t="s">
        <v>220</v>
      </c>
      <c r="T74" t="s">
        <v>202</v>
      </c>
      <c r="U74" t="s">
        <v>198</v>
      </c>
      <c r="V74" t="s">
        <v>198</v>
      </c>
      <c r="W74" t="s">
        <v>198</v>
      </c>
      <c r="X74" t="s">
        <v>198</v>
      </c>
      <c r="Y74" t="s">
        <v>198</v>
      </c>
      <c r="Z74" t="s">
        <v>198</v>
      </c>
      <c r="AA74" t="s">
        <v>198</v>
      </c>
      <c r="AB74" t="s">
        <v>198</v>
      </c>
      <c r="AC74" t="s">
        <v>198</v>
      </c>
      <c r="AD74" s="154" t="s">
        <v>198</v>
      </c>
    </row>
    <row r="75" spans="1:30" x14ac:dyDescent="0.3">
      <c r="A75" s="153">
        <v>46</v>
      </c>
      <c r="B75" t="s">
        <v>221</v>
      </c>
      <c r="C75" t="s">
        <v>202</v>
      </c>
      <c r="D75">
        <v>13.433</v>
      </c>
      <c r="E75">
        <v>18.7256</v>
      </c>
      <c r="F75">
        <v>95.42</v>
      </c>
      <c r="G75">
        <v>117.07729999999999</v>
      </c>
      <c r="H75">
        <v>244.88</v>
      </c>
      <c r="I75" t="s">
        <v>208</v>
      </c>
      <c r="J75">
        <v>0.42799999999999999</v>
      </c>
      <c r="K75">
        <v>1.31</v>
      </c>
      <c r="L75" t="s">
        <v>198</v>
      </c>
      <c r="M75">
        <v>5462</v>
      </c>
      <c r="R75">
        <v>46</v>
      </c>
      <c r="S75" t="s">
        <v>221</v>
      </c>
      <c r="T75" t="s">
        <v>202</v>
      </c>
      <c r="U75" t="s">
        <v>198</v>
      </c>
      <c r="V75" t="s">
        <v>198</v>
      </c>
      <c r="W75" t="s">
        <v>198</v>
      </c>
      <c r="X75" t="s">
        <v>198</v>
      </c>
      <c r="Y75" t="s">
        <v>198</v>
      </c>
      <c r="Z75" t="s">
        <v>198</v>
      </c>
      <c r="AA75" t="s">
        <v>198</v>
      </c>
      <c r="AB75" t="s">
        <v>198</v>
      </c>
      <c r="AC75" t="s">
        <v>198</v>
      </c>
      <c r="AD75" s="154" t="s">
        <v>198</v>
      </c>
    </row>
    <row r="76" spans="1:30" x14ac:dyDescent="0.3">
      <c r="A76" s="153">
        <v>47</v>
      </c>
      <c r="B76" t="s">
        <v>222</v>
      </c>
      <c r="C76" t="s">
        <v>202</v>
      </c>
      <c r="D76">
        <v>13.433</v>
      </c>
      <c r="E76">
        <v>18.543900000000001</v>
      </c>
      <c r="F76">
        <v>95.33</v>
      </c>
      <c r="G76">
        <v>115.9413</v>
      </c>
      <c r="H76">
        <v>241.8</v>
      </c>
      <c r="I76" t="s">
        <v>208</v>
      </c>
      <c r="J76">
        <v>0.42899999999999999</v>
      </c>
      <c r="K76">
        <v>1.31</v>
      </c>
      <c r="L76" t="s">
        <v>198</v>
      </c>
      <c r="M76">
        <v>5443</v>
      </c>
      <c r="R76">
        <v>47</v>
      </c>
      <c r="S76" t="s">
        <v>222</v>
      </c>
      <c r="T76" t="s">
        <v>202</v>
      </c>
      <c r="U76" t="s">
        <v>198</v>
      </c>
      <c r="V76" t="s">
        <v>198</v>
      </c>
      <c r="W76" t="s">
        <v>198</v>
      </c>
      <c r="X76" t="s">
        <v>198</v>
      </c>
      <c r="Y76" t="s">
        <v>198</v>
      </c>
      <c r="Z76" t="s">
        <v>198</v>
      </c>
      <c r="AA76" t="s">
        <v>198</v>
      </c>
      <c r="AB76" t="s">
        <v>198</v>
      </c>
      <c r="AC76" t="s">
        <v>198</v>
      </c>
      <c r="AD76" s="154" t="s">
        <v>198</v>
      </c>
    </row>
    <row r="77" spans="1:30" x14ac:dyDescent="0.3">
      <c r="A77" s="153">
        <v>48</v>
      </c>
      <c r="B77" t="s">
        <v>223</v>
      </c>
      <c r="C77" t="s">
        <v>202</v>
      </c>
      <c r="D77">
        <v>13.4</v>
      </c>
      <c r="E77">
        <v>18.514900000000001</v>
      </c>
      <c r="F77">
        <v>95.38</v>
      </c>
      <c r="G77">
        <v>115.76009999999999</v>
      </c>
      <c r="H77">
        <v>240.46</v>
      </c>
      <c r="I77" t="s">
        <v>208</v>
      </c>
      <c r="J77">
        <v>0.43099999999999999</v>
      </c>
      <c r="K77">
        <v>1.44</v>
      </c>
      <c r="L77" t="s">
        <v>198</v>
      </c>
      <c r="M77">
        <v>5366</v>
      </c>
      <c r="R77">
        <v>48</v>
      </c>
      <c r="S77" t="s">
        <v>223</v>
      </c>
      <c r="T77" t="s">
        <v>202</v>
      </c>
      <c r="U77" t="s">
        <v>198</v>
      </c>
      <c r="V77" t="s">
        <v>198</v>
      </c>
      <c r="W77" t="s">
        <v>198</v>
      </c>
      <c r="X77" t="s">
        <v>198</v>
      </c>
      <c r="Y77" t="s">
        <v>198</v>
      </c>
      <c r="Z77" t="s">
        <v>198</v>
      </c>
      <c r="AA77" t="s">
        <v>198</v>
      </c>
      <c r="AB77" t="s">
        <v>198</v>
      </c>
      <c r="AC77" t="s">
        <v>198</v>
      </c>
      <c r="AD77" s="154" t="s">
        <v>198</v>
      </c>
    </row>
    <row r="78" spans="1:30" x14ac:dyDescent="0.3">
      <c r="A78" s="153">
        <v>49</v>
      </c>
      <c r="B78" t="s">
        <v>224</v>
      </c>
      <c r="C78" t="s">
        <v>202</v>
      </c>
      <c r="D78">
        <v>13.4</v>
      </c>
      <c r="E78">
        <v>24.970500000000001</v>
      </c>
      <c r="F78">
        <v>96.15</v>
      </c>
      <c r="G78">
        <v>78.061199999999999</v>
      </c>
      <c r="H78">
        <v>162.41999999999999</v>
      </c>
      <c r="I78" t="s">
        <v>208</v>
      </c>
      <c r="J78">
        <v>0.432</v>
      </c>
      <c r="K78">
        <v>1.36</v>
      </c>
      <c r="L78" t="s">
        <v>198</v>
      </c>
      <c r="M78">
        <v>5337</v>
      </c>
      <c r="R78">
        <v>49</v>
      </c>
      <c r="S78" t="s">
        <v>224</v>
      </c>
      <c r="T78" t="s">
        <v>202</v>
      </c>
      <c r="U78" t="s">
        <v>198</v>
      </c>
      <c r="V78" t="s">
        <v>198</v>
      </c>
      <c r="W78" t="s">
        <v>198</v>
      </c>
      <c r="X78" t="s">
        <v>198</v>
      </c>
      <c r="Y78" t="s">
        <v>198</v>
      </c>
      <c r="Z78" t="s">
        <v>198</v>
      </c>
      <c r="AA78" t="s">
        <v>198</v>
      </c>
      <c r="AB78" t="s">
        <v>198</v>
      </c>
      <c r="AC78" t="s">
        <v>198</v>
      </c>
      <c r="AD78" s="154" t="s">
        <v>198</v>
      </c>
    </row>
    <row r="79" spans="1:30" x14ac:dyDescent="0.3">
      <c r="A79" s="153">
        <v>50</v>
      </c>
      <c r="B79" t="s">
        <v>225</v>
      </c>
      <c r="C79" t="s">
        <v>202</v>
      </c>
      <c r="D79">
        <v>13.4</v>
      </c>
      <c r="E79">
        <v>25.0002</v>
      </c>
      <c r="F79">
        <v>96.32</v>
      </c>
      <c r="G79">
        <v>78.1541</v>
      </c>
      <c r="H79">
        <v>162.6</v>
      </c>
      <c r="I79" t="s">
        <v>208</v>
      </c>
      <c r="J79">
        <v>0.432</v>
      </c>
      <c r="K79">
        <v>1.36</v>
      </c>
      <c r="L79" t="s">
        <v>198</v>
      </c>
      <c r="M79">
        <v>5333</v>
      </c>
      <c r="R79">
        <v>50</v>
      </c>
      <c r="S79" t="s">
        <v>225</v>
      </c>
      <c r="T79" t="s">
        <v>202</v>
      </c>
      <c r="U79" t="s">
        <v>198</v>
      </c>
      <c r="V79" t="s">
        <v>198</v>
      </c>
      <c r="W79" t="s">
        <v>198</v>
      </c>
      <c r="X79" t="s">
        <v>198</v>
      </c>
      <c r="Y79" t="s">
        <v>198</v>
      </c>
      <c r="Z79" t="s">
        <v>198</v>
      </c>
      <c r="AA79" t="s">
        <v>198</v>
      </c>
      <c r="AB79" t="s">
        <v>198</v>
      </c>
      <c r="AC79" t="s">
        <v>198</v>
      </c>
      <c r="AD79" s="154" t="s">
        <v>198</v>
      </c>
    </row>
    <row r="80" spans="1:30" x14ac:dyDescent="0.3">
      <c r="A80" s="153">
        <v>51</v>
      </c>
      <c r="B80" t="s">
        <v>226</v>
      </c>
      <c r="C80" t="s">
        <v>202</v>
      </c>
      <c r="D80">
        <v>13.4</v>
      </c>
      <c r="E80">
        <v>24.879799999999999</v>
      </c>
      <c r="F80">
        <v>96.13</v>
      </c>
      <c r="G80">
        <v>77.7774</v>
      </c>
      <c r="H80">
        <v>161.86000000000001</v>
      </c>
      <c r="I80" t="s">
        <v>208</v>
      </c>
      <c r="J80">
        <v>0.432</v>
      </c>
      <c r="K80">
        <v>1.37</v>
      </c>
      <c r="L80" t="s">
        <v>198</v>
      </c>
      <c r="M80">
        <v>5342</v>
      </c>
      <c r="R80">
        <v>51</v>
      </c>
      <c r="S80" t="s">
        <v>226</v>
      </c>
      <c r="T80" t="s">
        <v>202</v>
      </c>
      <c r="U80" t="s">
        <v>198</v>
      </c>
      <c r="V80" t="s">
        <v>198</v>
      </c>
      <c r="W80" t="s">
        <v>198</v>
      </c>
      <c r="X80" t="s">
        <v>198</v>
      </c>
      <c r="Y80" t="s">
        <v>198</v>
      </c>
      <c r="Z80" t="s">
        <v>198</v>
      </c>
      <c r="AA80" t="s">
        <v>198</v>
      </c>
      <c r="AB80" t="s">
        <v>198</v>
      </c>
      <c r="AC80" t="s">
        <v>198</v>
      </c>
      <c r="AD80" s="154" t="s">
        <v>198</v>
      </c>
    </row>
    <row r="81" spans="1:39" x14ac:dyDescent="0.3">
      <c r="A81" s="153">
        <v>52</v>
      </c>
      <c r="B81" t="s">
        <v>227</v>
      </c>
      <c r="C81" t="s">
        <v>202</v>
      </c>
      <c r="D81">
        <v>13.4</v>
      </c>
      <c r="E81">
        <v>24.854900000000001</v>
      </c>
      <c r="F81">
        <v>96.19</v>
      </c>
      <c r="G81">
        <v>77.699700000000007</v>
      </c>
      <c r="H81">
        <v>161.44</v>
      </c>
      <c r="I81" t="s">
        <v>208</v>
      </c>
      <c r="J81">
        <v>0.433</v>
      </c>
      <c r="K81">
        <v>1.37</v>
      </c>
      <c r="L81" t="s">
        <v>198</v>
      </c>
      <c r="M81">
        <v>5318</v>
      </c>
      <c r="R81">
        <v>52</v>
      </c>
      <c r="S81" t="s">
        <v>227</v>
      </c>
      <c r="T81" t="s">
        <v>202</v>
      </c>
      <c r="U81" t="s">
        <v>198</v>
      </c>
      <c r="V81" t="s">
        <v>198</v>
      </c>
      <c r="W81" t="s">
        <v>198</v>
      </c>
      <c r="X81" t="s">
        <v>198</v>
      </c>
      <c r="Y81" t="s">
        <v>198</v>
      </c>
      <c r="Z81" t="s">
        <v>198</v>
      </c>
      <c r="AA81" t="s">
        <v>198</v>
      </c>
      <c r="AB81" t="s">
        <v>198</v>
      </c>
      <c r="AC81" t="s">
        <v>198</v>
      </c>
      <c r="AD81" s="154" t="s">
        <v>198</v>
      </c>
    </row>
    <row r="82" spans="1:39" x14ac:dyDescent="0.3">
      <c r="A82" s="153">
        <v>53</v>
      </c>
      <c r="B82" t="s">
        <v>228</v>
      </c>
      <c r="C82" t="s">
        <v>202</v>
      </c>
      <c r="D82">
        <v>13.4</v>
      </c>
      <c r="E82">
        <v>26.3413</v>
      </c>
      <c r="F82">
        <v>96.5</v>
      </c>
      <c r="G82">
        <v>82.346500000000006</v>
      </c>
      <c r="H82">
        <v>171.3</v>
      </c>
      <c r="I82" t="s">
        <v>208</v>
      </c>
      <c r="J82">
        <v>0.432</v>
      </c>
      <c r="K82">
        <v>1.36</v>
      </c>
      <c r="L82" t="s">
        <v>198</v>
      </c>
      <c r="M82">
        <v>5321</v>
      </c>
      <c r="R82">
        <v>53</v>
      </c>
      <c r="S82" t="s">
        <v>228</v>
      </c>
      <c r="T82" t="s">
        <v>202</v>
      </c>
      <c r="U82" t="s">
        <v>198</v>
      </c>
      <c r="V82" t="s">
        <v>198</v>
      </c>
      <c r="W82" t="s">
        <v>198</v>
      </c>
      <c r="X82" t="s">
        <v>198</v>
      </c>
      <c r="Y82" t="s">
        <v>198</v>
      </c>
      <c r="Z82" t="s">
        <v>198</v>
      </c>
      <c r="AA82" t="s">
        <v>198</v>
      </c>
      <c r="AB82" t="s">
        <v>198</v>
      </c>
      <c r="AC82" t="s">
        <v>198</v>
      </c>
      <c r="AD82" s="154" t="s">
        <v>198</v>
      </c>
    </row>
    <row r="83" spans="1:39" x14ac:dyDescent="0.3">
      <c r="A83" s="153">
        <v>54</v>
      </c>
      <c r="B83" t="s">
        <v>229</v>
      </c>
      <c r="C83" t="s">
        <v>202</v>
      </c>
      <c r="D83">
        <v>13.4</v>
      </c>
      <c r="E83">
        <v>26.133299999999998</v>
      </c>
      <c r="F83">
        <v>96.43</v>
      </c>
      <c r="G83">
        <v>81.695999999999998</v>
      </c>
      <c r="H83">
        <v>169.71</v>
      </c>
      <c r="I83" t="s">
        <v>208</v>
      </c>
      <c r="J83">
        <v>0.433</v>
      </c>
      <c r="K83">
        <v>1.36</v>
      </c>
      <c r="L83" t="s">
        <v>198</v>
      </c>
      <c r="M83">
        <v>5304</v>
      </c>
      <c r="R83">
        <v>54</v>
      </c>
      <c r="S83" t="s">
        <v>229</v>
      </c>
      <c r="T83" t="s">
        <v>202</v>
      </c>
      <c r="U83" t="s">
        <v>198</v>
      </c>
      <c r="V83" t="s">
        <v>198</v>
      </c>
      <c r="W83" t="s">
        <v>198</v>
      </c>
      <c r="X83" t="s">
        <v>198</v>
      </c>
      <c r="Y83" t="s">
        <v>198</v>
      </c>
      <c r="Z83" t="s">
        <v>198</v>
      </c>
      <c r="AA83" t="s">
        <v>198</v>
      </c>
      <c r="AB83" t="s">
        <v>198</v>
      </c>
      <c r="AC83" t="s">
        <v>198</v>
      </c>
      <c r="AD83" s="154" t="s">
        <v>198</v>
      </c>
    </row>
    <row r="84" spans="1:39" x14ac:dyDescent="0.3">
      <c r="A84" s="153">
        <v>55</v>
      </c>
      <c r="B84" t="s">
        <v>230</v>
      </c>
      <c r="C84" t="s">
        <v>202</v>
      </c>
      <c r="D84">
        <v>13.4</v>
      </c>
      <c r="E84">
        <v>26.244700000000002</v>
      </c>
      <c r="F84">
        <v>96.36</v>
      </c>
      <c r="G84">
        <v>82.044300000000007</v>
      </c>
      <c r="H84">
        <v>170.21</v>
      </c>
      <c r="I84" t="s">
        <v>208</v>
      </c>
      <c r="J84">
        <v>0.433</v>
      </c>
      <c r="K84">
        <v>1.37</v>
      </c>
      <c r="L84" t="s">
        <v>198</v>
      </c>
      <c r="M84">
        <v>5302</v>
      </c>
      <c r="R84">
        <v>55</v>
      </c>
      <c r="S84" t="s">
        <v>230</v>
      </c>
      <c r="T84" t="s">
        <v>202</v>
      </c>
      <c r="U84" t="s">
        <v>198</v>
      </c>
      <c r="V84" t="s">
        <v>198</v>
      </c>
      <c r="W84" t="s">
        <v>198</v>
      </c>
      <c r="X84" t="s">
        <v>198</v>
      </c>
      <c r="Y84" t="s">
        <v>198</v>
      </c>
      <c r="Z84" t="s">
        <v>198</v>
      </c>
      <c r="AA84" t="s">
        <v>198</v>
      </c>
      <c r="AB84" t="s">
        <v>198</v>
      </c>
      <c r="AC84" t="s">
        <v>198</v>
      </c>
      <c r="AD84" s="154" t="s">
        <v>198</v>
      </c>
    </row>
    <row r="85" spans="1:39" x14ac:dyDescent="0.3">
      <c r="A85" s="153">
        <v>56</v>
      </c>
      <c r="B85" t="s">
        <v>231</v>
      </c>
      <c r="C85" t="s">
        <v>202</v>
      </c>
      <c r="D85">
        <v>13.4</v>
      </c>
      <c r="E85">
        <v>25.627600000000001</v>
      </c>
      <c r="F85">
        <v>96.48</v>
      </c>
      <c r="G85">
        <v>80.115300000000005</v>
      </c>
      <c r="H85">
        <v>166.39</v>
      </c>
      <c r="I85" t="s">
        <v>208</v>
      </c>
      <c r="J85">
        <v>0.433</v>
      </c>
      <c r="K85">
        <v>1.37</v>
      </c>
      <c r="L85" t="s">
        <v>198</v>
      </c>
      <c r="M85">
        <v>5317</v>
      </c>
      <c r="R85">
        <v>56</v>
      </c>
      <c r="S85" t="s">
        <v>231</v>
      </c>
      <c r="T85" t="s">
        <v>202</v>
      </c>
      <c r="U85" t="s">
        <v>198</v>
      </c>
      <c r="V85" t="s">
        <v>198</v>
      </c>
      <c r="W85" t="s">
        <v>198</v>
      </c>
      <c r="X85" t="s">
        <v>198</v>
      </c>
      <c r="Y85" t="s">
        <v>198</v>
      </c>
      <c r="Z85" t="s">
        <v>198</v>
      </c>
      <c r="AA85" t="s">
        <v>198</v>
      </c>
      <c r="AB85" t="s">
        <v>198</v>
      </c>
      <c r="AC85" t="s">
        <v>198</v>
      </c>
      <c r="AD85" s="154" t="s">
        <v>198</v>
      </c>
    </row>
    <row r="86" spans="1:39" x14ac:dyDescent="0.3">
      <c r="A86" s="153">
        <v>57</v>
      </c>
      <c r="B86" t="s">
        <v>232</v>
      </c>
      <c r="C86" t="s">
        <v>202</v>
      </c>
      <c r="D86">
        <v>13.4</v>
      </c>
      <c r="E86">
        <v>27.161999999999999</v>
      </c>
      <c r="F86">
        <v>96.65</v>
      </c>
      <c r="G86">
        <v>84.912000000000006</v>
      </c>
      <c r="H86">
        <v>176.8</v>
      </c>
      <c r="I86" t="s">
        <v>208</v>
      </c>
      <c r="J86">
        <v>0.432</v>
      </c>
      <c r="K86">
        <v>1.36</v>
      </c>
      <c r="L86" t="s">
        <v>198</v>
      </c>
      <c r="M86">
        <v>5338</v>
      </c>
      <c r="R86">
        <v>57</v>
      </c>
      <c r="S86" t="s">
        <v>232</v>
      </c>
      <c r="T86" t="s">
        <v>202</v>
      </c>
      <c r="U86">
        <v>18.067</v>
      </c>
      <c r="V86">
        <v>1.9047000000000001</v>
      </c>
      <c r="W86">
        <v>1.48</v>
      </c>
      <c r="X86">
        <v>1.3178000000000001</v>
      </c>
      <c r="Y86">
        <v>2.66</v>
      </c>
      <c r="Z86" t="s">
        <v>236</v>
      </c>
      <c r="AA86">
        <v>0.48</v>
      </c>
      <c r="AB86">
        <v>1.29</v>
      </c>
      <c r="AC86" t="s">
        <v>198</v>
      </c>
      <c r="AD86" s="154">
        <v>7843</v>
      </c>
    </row>
    <row r="87" spans="1:39" x14ac:dyDescent="0.3">
      <c r="A87" s="153">
        <v>58</v>
      </c>
      <c r="B87" t="s">
        <v>233</v>
      </c>
      <c r="C87" t="s">
        <v>202</v>
      </c>
      <c r="D87">
        <v>13.4</v>
      </c>
      <c r="E87">
        <v>27.044599999999999</v>
      </c>
      <c r="F87">
        <v>96.56</v>
      </c>
      <c r="G87">
        <v>84.545100000000005</v>
      </c>
      <c r="H87">
        <v>175.74</v>
      </c>
      <c r="I87" t="s">
        <v>208</v>
      </c>
      <c r="J87">
        <v>0.432</v>
      </c>
      <c r="K87">
        <v>1.36</v>
      </c>
      <c r="L87" t="s">
        <v>198</v>
      </c>
      <c r="M87">
        <v>5318</v>
      </c>
      <c r="R87">
        <v>58</v>
      </c>
      <c r="S87" t="s">
        <v>233</v>
      </c>
      <c r="T87" t="s">
        <v>202</v>
      </c>
      <c r="U87">
        <v>18</v>
      </c>
      <c r="V87">
        <v>1.8895</v>
      </c>
      <c r="W87">
        <v>1.47</v>
      </c>
      <c r="X87">
        <v>1.3072999999999999</v>
      </c>
      <c r="Y87">
        <v>2.56</v>
      </c>
      <c r="Z87" t="s">
        <v>236</v>
      </c>
      <c r="AA87">
        <v>0.48599999999999999</v>
      </c>
      <c r="AB87">
        <v>1.46</v>
      </c>
      <c r="AC87" t="s">
        <v>198</v>
      </c>
      <c r="AD87" s="154">
        <v>7593</v>
      </c>
    </row>
    <row r="88" spans="1:39" x14ac:dyDescent="0.3">
      <c r="A88" s="153">
        <v>59</v>
      </c>
      <c r="B88" t="s">
        <v>234</v>
      </c>
      <c r="C88" t="s">
        <v>202</v>
      </c>
      <c r="D88">
        <v>13.4</v>
      </c>
      <c r="E88">
        <v>26.3978</v>
      </c>
      <c r="F88">
        <v>96.49</v>
      </c>
      <c r="G88">
        <v>82.522999999999996</v>
      </c>
      <c r="H88">
        <v>172.14</v>
      </c>
      <c r="I88" t="s">
        <v>208</v>
      </c>
      <c r="J88">
        <v>0.43</v>
      </c>
      <c r="K88">
        <v>1.36</v>
      </c>
      <c r="L88" t="s">
        <v>198</v>
      </c>
      <c r="M88">
        <v>5377</v>
      </c>
      <c r="R88">
        <v>59</v>
      </c>
      <c r="S88" t="s">
        <v>234</v>
      </c>
      <c r="T88" t="s">
        <v>202</v>
      </c>
      <c r="U88">
        <v>18.067</v>
      </c>
      <c r="V88">
        <v>1.3942000000000001</v>
      </c>
      <c r="W88">
        <v>1.1200000000000001</v>
      </c>
      <c r="X88">
        <v>0.96460000000000001</v>
      </c>
      <c r="Y88">
        <v>2.0299999999999998</v>
      </c>
      <c r="Z88" t="s">
        <v>236</v>
      </c>
      <c r="AA88">
        <v>0.46600000000000003</v>
      </c>
      <c r="AB88">
        <v>1.24</v>
      </c>
      <c r="AC88" t="s">
        <v>198</v>
      </c>
      <c r="AD88" s="154">
        <v>8327</v>
      </c>
    </row>
    <row r="89" spans="1:39" ht="15" thickBot="1" x14ac:dyDescent="0.35">
      <c r="A89" s="153">
        <v>60</v>
      </c>
      <c r="B89" t="s">
        <v>235</v>
      </c>
      <c r="C89" t="s">
        <v>202</v>
      </c>
      <c r="D89">
        <v>13.4</v>
      </c>
      <c r="E89">
        <v>27.250599999999999</v>
      </c>
      <c r="F89">
        <v>96.47</v>
      </c>
      <c r="G89">
        <v>85.188900000000004</v>
      </c>
      <c r="H89">
        <v>177.07</v>
      </c>
      <c r="I89" t="s">
        <v>208</v>
      </c>
      <c r="J89">
        <v>0.432</v>
      </c>
      <c r="K89">
        <v>1.37</v>
      </c>
      <c r="L89" t="s">
        <v>198</v>
      </c>
      <c r="M89">
        <v>5338</v>
      </c>
      <c r="R89">
        <v>60</v>
      </c>
      <c r="S89" t="s">
        <v>235</v>
      </c>
      <c r="T89" t="s">
        <v>202</v>
      </c>
      <c r="U89">
        <v>18.067</v>
      </c>
      <c r="V89">
        <v>1.4532</v>
      </c>
      <c r="W89">
        <v>1.1299999999999999</v>
      </c>
      <c r="X89">
        <v>1.0054000000000001</v>
      </c>
      <c r="Y89">
        <v>2.09</v>
      </c>
      <c r="Z89" t="s">
        <v>236</v>
      </c>
      <c r="AA89">
        <v>0.46100000000000002</v>
      </c>
      <c r="AB89">
        <v>1.26</v>
      </c>
      <c r="AC89" t="s">
        <v>198</v>
      </c>
      <c r="AD89" s="154">
        <v>8503</v>
      </c>
    </row>
    <row r="90" spans="1:39" x14ac:dyDescent="0.3">
      <c r="A90" s="153">
        <v>61</v>
      </c>
      <c r="B90" t="s">
        <v>196</v>
      </c>
      <c r="C90" t="s">
        <v>197</v>
      </c>
      <c r="D90" t="s">
        <v>198</v>
      </c>
      <c r="E90" t="s">
        <v>198</v>
      </c>
      <c r="F90" t="s">
        <v>198</v>
      </c>
      <c r="G90" t="s">
        <v>198</v>
      </c>
      <c r="H90" t="s">
        <v>198</v>
      </c>
      <c r="I90" t="s">
        <v>198</v>
      </c>
      <c r="J90" t="s">
        <v>198</v>
      </c>
      <c r="K90" t="s">
        <v>198</v>
      </c>
      <c r="L90" t="s">
        <v>198</v>
      </c>
      <c r="M90" t="s">
        <v>198</v>
      </c>
      <c r="R90">
        <v>61</v>
      </c>
      <c r="S90" t="s">
        <v>196</v>
      </c>
      <c r="T90" t="s">
        <v>197</v>
      </c>
      <c r="U90">
        <v>18.067</v>
      </c>
      <c r="V90">
        <v>8.5889000000000006</v>
      </c>
      <c r="W90">
        <v>100</v>
      </c>
      <c r="X90">
        <v>11.884600000000001</v>
      </c>
      <c r="Y90">
        <v>21.69</v>
      </c>
      <c r="Z90" t="s">
        <v>236</v>
      </c>
      <c r="AA90">
        <v>0.502</v>
      </c>
      <c r="AB90">
        <v>1.35</v>
      </c>
      <c r="AC90" t="s">
        <v>198</v>
      </c>
      <c r="AD90" s="154">
        <v>7189</v>
      </c>
      <c r="AF90" s="229" t="s">
        <v>298</v>
      </c>
      <c r="AG90" s="230"/>
      <c r="AH90" s="230"/>
      <c r="AI90" s="230"/>
      <c r="AJ90" s="230"/>
      <c r="AK90" s="230"/>
      <c r="AL90" s="230"/>
      <c r="AM90" s="231"/>
    </row>
    <row r="91" spans="1:39" x14ac:dyDescent="0.3">
      <c r="A91" s="153">
        <v>62</v>
      </c>
      <c r="B91" t="s">
        <v>199</v>
      </c>
      <c r="C91" t="s">
        <v>197</v>
      </c>
      <c r="D91">
        <v>13.433</v>
      </c>
      <c r="E91">
        <v>9.4899999999999998E-2</v>
      </c>
      <c r="F91">
        <v>86.54</v>
      </c>
      <c r="G91">
        <v>1.1867000000000001</v>
      </c>
      <c r="H91">
        <v>2.61</v>
      </c>
      <c r="I91" t="s">
        <v>236</v>
      </c>
      <c r="J91">
        <v>0.42599999999999999</v>
      </c>
      <c r="K91">
        <v>1.27</v>
      </c>
      <c r="L91" t="s">
        <v>198</v>
      </c>
      <c r="M91">
        <v>5500</v>
      </c>
      <c r="R91">
        <v>62</v>
      </c>
      <c r="S91" t="s">
        <v>199</v>
      </c>
      <c r="T91" t="s">
        <v>197</v>
      </c>
      <c r="U91" t="s">
        <v>198</v>
      </c>
      <c r="V91" t="s">
        <v>198</v>
      </c>
      <c r="W91" t="s">
        <v>198</v>
      </c>
      <c r="X91" t="s">
        <v>198</v>
      </c>
      <c r="Y91" t="s">
        <v>198</v>
      </c>
      <c r="Z91" t="s">
        <v>198</v>
      </c>
      <c r="AA91" t="s">
        <v>198</v>
      </c>
      <c r="AB91" t="s">
        <v>198</v>
      </c>
      <c r="AC91" t="s">
        <v>198</v>
      </c>
      <c r="AD91" s="154" t="s">
        <v>198</v>
      </c>
      <c r="AF91" s="232"/>
      <c r="AG91" s="233"/>
      <c r="AH91" s="233"/>
      <c r="AI91" s="233"/>
      <c r="AJ91" s="233"/>
      <c r="AK91" s="233"/>
      <c r="AL91" s="233"/>
      <c r="AM91" s="234"/>
    </row>
    <row r="92" spans="1:39" x14ac:dyDescent="0.3">
      <c r="A92" s="153" t="s">
        <v>237</v>
      </c>
      <c r="D92">
        <v>13.433</v>
      </c>
      <c r="E92">
        <v>33.4358</v>
      </c>
      <c r="F92">
        <v>99.04</v>
      </c>
      <c r="G92">
        <v>117.07729999999999</v>
      </c>
      <c r="H92">
        <v>244.88</v>
      </c>
      <c r="J92">
        <v>0.57399999999999995</v>
      </c>
      <c r="K92">
        <v>1.44</v>
      </c>
      <c r="L92">
        <v>6.29</v>
      </c>
      <c r="M92">
        <v>5932</v>
      </c>
      <c r="R92" t="s">
        <v>237</v>
      </c>
      <c r="U92">
        <v>18.100000000000001</v>
      </c>
      <c r="V92">
        <v>50.533499999999997</v>
      </c>
      <c r="W92">
        <v>100</v>
      </c>
      <c r="X92">
        <v>13.9849</v>
      </c>
      <c r="Y92">
        <v>26.34</v>
      </c>
      <c r="AA92">
        <v>0.502</v>
      </c>
      <c r="AB92">
        <v>1.46</v>
      </c>
      <c r="AC92">
        <v>0</v>
      </c>
      <c r="AD92" s="154">
        <v>8503</v>
      </c>
      <c r="AF92" s="232"/>
      <c r="AG92" s="233"/>
      <c r="AH92" s="233"/>
      <c r="AI92" s="233"/>
      <c r="AJ92" s="233"/>
      <c r="AK92" s="233"/>
      <c r="AL92" s="233"/>
      <c r="AM92" s="234"/>
    </row>
    <row r="93" spans="1:39" x14ac:dyDescent="0.3">
      <c r="A93" s="153" t="s">
        <v>98</v>
      </c>
      <c r="D93">
        <v>13.417</v>
      </c>
      <c r="E93">
        <v>13.5526</v>
      </c>
      <c r="F93">
        <v>78.27</v>
      </c>
      <c r="G93">
        <v>58.260899999999999</v>
      </c>
      <c r="H93">
        <v>120.71</v>
      </c>
      <c r="J93">
        <v>0.436</v>
      </c>
      <c r="K93">
        <v>1.34</v>
      </c>
      <c r="L93">
        <v>6.23</v>
      </c>
      <c r="M93">
        <v>5348</v>
      </c>
      <c r="R93" t="s">
        <v>98</v>
      </c>
      <c r="U93">
        <v>18.062999999999999</v>
      </c>
      <c r="V93">
        <v>7.4880000000000004</v>
      </c>
      <c r="W93">
        <v>26.95</v>
      </c>
      <c r="X93">
        <v>5.2161999999999997</v>
      </c>
      <c r="Y93">
        <v>9.9700000000000006</v>
      </c>
      <c r="AA93">
        <v>0.48099999999999998</v>
      </c>
      <c r="AB93">
        <v>1.31</v>
      </c>
      <c r="AC93" t="s">
        <v>198</v>
      </c>
      <c r="AD93" s="154">
        <v>7840</v>
      </c>
      <c r="AF93" s="232"/>
      <c r="AG93" s="233"/>
      <c r="AH93" s="233"/>
      <c r="AI93" s="233"/>
      <c r="AJ93" s="233"/>
      <c r="AK93" s="233"/>
      <c r="AL93" s="233"/>
      <c r="AM93" s="234"/>
    </row>
    <row r="94" spans="1:39" ht="15" thickBot="1" x14ac:dyDescent="0.35">
      <c r="A94" s="153" t="s">
        <v>238</v>
      </c>
      <c r="D94">
        <v>13.3</v>
      </c>
      <c r="E94">
        <v>9.4899999999999998E-2</v>
      </c>
      <c r="F94">
        <v>1.7</v>
      </c>
      <c r="G94">
        <v>1.1867000000000001</v>
      </c>
      <c r="H94">
        <v>2.61</v>
      </c>
      <c r="J94">
        <v>0.41099999999999998</v>
      </c>
      <c r="K94">
        <v>1.1299999999999999</v>
      </c>
      <c r="L94">
        <v>6.2</v>
      </c>
      <c r="M94">
        <v>2971</v>
      </c>
      <c r="R94" t="s">
        <v>238</v>
      </c>
      <c r="U94">
        <v>17.766999999999999</v>
      </c>
      <c r="V94">
        <v>6.0999999999999999E-2</v>
      </c>
      <c r="W94">
        <v>1.1200000000000001</v>
      </c>
      <c r="X94">
        <v>0.16869999999999999</v>
      </c>
      <c r="Y94">
        <v>0.36</v>
      </c>
      <c r="AA94">
        <v>0.46100000000000002</v>
      </c>
      <c r="AB94">
        <v>1.24</v>
      </c>
      <c r="AC94">
        <v>0</v>
      </c>
      <c r="AD94" s="154">
        <v>7189</v>
      </c>
      <c r="AF94" s="235"/>
      <c r="AG94" s="236"/>
      <c r="AH94" s="236"/>
      <c r="AI94" s="236"/>
      <c r="AJ94" s="236"/>
      <c r="AK94" s="236"/>
      <c r="AL94" s="236"/>
      <c r="AM94" s="237"/>
    </row>
    <row r="95" spans="1:39" x14ac:dyDescent="0.3">
      <c r="A95" s="153" t="s">
        <v>239</v>
      </c>
      <c r="D95">
        <v>2.9000000000000001E-2</v>
      </c>
      <c r="E95">
        <v>11.0433</v>
      </c>
      <c r="F95">
        <v>34.31</v>
      </c>
      <c r="G95">
        <v>39.1235</v>
      </c>
      <c r="H95">
        <v>81.42</v>
      </c>
      <c r="J95">
        <v>3.7999999999999999E-2</v>
      </c>
      <c r="K95">
        <v>0.06</v>
      </c>
      <c r="L95">
        <v>0.05</v>
      </c>
      <c r="M95">
        <v>667</v>
      </c>
      <c r="R95" t="s">
        <v>239</v>
      </c>
      <c r="U95">
        <v>6.7000000000000004E-2</v>
      </c>
      <c r="V95">
        <v>13.567500000000001</v>
      </c>
      <c r="W95">
        <v>38.729999999999997</v>
      </c>
      <c r="X95">
        <v>5.1948999999999996</v>
      </c>
      <c r="Y95">
        <v>9.68</v>
      </c>
      <c r="AA95">
        <v>1.2999999999999999E-2</v>
      </c>
      <c r="AB95">
        <v>0.05</v>
      </c>
      <c r="AC95" t="s">
        <v>198</v>
      </c>
      <c r="AD95" s="154">
        <v>435</v>
      </c>
    </row>
    <row r="96" spans="1:39" ht="15" thickBot="1" x14ac:dyDescent="0.35">
      <c r="A96" s="160" t="s">
        <v>240</v>
      </c>
      <c r="B96" s="161"/>
      <c r="C96" s="161"/>
      <c r="D96" s="162">
        <v>2.2000000000000001E-3</v>
      </c>
      <c r="E96" s="162">
        <v>0.81479999999999997</v>
      </c>
      <c r="F96" s="162">
        <v>0.43830000000000002</v>
      </c>
      <c r="G96" s="162">
        <v>0.67149999999999999</v>
      </c>
      <c r="H96" s="162">
        <v>0.67449999999999999</v>
      </c>
      <c r="I96" s="161"/>
      <c r="J96" s="162">
        <v>8.7499999999999994E-2</v>
      </c>
      <c r="K96" s="162">
        <v>4.19E-2</v>
      </c>
      <c r="L96" s="162">
        <v>8.5000000000000006E-3</v>
      </c>
      <c r="M96" s="162">
        <v>0.12479999999999999</v>
      </c>
      <c r="N96" s="161"/>
      <c r="O96" s="161"/>
      <c r="P96" s="161"/>
      <c r="Q96" s="161"/>
      <c r="R96" s="161" t="s">
        <v>240</v>
      </c>
      <c r="S96" s="161"/>
      <c r="T96" s="161"/>
      <c r="U96" s="162">
        <v>3.7000000000000002E-3</v>
      </c>
      <c r="V96" s="162">
        <v>1.8119000000000001</v>
      </c>
      <c r="W96" s="162">
        <v>1.4373</v>
      </c>
      <c r="X96" s="162">
        <v>0.99590000000000001</v>
      </c>
      <c r="Y96" s="162">
        <v>0.97130000000000005</v>
      </c>
      <c r="Z96" s="161"/>
      <c r="AA96" s="162">
        <v>2.7300000000000001E-2</v>
      </c>
      <c r="AB96" s="162">
        <v>3.6999999999999998E-2</v>
      </c>
      <c r="AC96" s="161" t="s">
        <v>198</v>
      </c>
      <c r="AD96" s="163">
        <v>5.5399999999999998E-2</v>
      </c>
    </row>
    <row r="97" spans="1:30" ht="15" thickTop="1" x14ac:dyDescent="0.3">
      <c r="A97" s="238" t="s">
        <v>349</v>
      </c>
      <c r="B97" s="239"/>
      <c r="C97" s="239"/>
      <c r="D97" s="239"/>
      <c r="E97" s="239"/>
      <c r="F97" s="239"/>
      <c r="G97" s="239"/>
      <c r="H97" s="239"/>
      <c r="I97" s="239"/>
      <c r="J97" s="239"/>
      <c r="K97" s="239"/>
      <c r="L97" s="239"/>
      <c r="M97" s="239"/>
      <c r="N97" s="239"/>
      <c r="O97" s="239"/>
      <c r="P97" s="239"/>
      <c r="Q97" s="239"/>
      <c r="R97" s="239"/>
      <c r="S97" s="239"/>
      <c r="T97" s="239"/>
      <c r="U97" s="239"/>
      <c r="V97" s="239"/>
      <c r="W97" s="239"/>
      <c r="X97" s="239"/>
      <c r="Y97" s="239"/>
      <c r="Z97" s="239"/>
      <c r="AA97" s="239"/>
      <c r="AB97" s="239"/>
      <c r="AC97" s="239"/>
      <c r="AD97" s="240"/>
    </row>
    <row r="98" spans="1:30" ht="15" thickBot="1" x14ac:dyDescent="0.35">
      <c r="A98" s="241"/>
      <c r="B98" s="242"/>
      <c r="C98" s="242"/>
      <c r="D98" s="242"/>
      <c r="E98" s="242"/>
      <c r="F98" s="242"/>
      <c r="G98" s="242"/>
      <c r="H98" s="242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3"/>
    </row>
    <row r="99" spans="1:30" ht="15" thickTop="1" x14ac:dyDescent="0.3">
      <c r="A99" s="150" t="s">
        <v>77</v>
      </c>
      <c r="B99" s="151" t="s">
        <v>78</v>
      </c>
      <c r="C99" s="151" t="s">
        <v>180</v>
      </c>
      <c r="D99" s="151" t="s">
        <v>80</v>
      </c>
      <c r="E99" s="151" t="s">
        <v>81</v>
      </c>
      <c r="F99" s="151" t="s">
        <v>181</v>
      </c>
      <c r="G99" s="151" t="s">
        <v>82</v>
      </c>
      <c r="H99" s="151" t="s">
        <v>83</v>
      </c>
      <c r="I99" s="151" t="s">
        <v>79</v>
      </c>
      <c r="J99" s="151" t="s">
        <v>84</v>
      </c>
      <c r="K99" s="151" t="s">
        <v>85</v>
      </c>
      <c r="L99" s="151" t="s">
        <v>86</v>
      </c>
      <c r="M99" s="151" t="s">
        <v>87</v>
      </c>
      <c r="N99" s="151"/>
      <c r="O99" s="151"/>
      <c r="P99" s="151"/>
      <c r="Q99" s="151"/>
      <c r="R99" s="151" t="s">
        <v>77</v>
      </c>
      <c r="S99" s="151" t="s">
        <v>78</v>
      </c>
      <c r="T99" s="151" t="s">
        <v>180</v>
      </c>
      <c r="U99" s="151" t="s">
        <v>80</v>
      </c>
      <c r="V99" s="151" t="s">
        <v>81</v>
      </c>
      <c r="W99" s="151" t="s">
        <v>181</v>
      </c>
      <c r="X99" s="151" t="s">
        <v>82</v>
      </c>
      <c r="Y99" s="151" t="s">
        <v>83</v>
      </c>
      <c r="Z99" s="151" t="s">
        <v>79</v>
      </c>
      <c r="AA99" s="151" t="s">
        <v>84</v>
      </c>
      <c r="AB99" s="151" t="s">
        <v>85</v>
      </c>
      <c r="AC99" s="151" t="s">
        <v>86</v>
      </c>
      <c r="AD99" s="152" t="s">
        <v>87</v>
      </c>
    </row>
    <row r="100" spans="1:30" x14ac:dyDescent="0.3">
      <c r="A100" s="153" t="s">
        <v>88</v>
      </c>
      <c r="B100" t="s">
        <v>89</v>
      </c>
      <c r="D100" t="s">
        <v>90</v>
      </c>
      <c r="E100" t="s">
        <v>91</v>
      </c>
      <c r="F100" t="s">
        <v>92</v>
      </c>
      <c r="G100" t="s">
        <v>93</v>
      </c>
      <c r="H100" t="s">
        <v>94</v>
      </c>
      <c r="J100" t="s">
        <v>90</v>
      </c>
      <c r="K100" t="s">
        <v>95</v>
      </c>
      <c r="L100" t="s">
        <v>95</v>
      </c>
      <c r="M100" t="s">
        <v>95</v>
      </c>
      <c r="R100" t="s">
        <v>88</v>
      </c>
      <c r="S100" t="s">
        <v>89</v>
      </c>
      <c r="U100" t="s">
        <v>90</v>
      </c>
      <c r="V100" t="s">
        <v>91</v>
      </c>
      <c r="W100" t="s">
        <v>92</v>
      </c>
      <c r="X100" t="s">
        <v>93</v>
      </c>
      <c r="Y100" t="s">
        <v>94</v>
      </c>
      <c r="AA100" t="s">
        <v>90</v>
      </c>
      <c r="AB100" t="s">
        <v>95</v>
      </c>
      <c r="AC100" t="s">
        <v>95</v>
      </c>
      <c r="AD100" s="154" t="s">
        <v>95</v>
      </c>
    </row>
    <row r="101" spans="1:30" x14ac:dyDescent="0.3">
      <c r="A101" s="153"/>
      <c r="D101" s="155" t="s">
        <v>96</v>
      </c>
      <c r="E101" s="155" t="s">
        <v>96</v>
      </c>
      <c r="F101" s="155" t="s">
        <v>96</v>
      </c>
      <c r="G101" s="155" t="s">
        <v>96</v>
      </c>
      <c r="H101" s="155" t="s">
        <v>96</v>
      </c>
      <c r="I101" s="155" t="s">
        <v>96</v>
      </c>
      <c r="J101" s="155" t="s">
        <v>96</v>
      </c>
      <c r="K101" s="155" t="s">
        <v>96</v>
      </c>
      <c r="L101" s="155" t="s">
        <v>96</v>
      </c>
      <c r="M101" s="155" t="s">
        <v>96</v>
      </c>
      <c r="U101" s="156" t="s">
        <v>96</v>
      </c>
      <c r="V101" s="156" t="s">
        <v>96</v>
      </c>
      <c r="W101" s="156" t="s">
        <v>96</v>
      </c>
      <c r="X101" s="156" t="s">
        <v>96</v>
      </c>
      <c r="Y101" s="156" t="s">
        <v>96</v>
      </c>
      <c r="Z101" s="156" t="s">
        <v>96</v>
      </c>
      <c r="AA101" s="156" t="s">
        <v>96</v>
      </c>
      <c r="AB101" s="156" t="s">
        <v>96</v>
      </c>
      <c r="AC101" s="156" t="s">
        <v>96</v>
      </c>
      <c r="AD101" s="157" t="s">
        <v>96</v>
      </c>
    </row>
    <row r="102" spans="1:30" x14ac:dyDescent="0.3">
      <c r="A102" s="153"/>
      <c r="D102" s="155" t="s">
        <v>97</v>
      </c>
      <c r="E102" s="155" t="s">
        <v>97</v>
      </c>
      <c r="F102" s="155" t="s">
        <v>97</v>
      </c>
      <c r="G102" s="155" t="s">
        <v>97</v>
      </c>
      <c r="H102" s="155" t="s">
        <v>97</v>
      </c>
      <c r="I102" s="155" t="s">
        <v>97</v>
      </c>
      <c r="J102" s="155" t="s">
        <v>97</v>
      </c>
      <c r="K102" s="155" t="s">
        <v>97</v>
      </c>
      <c r="L102" s="155" t="s">
        <v>97</v>
      </c>
      <c r="M102" s="155" t="s">
        <v>97</v>
      </c>
      <c r="U102" s="158" t="s">
        <v>182</v>
      </c>
      <c r="V102" s="158" t="s">
        <v>182</v>
      </c>
      <c r="W102" s="158" t="s">
        <v>182</v>
      </c>
      <c r="X102" s="158" t="s">
        <v>182</v>
      </c>
      <c r="Y102" s="158" t="s">
        <v>182</v>
      </c>
      <c r="Z102" s="158" t="s">
        <v>182</v>
      </c>
      <c r="AA102" s="158" t="s">
        <v>182</v>
      </c>
      <c r="AB102" s="158" t="s">
        <v>182</v>
      </c>
      <c r="AC102" s="158" t="s">
        <v>182</v>
      </c>
      <c r="AD102" s="159" t="s">
        <v>182</v>
      </c>
    </row>
    <row r="103" spans="1:30" x14ac:dyDescent="0.3">
      <c r="A103" s="153">
        <v>3</v>
      </c>
      <c r="B103" t="s">
        <v>299</v>
      </c>
      <c r="C103" t="s">
        <v>197</v>
      </c>
      <c r="D103">
        <v>13.433</v>
      </c>
      <c r="E103">
        <v>4.8901000000000003</v>
      </c>
      <c r="F103">
        <v>100</v>
      </c>
      <c r="G103">
        <v>61.148800000000001</v>
      </c>
      <c r="H103">
        <v>146.41999999999999</v>
      </c>
      <c r="I103" t="s">
        <v>236</v>
      </c>
      <c r="J103">
        <v>0.36599999999999999</v>
      </c>
      <c r="K103">
        <v>1.42</v>
      </c>
      <c r="L103" t="s">
        <v>198</v>
      </c>
      <c r="M103">
        <v>7459</v>
      </c>
      <c r="R103">
        <v>1</v>
      </c>
      <c r="S103" t="s">
        <v>196</v>
      </c>
      <c r="T103" t="s">
        <v>197</v>
      </c>
      <c r="U103">
        <v>18</v>
      </c>
      <c r="V103">
        <v>7.0364000000000004</v>
      </c>
      <c r="W103">
        <v>78.599999999999994</v>
      </c>
      <c r="X103">
        <v>9.7363999999999997</v>
      </c>
      <c r="Y103">
        <v>20.12</v>
      </c>
      <c r="Z103" t="s">
        <v>236</v>
      </c>
      <c r="AA103">
        <v>0.432</v>
      </c>
      <c r="AB103">
        <v>1.6</v>
      </c>
      <c r="AC103" t="s">
        <v>198</v>
      </c>
      <c r="AD103" s="154">
        <v>9623</v>
      </c>
    </row>
    <row r="104" spans="1:30" x14ac:dyDescent="0.3">
      <c r="A104" s="153">
        <v>4</v>
      </c>
      <c r="B104" t="s">
        <v>300</v>
      </c>
      <c r="C104" t="s">
        <v>202</v>
      </c>
      <c r="D104">
        <v>13.167</v>
      </c>
      <c r="E104">
        <v>3.4030999999999998</v>
      </c>
      <c r="F104">
        <v>100</v>
      </c>
      <c r="G104">
        <v>42.554400000000001</v>
      </c>
      <c r="H104">
        <v>68.88</v>
      </c>
      <c r="I104" t="s">
        <v>236</v>
      </c>
      <c r="J104">
        <v>0.57299999999999995</v>
      </c>
      <c r="K104">
        <v>1.78</v>
      </c>
      <c r="L104" t="s">
        <v>198</v>
      </c>
      <c r="M104">
        <v>2925</v>
      </c>
      <c r="R104">
        <v>2</v>
      </c>
      <c r="S104" t="s">
        <v>196</v>
      </c>
      <c r="T104" t="s">
        <v>197</v>
      </c>
      <c r="U104">
        <v>18</v>
      </c>
      <c r="V104">
        <v>8.2429000000000006</v>
      </c>
      <c r="W104">
        <v>14.03</v>
      </c>
      <c r="X104">
        <v>11.405900000000001</v>
      </c>
      <c r="Y104">
        <v>23.53</v>
      </c>
      <c r="Z104" t="s">
        <v>236</v>
      </c>
      <c r="AA104">
        <v>0.42699999999999999</v>
      </c>
      <c r="AB104">
        <v>1.51</v>
      </c>
      <c r="AC104" t="s">
        <v>198</v>
      </c>
      <c r="AD104" s="154">
        <v>9846</v>
      </c>
    </row>
    <row r="105" spans="1:30" x14ac:dyDescent="0.3">
      <c r="A105" s="153">
        <v>5</v>
      </c>
      <c r="B105" t="s">
        <v>301</v>
      </c>
      <c r="C105" t="s">
        <v>202</v>
      </c>
      <c r="D105">
        <v>13.2</v>
      </c>
      <c r="E105">
        <v>3.3794</v>
      </c>
      <c r="F105">
        <v>100</v>
      </c>
      <c r="G105">
        <v>42.257300000000001</v>
      </c>
      <c r="H105">
        <v>69.38</v>
      </c>
      <c r="I105" t="s">
        <v>236</v>
      </c>
      <c r="J105">
        <v>0.56899999999999995</v>
      </c>
      <c r="K105">
        <v>1.61</v>
      </c>
      <c r="L105" t="s">
        <v>198</v>
      </c>
      <c r="M105">
        <v>2978</v>
      </c>
      <c r="R105">
        <v>4</v>
      </c>
      <c r="S105" t="s">
        <v>300</v>
      </c>
      <c r="T105" t="s">
        <v>202</v>
      </c>
      <c r="U105" t="s">
        <v>198</v>
      </c>
      <c r="V105" t="s">
        <v>198</v>
      </c>
      <c r="W105" t="s">
        <v>198</v>
      </c>
      <c r="X105" t="s">
        <v>198</v>
      </c>
      <c r="Y105" t="s">
        <v>198</v>
      </c>
      <c r="Z105" t="s">
        <v>198</v>
      </c>
      <c r="AA105" t="s">
        <v>198</v>
      </c>
      <c r="AB105" t="s">
        <v>198</v>
      </c>
      <c r="AC105" t="s">
        <v>198</v>
      </c>
      <c r="AD105" s="154" t="s">
        <v>198</v>
      </c>
    </row>
    <row r="106" spans="1:30" x14ac:dyDescent="0.3">
      <c r="A106" s="153">
        <v>6</v>
      </c>
      <c r="B106" t="s">
        <v>302</v>
      </c>
      <c r="C106" t="s">
        <v>202</v>
      </c>
      <c r="D106">
        <v>13.2</v>
      </c>
      <c r="E106">
        <v>3.4037000000000002</v>
      </c>
      <c r="F106">
        <v>100</v>
      </c>
      <c r="G106">
        <v>42.561199999999999</v>
      </c>
      <c r="H106">
        <v>70.819999999999993</v>
      </c>
      <c r="I106" t="s">
        <v>236</v>
      </c>
      <c r="J106">
        <v>0.56699999999999995</v>
      </c>
      <c r="K106">
        <v>1.59</v>
      </c>
      <c r="L106" t="s">
        <v>198</v>
      </c>
      <c r="M106">
        <v>3005</v>
      </c>
      <c r="R106">
        <v>5</v>
      </c>
      <c r="S106" t="s">
        <v>301</v>
      </c>
      <c r="T106" t="s">
        <v>202</v>
      </c>
      <c r="U106" t="s">
        <v>198</v>
      </c>
      <c r="V106" t="s">
        <v>198</v>
      </c>
      <c r="W106" t="s">
        <v>198</v>
      </c>
      <c r="X106" t="s">
        <v>198</v>
      </c>
      <c r="Y106" t="s">
        <v>198</v>
      </c>
      <c r="Z106" t="s">
        <v>198</v>
      </c>
      <c r="AA106" t="s">
        <v>198</v>
      </c>
      <c r="AB106" t="s">
        <v>198</v>
      </c>
      <c r="AC106" t="s">
        <v>198</v>
      </c>
      <c r="AD106" s="154" t="s">
        <v>198</v>
      </c>
    </row>
    <row r="107" spans="1:30" x14ac:dyDescent="0.3">
      <c r="A107" s="153">
        <v>7</v>
      </c>
      <c r="B107" t="s">
        <v>303</v>
      </c>
      <c r="C107" t="s">
        <v>202</v>
      </c>
      <c r="D107">
        <v>13.233000000000001</v>
      </c>
      <c r="E107">
        <v>4.0210999999999997</v>
      </c>
      <c r="F107">
        <v>100</v>
      </c>
      <c r="G107">
        <v>50.281399999999998</v>
      </c>
      <c r="H107">
        <v>81.45</v>
      </c>
      <c r="I107" t="s">
        <v>203</v>
      </c>
      <c r="J107">
        <v>0.57699999999999996</v>
      </c>
      <c r="K107">
        <v>1.43</v>
      </c>
      <c r="L107" t="s">
        <v>198</v>
      </c>
      <c r="M107">
        <v>2917</v>
      </c>
      <c r="R107">
        <v>6</v>
      </c>
      <c r="S107" t="s">
        <v>302</v>
      </c>
      <c r="T107" t="s">
        <v>202</v>
      </c>
      <c r="U107" t="s">
        <v>198</v>
      </c>
      <c r="V107" t="s">
        <v>198</v>
      </c>
      <c r="W107" t="s">
        <v>198</v>
      </c>
      <c r="X107" t="s">
        <v>198</v>
      </c>
      <c r="Y107" t="s">
        <v>198</v>
      </c>
      <c r="Z107" t="s">
        <v>198</v>
      </c>
      <c r="AA107" t="s">
        <v>198</v>
      </c>
      <c r="AB107" t="s">
        <v>198</v>
      </c>
      <c r="AC107" t="s">
        <v>198</v>
      </c>
      <c r="AD107" s="154" t="s">
        <v>198</v>
      </c>
    </row>
    <row r="108" spans="1:30" x14ac:dyDescent="0.3">
      <c r="A108" s="153">
        <v>8</v>
      </c>
      <c r="B108" t="s">
        <v>304</v>
      </c>
      <c r="C108" t="s">
        <v>202</v>
      </c>
      <c r="D108">
        <v>13.233000000000001</v>
      </c>
      <c r="E108">
        <v>4.0006000000000004</v>
      </c>
      <c r="F108">
        <v>100</v>
      </c>
      <c r="G108">
        <v>50.0259</v>
      </c>
      <c r="H108">
        <v>81.38</v>
      </c>
      <c r="I108" t="s">
        <v>203</v>
      </c>
      <c r="J108">
        <v>0.57799999999999996</v>
      </c>
      <c r="K108">
        <v>1.42</v>
      </c>
      <c r="L108" t="s">
        <v>198</v>
      </c>
      <c r="M108">
        <v>2908</v>
      </c>
      <c r="R108">
        <v>7</v>
      </c>
      <c r="S108" t="s">
        <v>303</v>
      </c>
      <c r="T108" t="s">
        <v>202</v>
      </c>
      <c r="U108">
        <v>18.067</v>
      </c>
      <c r="V108">
        <v>3.5464000000000002</v>
      </c>
      <c r="W108">
        <v>16.329999999999998</v>
      </c>
      <c r="X108">
        <v>9.8145000000000007</v>
      </c>
      <c r="Y108">
        <v>21.25</v>
      </c>
      <c r="Z108" t="s">
        <v>236</v>
      </c>
      <c r="AA108">
        <v>0.42499999999999999</v>
      </c>
      <c r="AB108">
        <v>1.2</v>
      </c>
      <c r="AC108" t="s">
        <v>198</v>
      </c>
      <c r="AD108" s="154">
        <v>9999</v>
      </c>
    </row>
    <row r="109" spans="1:30" x14ac:dyDescent="0.3">
      <c r="A109" s="153">
        <v>9</v>
      </c>
      <c r="B109" t="s">
        <v>305</v>
      </c>
      <c r="C109" t="s">
        <v>202</v>
      </c>
      <c r="D109">
        <v>13.266999999999999</v>
      </c>
      <c r="E109">
        <v>4.0068000000000001</v>
      </c>
      <c r="F109">
        <v>100</v>
      </c>
      <c r="G109">
        <v>50.102699999999999</v>
      </c>
      <c r="H109">
        <v>81.42</v>
      </c>
      <c r="I109" t="s">
        <v>203</v>
      </c>
      <c r="J109">
        <v>0.57899999999999996</v>
      </c>
      <c r="K109">
        <v>1.28</v>
      </c>
      <c r="L109" t="s">
        <v>198</v>
      </c>
      <c r="M109">
        <v>2906</v>
      </c>
      <c r="R109">
        <v>8</v>
      </c>
      <c r="S109" t="s">
        <v>304</v>
      </c>
      <c r="T109" t="s">
        <v>202</v>
      </c>
      <c r="U109">
        <v>18.067</v>
      </c>
      <c r="V109">
        <v>3.5055000000000001</v>
      </c>
      <c r="W109">
        <v>16.239999999999998</v>
      </c>
      <c r="X109">
        <v>9.7012999999999998</v>
      </c>
      <c r="Y109">
        <v>20.43</v>
      </c>
      <c r="Z109" t="s">
        <v>236</v>
      </c>
      <c r="AA109">
        <v>0.439</v>
      </c>
      <c r="AB109">
        <v>1.17</v>
      </c>
      <c r="AC109" t="s">
        <v>198</v>
      </c>
      <c r="AD109" s="154">
        <v>9399</v>
      </c>
    </row>
    <row r="110" spans="1:30" x14ac:dyDescent="0.3">
      <c r="A110" s="153">
        <v>10</v>
      </c>
      <c r="B110" t="s">
        <v>306</v>
      </c>
      <c r="C110" t="s">
        <v>202</v>
      </c>
      <c r="D110">
        <v>13.467000000000001</v>
      </c>
      <c r="E110">
        <v>5.0057999999999998</v>
      </c>
      <c r="F110">
        <v>100</v>
      </c>
      <c r="G110">
        <v>62.595700000000001</v>
      </c>
      <c r="H110">
        <v>137.19</v>
      </c>
      <c r="I110" t="s">
        <v>236</v>
      </c>
      <c r="J110">
        <v>0.41399999999999998</v>
      </c>
      <c r="K110">
        <v>1.1599999999999999</v>
      </c>
      <c r="L110" t="s">
        <v>198</v>
      </c>
      <c r="M110">
        <v>5870</v>
      </c>
      <c r="R110">
        <v>9</v>
      </c>
      <c r="S110" t="s">
        <v>305</v>
      </c>
      <c r="T110" t="s">
        <v>202</v>
      </c>
      <c r="U110">
        <v>18.067</v>
      </c>
      <c r="V110">
        <v>3.5266999999999999</v>
      </c>
      <c r="W110">
        <v>16.3</v>
      </c>
      <c r="X110">
        <v>9.7599</v>
      </c>
      <c r="Y110">
        <v>19.77</v>
      </c>
      <c r="Z110" t="s">
        <v>236</v>
      </c>
      <c r="AA110">
        <v>0.45600000000000002</v>
      </c>
      <c r="AB110">
        <v>1.1599999999999999</v>
      </c>
      <c r="AC110" t="s">
        <v>198</v>
      </c>
      <c r="AD110" s="154">
        <v>8706</v>
      </c>
    </row>
    <row r="111" spans="1:30" x14ac:dyDescent="0.3">
      <c r="A111" s="153">
        <v>11</v>
      </c>
      <c r="B111" t="s">
        <v>307</v>
      </c>
      <c r="C111" t="s">
        <v>202</v>
      </c>
      <c r="D111">
        <v>13.5</v>
      </c>
      <c r="E111">
        <v>4.9650999999999996</v>
      </c>
      <c r="F111">
        <v>100</v>
      </c>
      <c r="G111">
        <v>62.086799999999997</v>
      </c>
      <c r="H111">
        <v>133.66999999999999</v>
      </c>
      <c r="I111" t="s">
        <v>236</v>
      </c>
      <c r="J111">
        <v>0.42299999999999999</v>
      </c>
      <c r="K111">
        <v>1.06</v>
      </c>
      <c r="L111" t="s">
        <v>198</v>
      </c>
      <c r="M111">
        <v>5648</v>
      </c>
      <c r="R111">
        <v>10</v>
      </c>
      <c r="S111" t="s">
        <v>306</v>
      </c>
      <c r="T111" t="s">
        <v>202</v>
      </c>
      <c r="U111" t="s">
        <v>198</v>
      </c>
      <c r="V111" t="s">
        <v>198</v>
      </c>
      <c r="W111" t="s">
        <v>198</v>
      </c>
      <c r="X111" t="s">
        <v>198</v>
      </c>
      <c r="Y111" t="s">
        <v>198</v>
      </c>
      <c r="Z111" t="s">
        <v>198</v>
      </c>
      <c r="AA111" t="s">
        <v>198</v>
      </c>
      <c r="AB111" t="s">
        <v>198</v>
      </c>
      <c r="AC111" t="s">
        <v>198</v>
      </c>
      <c r="AD111" s="154" t="s">
        <v>198</v>
      </c>
    </row>
    <row r="112" spans="1:30" x14ac:dyDescent="0.3">
      <c r="A112" s="153">
        <v>12</v>
      </c>
      <c r="B112" t="s">
        <v>308</v>
      </c>
      <c r="C112" t="s">
        <v>202</v>
      </c>
      <c r="D112">
        <v>13.5</v>
      </c>
      <c r="E112">
        <v>5.0160999999999998</v>
      </c>
      <c r="F112">
        <v>100</v>
      </c>
      <c r="G112">
        <v>62.724499999999999</v>
      </c>
      <c r="H112">
        <v>132.44999999999999</v>
      </c>
      <c r="I112" t="s">
        <v>236</v>
      </c>
      <c r="J112">
        <v>0.434</v>
      </c>
      <c r="K112">
        <v>1.06</v>
      </c>
      <c r="L112" t="s">
        <v>198</v>
      </c>
      <c r="M112">
        <v>5361</v>
      </c>
      <c r="R112">
        <v>11</v>
      </c>
      <c r="S112" t="s">
        <v>307</v>
      </c>
      <c r="T112" t="s">
        <v>202</v>
      </c>
      <c r="U112" t="s">
        <v>198</v>
      </c>
      <c r="V112" t="s">
        <v>198</v>
      </c>
      <c r="W112" t="s">
        <v>198</v>
      </c>
      <c r="X112" t="s">
        <v>198</v>
      </c>
      <c r="Y112" t="s">
        <v>198</v>
      </c>
      <c r="Z112" t="s">
        <v>198</v>
      </c>
      <c r="AA112" t="s">
        <v>198</v>
      </c>
      <c r="AB112" t="s">
        <v>198</v>
      </c>
      <c r="AC112" t="s">
        <v>198</v>
      </c>
      <c r="AD112" s="154" t="s">
        <v>198</v>
      </c>
    </row>
    <row r="113" spans="1:30" x14ac:dyDescent="0.3">
      <c r="A113" s="153">
        <v>13</v>
      </c>
      <c r="B113" t="s">
        <v>309</v>
      </c>
      <c r="C113" t="s">
        <v>202</v>
      </c>
      <c r="D113">
        <v>13.5</v>
      </c>
      <c r="E113">
        <v>6.9408000000000003</v>
      </c>
      <c r="F113">
        <v>99.27</v>
      </c>
      <c r="G113">
        <v>86.792000000000002</v>
      </c>
      <c r="H113">
        <v>179.15</v>
      </c>
      <c r="I113" t="s">
        <v>295</v>
      </c>
      <c r="J113">
        <v>0.439</v>
      </c>
      <c r="K113">
        <v>1.02</v>
      </c>
      <c r="L113" t="s">
        <v>198</v>
      </c>
      <c r="M113">
        <v>5229</v>
      </c>
      <c r="R113">
        <v>12</v>
      </c>
      <c r="S113" t="s">
        <v>308</v>
      </c>
      <c r="T113" t="s">
        <v>202</v>
      </c>
      <c r="U113" t="s">
        <v>198</v>
      </c>
      <c r="V113" t="s">
        <v>198</v>
      </c>
      <c r="W113" t="s">
        <v>198</v>
      </c>
      <c r="X113" t="s">
        <v>198</v>
      </c>
      <c r="Y113" t="s">
        <v>198</v>
      </c>
      <c r="Z113" t="s">
        <v>198</v>
      </c>
      <c r="AA113" t="s">
        <v>198</v>
      </c>
      <c r="AB113" t="s">
        <v>198</v>
      </c>
      <c r="AC113" t="s">
        <v>198</v>
      </c>
      <c r="AD113" s="154" t="s">
        <v>198</v>
      </c>
    </row>
    <row r="114" spans="1:30" x14ac:dyDescent="0.3">
      <c r="A114" s="153">
        <v>14</v>
      </c>
      <c r="B114" t="s">
        <v>310</v>
      </c>
      <c r="C114" t="s">
        <v>202</v>
      </c>
      <c r="D114">
        <v>13.5</v>
      </c>
      <c r="E114">
        <v>6.8832000000000004</v>
      </c>
      <c r="F114">
        <v>99.35</v>
      </c>
      <c r="G114">
        <v>86.0715</v>
      </c>
      <c r="H114">
        <v>177.69</v>
      </c>
      <c r="I114" t="s">
        <v>295</v>
      </c>
      <c r="J114">
        <v>0.44</v>
      </c>
      <c r="K114">
        <v>1.02</v>
      </c>
      <c r="L114" t="s">
        <v>198</v>
      </c>
      <c r="M114">
        <v>5223</v>
      </c>
      <c r="R114">
        <v>13</v>
      </c>
      <c r="S114" t="s">
        <v>309</v>
      </c>
      <c r="T114" t="s">
        <v>202</v>
      </c>
      <c r="U114" t="s">
        <v>198</v>
      </c>
      <c r="V114" t="s">
        <v>198</v>
      </c>
      <c r="W114" t="s">
        <v>198</v>
      </c>
      <c r="X114" t="s">
        <v>198</v>
      </c>
      <c r="Y114" t="s">
        <v>198</v>
      </c>
      <c r="Z114" t="s">
        <v>198</v>
      </c>
      <c r="AA114" t="s">
        <v>198</v>
      </c>
      <c r="AB114" t="s">
        <v>198</v>
      </c>
      <c r="AC114" t="s">
        <v>198</v>
      </c>
      <c r="AD114" s="154" t="s">
        <v>198</v>
      </c>
    </row>
    <row r="115" spans="1:30" x14ac:dyDescent="0.3">
      <c r="A115" s="153">
        <v>15</v>
      </c>
      <c r="B115" t="s">
        <v>311</v>
      </c>
      <c r="C115" t="s">
        <v>202</v>
      </c>
      <c r="D115">
        <v>13.5</v>
      </c>
      <c r="E115">
        <v>6.9188999999999998</v>
      </c>
      <c r="F115">
        <v>99.31</v>
      </c>
      <c r="G115">
        <v>86.518199999999993</v>
      </c>
      <c r="H115">
        <v>176.12</v>
      </c>
      <c r="I115" t="s">
        <v>295</v>
      </c>
      <c r="J115">
        <v>0.44700000000000001</v>
      </c>
      <c r="K115">
        <v>1.02</v>
      </c>
      <c r="L115" t="s">
        <v>198</v>
      </c>
      <c r="M115">
        <v>5055</v>
      </c>
      <c r="R115">
        <v>14</v>
      </c>
      <c r="S115" t="s">
        <v>310</v>
      </c>
      <c r="T115" t="s">
        <v>202</v>
      </c>
      <c r="U115" t="s">
        <v>198</v>
      </c>
      <c r="V115" t="s">
        <v>198</v>
      </c>
      <c r="W115" t="s">
        <v>198</v>
      </c>
      <c r="X115" t="s">
        <v>198</v>
      </c>
      <c r="Y115" t="s">
        <v>198</v>
      </c>
      <c r="Z115" t="s">
        <v>198</v>
      </c>
      <c r="AA115" t="s">
        <v>198</v>
      </c>
      <c r="AB115" t="s">
        <v>198</v>
      </c>
      <c r="AC115" t="s">
        <v>198</v>
      </c>
      <c r="AD115" s="154" t="s">
        <v>198</v>
      </c>
    </row>
    <row r="116" spans="1:30" x14ac:dyDescent="0.3">
      <c r="A116" s="153">
        <v>16</v>
      </c>
      <c r="B116" t="s">
        <v>312</v>
      </c>
      <c r="C116" t="s">
        <v>202</v>
      </c>
      <c r="D116">
        <v>13.5</v>
      </c>
      <c r="E116">
        <v>6.9085999999999999</v>
      </c>
      <c r="F116">
        <v>100</v>
      </c>
      <c r="G116">
        <v>43.194400000000002</v>
      </c>
      <c r="H116">
        <v>91.49</v>
      </c>
      <c r="I116" t="s">
        <v>236</v>
      </c>
      <c r="J116">
        <v>0.436</v>
      </c>
      <c r="K116">
        <v>1.04</v>
      </c>
      <c r="L116" t="s">
        <v>198</v>
      </c>
      <c r="M116">
        <v>5323</v>
      </c>
      <c r="R116">
        <v>15</v>
      </c>
      <c r="S116" t="s">
        <v>311</v>
      </c>
      <c r="T116" t="s">
        <v>202</v>
      </c>
      <c r="U116" t="s">
        <v>198</v>
      </c>
      <c r="V116" t="s">
        <v>198</v>
      </c>
      <c r="W116" t="s">
        <v>198</v>
      </c>
      <c r="X116" t="s">
        <v>198</v>
      </c>
      <c r="Y116" t="s">
        <v>198</v>
      </c>
      <c r="Z116" t="s">
        <v>198</v>
      </c>
      <c r="AA116" t="s">
        <v>198</v>
      </c>
      <c r="AB116" t="s">
        <v>198</v>
      </c>
      <c r="AC116" t="s">
        <v>198</v>
      </c>
      <c r="AD116" s="154" t="s">
        <v>198</v>
      </c>
    </row>
    <row r="117" spans="1:30" x14ac:dyDescent="0.3">
      <c r="A117" s="153">
        <v>17</v>
      </c>
      <c r="B117" t="s">
        <v>313</v>
      </c>
      <c r="C117" t="s">
        <v>202</v>
      </c>
      <c r="D117">
        <v>13.5</v>
      </c>
      <c r="E117">
        <v>6.9854000000000003</v>
      </c>
      <c r="F117">
        <v>100</v>
      </c>
      <c r="G117">
        <v>43.674599999999998</v>
      </c>
      <c r="H117">
        <v>92.32</v>
      </c>
      <c r="I117" t="s">
        <v>236</v>
      </c>
      <c r="J117">
        <v>0.435</v>
      </c>
      <c r="K117">
        <v>1.05</v>
      </c>
      <c r="L117" t="s">
        <v>198</v>
      </c>
      <c r="M117">
        <v>5334</v>
      </c>
      <c r="R117">
        <v>16</v>
      </c>
      <c r="S117" t="s">
        <v>312</v>
      </c>
      <c r="T117" t="s">
        <v>202</v>
      </c>
      <c r="U117" t="s">
        <v>198</v>
      </c>
      <c r="V117" t="s">
        <v>198</v>
      </c>
      <c r="W117" t="s">
        <v>198</v>
      </c>
      <c r="X117" t="s">
        <v>198</v>
      </c>
      <c r="Y117" t="s">
        <v>198</v>
      </c>
      <c r="Z117" t="s">
        <v>198</v>
      </c>
      <c r="AA117" t="s">
        <v>198</v>
      </c>
      <c r="AB117" t="s">
        <v>198</v>
      </c>
      <c r="AC117" t="s">
        <v>198</v>
      </c>
      <c r="AD117" s="154" t="s">
        <v>198</v>
      </c>
    </row>
    <row r="118" spans="1:30" x14ac:dyDescent="0.3">
      <c r="A118" s="153">
        <v>18</v>
      </c>
      <c r="B118" t="s">
        <v>314</v>
      </c>
      <c r="C118" t="s">
        <v>202</v>
      </c>
      <c r="D118">
        <v>13.5</v>
      </c>
      <c r="E118">
        <v>6.9798</v>
      </c>
      <c r="F118">
        <v>100</v>
      </c>
      <c r="G118">
        <v>43.639299999999999</v>
      </c>
      <c r="H118">
        <v>92.57</v>
      </c>
      <c r="I118" t="s">
        <v>236</v>
      </c>
      <c r="J118">
        <v>0.435</v>
      </c>
      <c r="K118">
        <v>1.05</v>
      </c>
      <c r="L118" t="s">
        <v>198</v>
      </c>
      <c r="M118">
        <v>5338</v>
      </c>
      <c r="R118">
        <v>17</v>
      </c>
      <c r="S118" t="s">
        <v>313</v>
      </c>
      <c r="T118" t="s">
        <v>202</v>
      </c>
      <c r="U118" t="s">
        <v>198</v>
      </c>
      <c r="V118" t="s">
        <v>198</v>
      </c>
      <c r="W118" t="s">
        <v>198</v>
      </c>
      <c r="X118" t="s">
        <v>198</v>
      </c>
      <c r="Y118" t="s">
        <v>198</v>
      </c>
      <c r="Z118" t="s">
        <v>198</v>
      </c>
      <c r="AA118" t="s">
        <v>198</v>
      </c>
      <c r="AB118" t="s">
        <v>198</v>
      </c>
      <c r="AC118" t="s">
        <v>198</v>
      </c>
      <c r="AD118" s="154" t="s">
        <v>198</v>
      </c>
    </row>
    <row r="119" spans="1:30" x14ac:dyDescent="0.3">
      <c r="A119" s="153">
        <v>19</v>
      </c>
      <c r="B119" t="s">
        <v>315</v>
      </c>
      <c r="C119" t="s">
        <v>202</v>
      </c>
      <c r="D119">
        <v>13.5</v>
      </c>
      <c r="E119">
        <v>9.7995999999999999</v>
      </c>
      <c r="F119">
        <v>99.21</v>
      </c>
      <c r="G119">
        <v>61.269399999999997</v>
      </c>
      <c r="H119">
        <v>127.23</v>
      </c>
      <c r="I119" t="s">
        <v>295</v>
      </c>
      <c r="J119">
        <v>0.437</v>
      </c>
      <c r="K119">
        <v>1.01</v>
      </c>
      <c r="L119" t="s">
        <v>198</v>
      </c>
      <c r="M119">
        <v>5289</v>
      </c>
      <c r="R119">
        <v>18</v>
      </c>
      <c r="S119" t="s">
        <v>314</v>
      </c>
      <c r="T119" t="s">
        <v>202</v>
      </c>
      <c r="U119" t="s">
        <v>198</v>
      </c>
      <c r="V119" t="s">
        <v>198</v>
      </c>
      <c r="W119" t="s">
        <v>198</v>
      </c>
      <c r="X119" t="s">
        <v>198</v>
      </c>
      <c r="Y119" t="s">
        <v>198</v>
      </c>
      <c r="Z119" t="s">
        <v>198</v>
      </c>
      <c r="AA119" t="s">
        <v>198</v>
      </c>
      <c r="AB119" t="s">
        <v>198</v>
      </c>
      <c r="AC119" t="s">
        <v>198</v>
      </c>
      <c r="AD119" s="154" t="s">
        <v>198</v>
      </c>
    </row>
    <row r="120" spans="1:30" x14ac:dyDescent="0.3">
      <c r="A120" s="153">
        <v>20</v>
      </c>
      <c r="B120" t="s">
        <v>316</v>
      </c>
      <c r="C120" t="s">
        <v>202</v>
      </c>
      <c r="D120">
        <v>13.5</v>
      </c>
      <c r="E120">
        <v>9.9854000000000003</v>
      </c>
      <c r="F120">
        <v>99.22</v>
      </c>
      <c r="G120">
        <v>62.431399999999996</v>
      </c>
      <c r="H120">
        <v>130.16999999999999</v>
      </c>
      <c r="I120" t="s">
        <v>295</v>
      </c>
      <c r="J120">
        <v>0.435</v>
      </c>
      <c r="K120">
        <v>1.01</v>
      </c>
      <c r="L120" t="s">
        <v>198</v>
      </c>
      <c r="M120">
        <v>5341</v>
      </c>
      <c r="R120">
        <v>19</v>
      </c>
      <c r="S120" t="s">
        <v>315</v>
      </c>
      <c r="T120" t="s">
        <v>202</v>
      </c>
      <c r="U120" t="s">
        <v>198</v>
      </c>
      <c r="V120" t="s">
        <v>198</v>
      </c>
      <c r="W120" t="s">
        <v>198</v>
      </c>
      <c r="X120" t="s">
        <v>198</v>
      </c>
      <c r="Y120" t="s">
        <v>198</v>
      </c>
      <c r="Z120" t="s">
        <v>198</v>
      </c>
      <c r="AA120" t="s">
        <v>198</v>
      </c>
      <c r="AB120" t="s">
        <v>198</v>
      </c>
      <c r="AC120" t="s">
        <v>198</v>
      </c>
      <c r="AD120" s="154" t="s">
        <v>198</v>
      </c>
    </row>
    <row r="121" spans="1:30" x14ac:dyDescent="0.3">
      <c r="A121" s="153">
        <v>21</v>
      </c>
      <c r="B121" t="s">
        <v>317</v>
      </c>
      <c r="C121" t="s">
        <v>202</v>
      </c>
      <c r="D121">
        <v>13.5</v>
      </c>
      <c r="E121">
        <v>9.9705999999999992</v>
      </c>
      <c r="F121">
        <v>99.19</v>
      </c>
      <c r="G121">
        <v>62.338700000000003</v>
      </c>
      <c r="H121">
        <v>130.05000000000001</v>
      </c>
      <c r="I121" t="s">
        <v>295</v>
      </c>
      <c r="J121">
        <v>0.435</v>
      </c>
      <c r="K121">
        <v>1.01</v>
      </c>
      <c r="L121" t="s">
        <v>198</v>
      </c>
      <c r="M121">
        <v>5337</v>
      </c>
      <c r="R121">
        <v>20</v>
      </c>
      <c r="S121" t="s">
        <v>316</v>
      </c>
      <c r="T121" t="s">
        <v>202</v>
      </c>
      <c r="U121" t="s">
        <v>198</v>
      </c>
      <c r="V121" t="s">
        <v>198</v>
      </c>
      <c r="W121" t="s">
        <v>198</v>
      </c>
      <c r="X121" t="s">
        <v>198</v>
      </c>
      <c r="Y121" t="s">
        <v>198</v>
      </c>
      <c r="Z121" t="s">
        <v>198</v>
      </c>
      <c r="AA121" t="s">
        <v>198</v>
      </c>
      <c r="AB121" t="s">
        <v>198</v>
      </c>
      <c r="AC121" t="s">
        <v>198</v>
      </c>
      <c r="AD121" s="154" t="s">
        <v>198</v>
      </c>
    </row>
    <row r="122" spans="1:30" x14ac:dyDescent="0.3">
      <c r="A122" s="153">
        <v>22</v>
      </c>
      <c r="B122" t="s">
        <v>318</v>
      </c>
      <c r="C122" t="s">
        <v>202</v>
      </c>
      <c r="D122">
        <v>13.5</v>
      </c>
      <c r="E122">
        <v>8.8545999999999996</v>
      </c>
      <c r="F122">
        <v>100</v>
      </c>
      <c r="G122">
        <v>55.361199999999997</v>
      </c>
      <c r="H122">
        <v>117.61</v>
      </c>
      <c r="I122" t="s">
        <v>236</v>
      </c>
      <c r="J122">
        <v>0.434</v>
      </c>
      <c r="K122">
        <v>1.05</v>
      </c>
      <c r="L122" t="s">
        <v>198</v>
      </c>
      <c r="M122">
        <v>5361</v>
      </c>
      <c r="R122">
        <v>21</v>
      </c>
      <c r="S122" t="s">
        <v>317</v>
      </c>
      <c r="T122" t="s">
        <v>202</v>
      </c>
      <c r="U122" t="s">
        <v>198</v>
      </c>
      <c r="V122" t="s">
        <v>198</v>
      </c>
      <c r="W122" t="s">
        <v>198</v>
      </c>
      <c r="X122" t="s">
        <v>198</v>
      </c>
      <c r="Y122" t="s">
        <v>198</v>
      </c>
      <c r="Z122" t="s">
        <v>198</v>
      </c>
      <c r="AA122" t="s">
        <v>198</v>
      </c>
      <c r="AB122" t="s">
        <v>198</v>
      </c>
      <c r="AC122" t="s">
        <v>198</v>
      </c>
      <c r="AD122" s="154" t="s">
        <v>198</v>
      </c>
    </row>
    <row r="123" spans="1:30" x14ac:dyDescent="0.3">
      <c r="A123" s="153">
        <v>23</v>
      </c>
      <c r="B123" t="s">
        <v>319</v>
      </c>
      <c r="C123" t="s">
        <v>202</v>
      </c>
      <c r="D123">
        <v>13.5</v>
      </c>
      <c r="E123">
        <v>8.8796999999999997</v>
      </c>
      <c r="F123">
        <v>100</v>
      </c>
      <c r="G123">
        <v>55.517899999999997</v>
      </c>
      <c r="H123">
        <v>117.94</v>
      </c>
      <c r="I123" t="s">
        <v>236</v>
      </c>
      <c r="J123">
        <v>0.435</v>
      </c>
      <c r="K123">
        <v>1.04</v>
      </c>
      <c r="L123" t="s">
        <v>198</v>
      </c>
      <c r="M123">
        <v>5336</v>
      </c>
      <c r="R123">
        <v>22</v>
      </c>
      <c r="S123" t="s">
        <v>318</v>
      </c>
      <c r="T123" t="s">
        <v>202</v>
      </c>
      <c r="U123" t="s">
        <v>198</v>
      </c>
      <c r="V123" t="s">
        <v>198</v>
      </c>
      <c r="W123" t="s">
        <v>198</v>
      </c>
      <c r="X123" t="s">
        <v>198</v>
      </c>
      <c r="Y123" t="s">
        <v>198</v>
      </c>
      <c r="Z123" t="s">
        <v>198</v>
      </c>
      <c r="AA123" t="s">
        <v>198</v>
      </c>
      <c r="AB123" t="s">
        <v>198</v>
      </c>
      <c r="AC123" t="s">
        <v>198</v>
      </c>
      <c r="AD123" s="154" t="s">
        <v>198</v>
      </c>
    </row>
    <row r="124" spans="1:30" x14ac:dyDescent="0.3">
      <c r="A124" s="153">
        <v>24</v>
      </c>
      <c r="B124" t="s">
        <v>320</v>
      </c>
      <c r="C124" t="s">
        <v>202</v>
      </c>
      <c r="D124">
        <v>13.5</v>
      </c>
      <c r="E124">
        <v>8.8804999999999996</v>
      </c>
      <c r="F124">
        <v>100</v>
      </c>
      <c r="G124">
        <v>55.523499999999999</v>
      </c>
      <c r="H124">
        <v>117.92</v>
      </c>
      <c r="I124" t="s">
        <v>236</v>
      </c>
      <c r="J124">
        <v>0.435</v>
      </c>
      <c r="K124">
        <v>1.05</v>
      </c>
      <c r="L124" t="s">
        <v>198</v>
      </c>
      <c r="M124">
        <v>5348</v>
      </c>
      <c r="R124">
        <v>23</v>
      </c>
      <c r="S124" t="s">
        <v>319</v>
      </c>
      <c r="T124" t="s">
        <v>202</v>
      </c>
      <c r="U124" t="s">
        <v>198</v>
      </c>
      <c r="V124" t="s">
        <v>198</v>
      </c>
      <c r="W124" t="s">
        <v>198</v>
      </c>
      <c r="X124" t="s">
        <v>198</v>
      </c>
      <c r="Y124" t="s">
        <v>198</v>
      </c>
      <c r="Z124" t="s">
        <v>198</v>
      </c>
      <c r="AA124" t="s">
        <v>198</v>
      </c>
      <c r="AB124" t="s">
        <v>198</v>
      </c>
      <c r="AC124" t="s">
        <v>198</v>
      </c>
      <c r="AD124" s="154" t="s">
        <v>198</v>
      </c>
    </row>
    <row r="125" spans="1:30" x14ac:dyDescent="0.3">
      <c r="A125" s="153">
        <v>25</v>
      </c>
      <c r="B125" t="s">
        <v>321</v>
      </c>
      <c r="C125" t="s">
        <v>202</v>
      </c>
      <c r="D125">
        <v>13.5</v>
      </c>
      <c r="E125">
        <v>12.893000000000001</v>
      </c>
      <c r="F125">
        <v>99.13</v>
      </c>
      <c r="G125">
        <v>80.610200000000006</v>
      </c>
      <c r="H125">
        <v>166.8</v>
      </c>
      <c r="I125" t="s">
        <v>295</v>
      </c>
      <c r="J125">
        <v>0.439</v>
      </c>
      <c r="K125">
        <v>1.01</v>
      </c>
      <c r="L125" t="s">
        <v>198</v>
      </c>
      <c r="M125">
        <v>5233</v>
      </c>
      <c r="R125">
        <v>24</v>
      </c>
      <c r="S125" t="s">
        <v>320</v>
      </c>
      <c r="T125" t="s">
        <v>202</v>
      </c>
      <c r="U125" t="s">
        <v>198</v>
      </c>
      <c r="V125" t="s">
        <v>198</v>
      </c>
      <c r="W125" t="s">
        <v>198</v>
      </c>
      <c r="X125" t="s">
        <v>198</v>
      </c>
      <c r="Y125" t="s">
        <v>198</v>
      </c>
      <c r="Z125" t="s">
        <v>198</v>
      </c>
      <c r="AA125" t="s">
        <v>198</v>
      </c>
      <c r="AB125" t="s">
        <v>198</v>
      </c>
      <c r="AC125" t="s">
        <v>198</v>
      </c>
      <c r="AD125" s="154" t="s">
        <v>198</v>
      </c>
    </row>
    <row r="126" spans="1:30" x14ac:dyDescent="0.3">
      <c r="A126" s="153">
        <v>26</v>
      </c>
      <c r="B126" t="s">
        <v>322</v>
      </c>
      <c r="C126" t="s">
        <v>202</v>
      </c>
      <c r="D126">
        <v>13.5</v>
      </c>
      <c r="E126">
        <v>12.823700000000001</v>
      </c>
      <c r="F126">
        <v>99.17</v>
      </c>
      <c r="G126">
        <v>80.177400000000006</v>
      </c>
      <c r="H126">
        <v>165.91</v>
      </c>
      <c r="I126" t="s">
        <v>295</v>
      </c>
      <c r="J126">
        <v>0.44</v>
      </c>
      <c r="K126">
        <v>1.01</v>
      </c>
      <c r="L126" t="s">
        <v>198</v>
      </c>
      <c r="M126">
        <v>5216</v>
      </c>
      <c r="R126">
        <v>25</v>
      </c>
      <c r="S126" t="s">
        <v>321</v>
      </c>
      <c r="T126" t="s">
        <v>202</v>
      </c>
      <c r="U126" t="s">
        <v>198</v>
      </c>
      <c r="V126" t="s">
        <v>198</v>
      </c>
      <c r="W126" t="s">
        <v>198</v>
      </c>
      <c r="X126" t="s">
        <v>198</v>
      </c>
      <c r="Y126" t="s">
        <v>198</v>
      </c>
      <c r="Z126" t="s">
        <v>198</v>
      </c>
      <c r="AA126" t="s">
        <v>198</v>
      </c>
      <c r="AB126" t="s">
        <v>198</v>
      </c>
      <c r="AC126" t="s">
        <v>198</v>
      </c>
      <c r="AD126" s="154" t="s">
        <v>198</v>
      </c>
    </row>
    <row r="127" spans="1:30" x14ac:dyDescent="0.3">
      <c r="A127" s="153">
        <v>27</v>
      </c>
      <c r="B127" t="s">
        <v>323</v>
      </c>
      <c r="C127" t="s">
        <v>202</v>
      </c>
      <c r="D127">
        <v>13.5</v>
      </c>
      <c r="E127">
        <v>12.9062</v>
      </c>
      <c r="F127">
        <v>99.08</v>
      </c>
      <c r="G127">
        <v>80.692700000000002</v>
      </c>
      <c r="H127">
        <v>166.1</v>
      </c>
      <c r="I127" t="s">
        <v>295</v>
      </c>
      <c r="J127">
        <v>0.442</v>
      </c>
      <c r="K127">
        <v>1.01</v>
      </c>
      <c r="L127" t="s">
        <v>198</v>
      </c>
      <c r="M127">
        <v>5174</v>
      </c>
      <c r="R127">
        <v>26</v>
      </c>
      <c r="S127" t="s">
        <v>322</v>
      </c>
      <c r="T127" t="s">
        <v>202</v>
      </c>
      <c r="U127" t="s">
        <v>198</v>
      </c>
      <c r="V127" t="s">
        <v>198</v>
      </c>
      <c r="W127" t="s">
        <v>198</v>
      </c>
      <c r="X127" t="s">
        <v>198</v>
      </c>
      <c r="Y127" t="s">
        <v>198</v>
      </c>
      <c r="Z127" t="s">
        <v>198</v>
      </c>
      <c r="AA127" t="s">
        <v>198</v>
      </c>
      <c r="AB127" t="s">
        <v>198</v>
      </c>
      <c r="AC127" t="s">
        <v>198</v>
      </c>
      <c r="AD127" s="154" t="s">
        <v>198</v>
      </c>
    </row>
    <row r="128" spans="1:30" x14ac:dyDescent="0.3">
      <c r="A128" s="153">
        <v>29</v>
      </c>
      <c r="B128" t="s">
        <v>299</v>
      </c>
      <c r="C128" t="s">
        <v>197</v>
      </c>
      <c r="D128">
        <v>13.5</v>
      </c>
      <c r="E128">
        <v>4.9794999999999998</v>
      </c>
      <c r="F128">
        <v>100</v>
      </c>
      <c r="G128">
        <v>62.2669</v>
      </c>
      <c r="H128">
        <v>126.41</v>
      </c>
      <c r="I128" t="s">
        <v>236</v>
      </c>
      <c r="J128">
        <v>0.46100000000000002</v>
      </c>
      <c r="K128">
        <v>1.06</v>
      </c>
      <c r="L128" t="s">
        <v>198</v>
      </c>
      <c r="M128">
        <v>4746</v>
      </c>
      <c r="R128">
        <v>27</v>
      </c>
      <c r="S128" t="s">
        <v>323</v>
      </c>
      <c r="T128" t="s">
        <v>202</v>
      </c>
      <c r="U128" t="s">
        <v>198</v>
      </c>
      <c r="V128" t="s">
        <v>198</v>
      </c>
      <c r="W128" t="s">
        <v>198</v>
      </c>
      <c r="X128" t="s">
        <v>198</v>
      </c>
      <c r="Y128" t="s">
        <v>198</v>
      </c>
      <c r="Z128" t="s">
        <v>198</v>
      </c>
      <c r="AA128" t="s">
        <v>198</v>
      </c>
      <c r="AB128" t="s">
        <v>198</v>
      </c>
      <c r="AC128" t="s">
        <v>198</v>
      </c>
      <c r="AD128" s="154" t="s">
        <v>198</v>
      </c>
    </row>
    <row r="129" spans="1:39" x14ac:dyDescent="0.3">
      <c r="A129" s="153">
        <v>30</v>
      </c>
      <c r="B129" t="s">
        <v>324</v>
      </c>
      <c r="C129" t="s">
        <v>202</v>
      </c>
      <c r="D129">
        <v>13.5</v>
      </c>
      <c r="E129">
        <v>11.048299999999999</v>
      </c>
      <c r="F129">
        <v>100</v>
      </c>
      <c r="G129">
        <v>69.076800000000006</v>
      </c>
      <c r="H129">
        <v>143.63999999999999</v>
      </c>
      <c r="I129" t="s">
        <v>236</v>
      </c>
      <c r="J129">
        <v>0.44700000000000001</v>
      </c>
      <c r="K129">
        <v>1.04</v>
      </c>
      <c r="L129" t="s">
        <v>198</v>
      </c>
      <c r="M129">
        <v>5044</v>
      </c>
      <c r="R129">
        <v>28</v>
      </c>
      <c r="S129" t="s">
        <v>196</v>
      </c>
      <c r="T129" t="s">
        <v>197</v>
      </c>
      <c r="U129">
        <v>18.100000000000001</v>
      </c>
      <c r="V129">
        <v>8.2790999999999997</v>
      </c>
      <c r="W129">
        <v>100</v>
      </c>
      <c r="X129">
        <v>11.4559</v>
      </c>
      <c r="Y129">
        <v>20.8</v>
      </c>
      <c r="Z129" t="s">
        <v>236</v>
      </c>
      <c r="AA129">
        <v>0.51400000000000001</v>
      </c>
      <c r="AB129">
        <v>1.03</v>
      </c>
      <c r="AC129" t="s">
        <v>198</v>
      </c>
      <c r="AD129" s="154">
        <v>6875</v>
      </c>
    </row>
    <row r="130" spans="1:39" x14ac:dyDescent="0.3">
      <c r="A130" s="153">
        <v>31</v>
      </c>
      <c r="B130" t="s">
        <v>325</v>
      </c>
      <c r="C130" t="s">
        <v>202</v>
      </c>
      <c r="D130">
        <v>13.5</v>
      </c>
      <c r="E130">
        <v>11.013400000000001</v>
      </c>
      <c r="F130">
        <v>100</v>
      </c>
      <c r="G130">
        <v>68.858999999999995</v>
      </c>
      <c r="H130">
        <v>143.22</v>
      </c>
      <c r="I130" t="s">
        <v>236</v>
      </c>
      <c r="J130">
        <v>0.44800000000000001</v>
      </c>
      <c r="K130">
        <v>1.04</v>
      </c>
      <c r="L130" t="s">
        <v>198</v>
      </c>
      <c r="M130">
        <v>5026</v>
      </c>
      <c r="R130">
        <v>30</v>
      </c>
      <c r="S130" t="s">
        <v>324</v>
      </c>
      <c r="T130" t="s">
        <v>202</v>
      </c>
      <c r="U130" t="s">
        <v>198</v>
      </c>
      <c r="V130" t="s">
        <v>198</v>
      </c>
      <c r="W130" t="s">
        <v>198</v>
      </c>
      <c r="X130" t="s">
        <v>198</v>
      </c>
      <c r="Y130" t="s">
        <v>198</v>
      </c>
      <c r="Z130" t="s">
        <v>198</v>
      </c>
      <c r="AA130" t="s">
        <v>198</v>
      </c>
      <c r="AB130" t="s">
        <v>198</v>
      </c>
      <c r="AC130" t="s">
        <v>198</v>
      </c>
      <c r="AD130" s="154" t="s">
        <v>198</v>
      </c>
    </row>
    <row r="131" spans="1:39" x14ac:dyDescent="0.3">
      <c r="A131" s="153">
        <v>32</v>
      </c>
      <c r="B131" t="s">
        <v>326</v>
      </c>
      <c r="C131" t="s">
        <v>202</v>
      </c>
      <c r="D131">
        <v>13.5</v>
      </c>
      <c r="E131">
        <v>10.907999999999999</v>
      </c>
      <c r="F131">
        <v>100</v>
      </c>
      <c r="G131">
        <v>68.1999</v>
      </c>
      <c r="H131">
        <v>141.84</v>
      </c>
      <c r="I131" t="s">
        <v>236</v>
      </c>
      <c r="J131">
        <v>0.44800000000000001</v>
      </c>
      <c r="K131">
        <v>1.04</v>
      </c>
      <c r="L131" t="s">
        <v>198</v>
      </c>
      <c r="M131">
        <v>5039</v>
      </c>
      <c r="R131">
        <v>31</v>
      </c>
      <c r="S131" t="s">
        <v>325</v>
      </c>
      <c r="T131" t="s">
        <v>202</v>
      </c>
      <c r="U131" t="s">
        <v>198</v>
      </c>
      <c r="V131" t="s">
        <v>198</v>
      </c>
      <c r="W131" t="s">
        <v>198</v>
      </c>
      <c r="X131" t="s">
        <v>198</v>
      </c>
      <c r="Y131" t="s">
        <v>198</v>
      </c>
      <c r="Z131" t="s">
        <v>198</v>
      </c>
      <c r="AA131" t="s">
        <v>198</v>
      </c>
      <c r="AB131" t="s">
        <v>198</v>
      </c>
      <c r="AC131" t="s">
        <v>198</v>
      </c>
      <c r="AD131" s="154" t="s">
        <v>198</v>
      </c>
    </row>
    <row r="132" spans="1:39" x14ac:dyDescent="0.3">
      <c r="A132" s="153">
        <v>33</v>
      </c>
      <c r="B132" t="s">
        <v>327</v>
      </c>
      <c r="C132" t="s">
        <v>202</v>
      </c>
      <c r="D132">
        <v>13.5</v>
      </c>
      <c r="E132">
        <v>16.344999999999999</v>
      </c>
      <c r="F132">
        <v>99.11</v>
      </c>
      <c r="G132">
        <v>102.1935</v>
      </c>
      <c r="H132">
        <v>207.16</v>
      </c>
      <c r="I132" t="s">
        <v>295</v>
      </c>
      <c r="J132">
        <v>0.45200000000000001</v>
      </c>
      <c r="K132">
        <v>1.01</v>
      </c>
      <c r="L132" t="s">
        <v>198</v>
      </c>
      <c r="M132">
        <v>4952</v>
      </c>
      <c r="R132">
        <v>32</v>
      </c>
      <c r="S132" t="s">
        <v>326</v>
      </c>
      <c r="T132" t="s">
        <v>202</v>
      </c>
      <c r="U132" t="s">
        <v>198</v>
      </c>
      <c r="V132" t="s">
        <v>198</v>
      </c>
      <c r="W132" t="s">
        <v>198</v>
      </c>
      <c r="X132" t="s">
        <v>198</v>
      </c>
      <c r="Y132" t="s">
        <v>198</v>
      </c>
      <c r="Z132" t="s">
        <v>198</v>
      </c>
      <c r="AA132" t="s">
        <v>198</v>
      </c>
      <c r="AB132" t="s">
        <v>198</v>
      </c>
      <c r="AC132" t="s">
        <v>198</v>
      </c>
      <c r="AD132" s="154" t="s">
        <v>198</v>
      </c>
    </row>
    <row r="133" spans="1:39" x14ac:dyDescent="0.3">
      <c r="A133" s="153">
        <v>34</v>
      </c>
      <c r="B133" t="s">
        <v>328</v>
      </c>
      <c r="C133" t="s">
        <v>202</v>
      </c>
      <c r="D133">
        <v>13.5</v>
      </c>
      <c r="E133">
        <v>16.243099999999998</v>
      </c>
      <c r="F133">
        <v>99.04</v>
      </c>
      <c r="G133">
        <v>101.5564</v>
      </c>
      <c r="H133">
        <v>204.98</v>
      </c>
      <c r="I133" t="s">
        <v>295</v>
      </c>
      <c r="J133">
        <v>0.45400000000000001</v>
      </c>
      <c r="K133">
        <v>1.01</v>
      </c>
      <c r="L133" t="s">
        <v>198</v>
      </c>
      <c r="M133">
        <v>4896</v>
      </c>
      <c r="R133">
        <v>33</v>
      </c>
      <c r="S133" t="s">
        <v>327</v>
      </c>
      <c r="T133" t="s">
        <v>202</v>
      </c>
      <c r="U133" t="s">
        <v>198</v>
      </c>
      <c r="V133" t="s">
        <v>198</v>
      </c>
      <c r="W133" t="s">
        <v>198</v>
      </c>
      <c r="X133" t="s">
        <v>198</v>
      </c>
      <c r="Y133" t="s">
        <v>198</v>
      </c>
      <c r="Z133" t="s">
        <v>198</v>
      </c>
      <c r="AA133" t="s">
        <v>198</v>
      </c>
      <c r="AB133" t="s">
        <v>198</v>
      </c>
      <c r="AC133" t="s">
        <v>198</v>
      </c>
      <c r="AD133" s="154" t="s">
        <v>198</v>
      </c>
    </row>
    <row r="134" spans="1:39" x14ac:dyDescent="0.3">
      <c r="A134" s="153">
        <v>35</v>
      </c>
      <c r="B134" t="s">
        <v>329</v>
      </c>
      <c r="C134" t="s">
        <v>202</v>
      </c>
      <c r="D134">
        <v>13.5</v>
      </c>
      <c r="E134">
        <v>16.142099999999999</v>
      </c>
      <c r="F134">
        <v>99.01</v>
      </c>
      <c r="G134">
        <v>100.9247</v>
      </c>
      <c r="H134">
        <v>203.53</v>
      </c>
      <c r="I134" t="s">
        <v>295</v>
      </c>
      <c r="J134">
        <v>0.45500000000000002</v>
      </c>
      <c r="K134">
        <v>1</v>
      </c>
      <c r="L134" t="s">
        <v>198</v>
      </c>
      <c r="M134">
        <v>4868</v>
      </c>
      <c r="R134">
        <v>34</v>
      </c>
      <c r="S134" t="s">
        <v>328</v>
      </c>
      <c r="T134" t="s">
        <v>202</v>
      </c>
      <c r="U134" t="s">
        <v>198</v>
      </c>
      <c r="V134" t="s">
        <v>198</v>
      </c>
      <c r="W134" t="s">
        <v>198</v>
      </c>
      <c r="X134" t="s">
        <v>198</v>
      </c>
      <c r="Y134" t="s">
        <v>198</v>
      </c>
      <c r="Z134" t="s">
        <v>198</v>
      </c>
      <c r="AA134" t="s">
        <v>198</v>
      </c>
      <c r="AB134" t="s">
        <v>198</v>
      </c>
      <c r="AC134" t="s">
        <v>198</v>
      </c>
      <c r="AD134" s="154" t="s">
        <v>198</v>
      </c>
    </row>
    <row r="135" spans="1:39" x14ac:dyDescent="0.3">
      <c r="A135" s="153">
        <v>36</v>
      </c>
      <c r="B135" t="s">
        <v>330</v>
      </c>
      <c r="C135" t="s">
        <v>202</v>
      </c>
      <c r="D135">
        <v>13.5</v>
      </c>
      <c r="E135">
        <v>14.6488</v>
      </c>
      <c r="F135">
        <v>100</v>
      </c>
      <c r="G135">
        <v>45.793999999999997</v>
      </c>
      <c r="H135">
        <v>96.76</v>
      </c>
      <c r="I135" t="s">
        <v>236</v>
      </c>
      <c r="J135">
        <v>0.438</v>
      </c>
      <c r="K135">
        <v>1.02</v>
      </c>
      <c r="L135" t="s">
        <v>198</v>
      </c>
      <c r="M135">
        <v>5264</v>
      </c>
      <c r="R135">
        <v>35</v>
      </c>
      <c r="S135" t="s">
        <v>329</v>
      </c>
      <c r="T135" t="s">
        <v>202</v>
      </c>
      <c r="U135" t="s">
        <v>198</v>
      </c>
      <c r="V135" t="s">
        <v>198</v>
      </c>
      <c r="W135" t="s">
        <v>198</v>
      </c>
      <c r="X135" t="s">
        <v>198</v>
      </c>
      <c r="Y135" t="s">
        <v>198</v>
      </c>
      <c r="Z135" t="s">
        <v>198</v>
      </c>
      <c r="AA135" t="s">
        <v>198</v>
      </c>
      <c r="AB135" t="s">
        <v>198</v>
      </c>
      <c r="AC135" t="s">
        <v>198</v>
      </c>
      <c r="AD135" s="154" t="s">
        <v>198</v>
      </c>
    </row>
    <row r="136" spans="1:39" x14ac:dyDescent="0.3">
      <c r="A136" s="153">
        <v>37</v>
      </c>
      <c r="B136" t="s">
        <v>331</v>
      </c>
      <c r="C136" t="s">
        <v>202</v>
      </c>
      <c r="D136">
        <v>13.5</v>
      </c>
      <c r="E136">
        <v>15.028499999999999</v>
      </c>
      <c r="F136">
        <v>100</v>
      </c>
      <c r="G136">
        <v>46.981200000000001</v>
      </c>
      <c r="H136">
        <v>99.4</v>
      </c>
      <c r="I136" t="s">
        <v>236</v>
      </c>
      <c r="J136">
        <v>0.438</v>
      </c>
      <c r="K136">
        <v>1.02</v>
      </c>
      <c r="L136" t="s">
        <v>198</v>
      </c>
      <c r="M136">
        <v>5265</v>
      </c>
      <c r="R136">
        <v>36</v>
      </c>
      <c r="S136" t="s">
        <v>330</v>
      </c>
      <c r="T136" t="s">
        <v>202</v>
      </c>
      <c r="U136">
        <v>18.100000000000001</v>
      </c>
      <c r="V136">
        <v>3.8085</v>
      </c>
      <c r="W136">
        <v>5.44</v>
      </c>
      <c r="X136">
        <v>2.6349999999999998</v>
      </c>
      <c r="Y136">
        <v>4.8899999999999997</v>
      </c>
      <c r="Z136" t="s">
        <v>236</v>
      </c>
      <c r="AA136">
        <v>0.51200000000000001</v>
      </c>
      <c r="AB136">
        <v>1.03</v>
      </c>
      <c r="AC136" t="s">
        <v>198</v>
      </c>
      <c r="AD136" s="154">
        <v>6926</v>
      </c>
    </row>
    <row r="137" spans="1:39" x14ac:dyDescent="0.3">
      <c r="A137" s="153">
        <v>38</v>
      </c>
      <c r="B137" t="s">
        <v>332</v>
      </c>
      <c r="C137" t="s">
        <v>202</v>
      </c>
      <c r="D137">
        <v>13.5</v>
      </c>
      <c r="E137">
        <v>14.504899999999999</v>
      </c>
      <c r="F137">
        <v>100</v>
      </c>
      <c r="G137">
        <v>45.344200000000001</v>
      </c>
      <c r="H137">
        <v>95.63</v>
      </c>
      <c r="I137" t="s">
        <v>236</v>
      </c>
      <c r="J137">
        <v>0.44</v>
      </c>
      <c r="K137">
        <v>1.02</v>
      </c>
      <c r="L137" t="s">
        <v>198</v>
      </c>
      <c r="M137">
        <v>5213</v>
      </c>
      <c r="R137">
        <v>37</v>
      </c>
      <c r="S137" t="s">
        <v>331</v>
      </c>
      <c r="T137" t="s">
        <v>202</v>
      </c>
      <c r="U137">
        <v>18.100000000000001</v>
      </c>
      <c r="V137">
        <v>3.8885000000000001</v>
      </c>
      <c r="W137">
        <v>5.42</v>
      </c>
      <c r="X137">
        <v>2.6903000000000001</v>
      </c>
      <c r="Y137">
        <v>4.93</v>
      </c>
      <c r="Z137" t="s">
        <v>236</v>
      </c>
      <c r="AA137">
        <v>0.51700000000000002</v>
      </c>
      <c r="AB137">
        <v>1.04</v>
      </c>
      <c r="AC137" t="s">
        <v>198</v>
      </c>
      <c r="AD137" s="154">
        <v>6797</v>
      </c>
    </row>
    <row r="138" spans="1:39" x14ac:dyDescent="0.3">
      <c r="A138" s="153">
        <v>39</v>
      </c>
      <c r="B138" t="s">
        <v>333</v>
      </c>
      <c r="C138" t="s">
        <v>202</v>
      </c>
      <c r="D138">
        <v>13.5</v>
      </c>
      <c r="E138">
        <v>22.1906</v>
      </c>
      <c r="F138">
        <v>98.98</v>
      </c>
      <c r="G138">
        <v>69.370699999999999</v>
      </c>
      <c r="H138">
        <v>142.38999999999999</v>
      </c>
      <c r="I138" t="s">
        <v>295</v>
      </c>
      <c r="J138">
        <v>0.44400000000000001</v>
      </c>
      <c r="K138">
        <v>0.99</v>
      </c>
      <c r="L138" t="s">
        <v>198</v>
      </c>
      <c r="M138">
        <v>5117</v>
      </c>
      <c r="R138">
        <v>38</v>
      </c>
      <c r="S138" t="s">
        <v>332</v>
      </c>
      <c r="T138" t="s">
        <v>202</v>
      </c>
      <c r="U138">
        <v>18.100000000000001</v>
      </c>
      <c r="V138">
        <v>3.6027</v>
      </c>
      <c r="W138">
        <v>5.21</v>
      </c>
      <c r="X138">
        <v>2.4925999999999999</v>
      </c>
      <c r="Y138">
        <v>4.72</v>
      </c>
      <c r="Z138" t="s">
        <v>236</v>
      </c>
      <c r="AA138">
        <v>0.5</v>
      </c>
      <c r="AB138">
        <v>1.03</v>
      </c>
      <c r="AC138" t="s">
        <v>198</v>
      </c>
      <c r="AD138" s="154">
        <v>7251</v>
      </c>
    </row>
    <row r="139" spans="1:39" x14ac:dyDescent="0.3">
      <c r="A139" s="153">
        <v>40</v>
      </c>
      <c r="B139" t="s">
        <v>334</v>
      </c>
      <c r="C139" t="s">
        <v>202</v>
      </c>
      <c r="D139">
        <v>13.5</v>
      </c>
      <c r="E139">
        <v>22.324999999999999</v>
      </c>
      <c r="F139">
        <v>99.02</v>
      </c>
      <c r="G139">
        <v>69.790899999999993</v>
      </c>
      <c r="H139">
        <v>143.19999999999999</v>
      </c>
      <c r="I139" t="s">
        <v>295</v>
      </c>
      <c r="J139">
        <v>0.44400000000000001</v>
      </c>
      <c r="K139">
        <v>0.99</v>
      </c>
      <c r="L139" t="s">
        <v>198</v>
      </c>
      <c r="M139">
        <v>5114</v>
      </c>
      <c r="R139">
        <v>39</v>
      </c>
      <c r="S139" t="s">
        <v>333</v>
      </c>
      <c r="T139" t="s">
        <v>202</v>
      </c>
      <c r="U139" t="s">
        <v>198</v>
      </c>
      <c r="V139" t="s">
        <v>198</v>
      </c>
      <c r="W139" t="s">
        <v>198</v>
      </c>
      <c r="X139" t="s">
        <v>198</v>
      </c>
      <c r="Y139" t="s">
        <v>198</v>
      </c>
      <c r="Z139" t="s">
        <v>198</v>
      </c>
      <c r="AA139" t="s">
        <v>198</v>
      </c>
      <c r="AB139" t="s">
        <v>198</v>
      </c>
      <c r="AC139" t="s">
        <v>198</v>
      </c>
      <c r="AD139" s="154" t="s">
        <v>198</v>
      </c>
    </row>
    <row r="140" spans="1:39" x14ac:dyDescent="0.3">
      <c r="A140" s="153">
        <v>41</v>
      </c>
      <c r="B140" t="s">
        <v>335</v>
      </c>
      <c r="C140" t="s">
        <v>202</v>
      </c>
      <c r="D140">
        <v>13.5</v>
      </c>
      <c r="E140">
        <v>22.102399999999999</v>
      </c>
      <c r="F140">
        <v>99.01</v>
      </c>
      <c r="G140">
        <v>69.095200000000006</v>
      </c>
      <c r="H140">
        <v>141.25</v>
      </c>
      <c r="I140" t="s">
        <v>295</v>
      </c>
      <c r="J140">
        <v>0.44700000000000001</v>
      </c>
      <c r="K140">
        <v>0.99</v>
      </c>
      <c r="L140" t="s">
        <v>198</v>
      </c>
      <c r="M140">
        <v>5057</v>
      </c>
      <c r="R140">
        <v>40</v>
      </c>
      <c r="S140" t="s">
        <v>334</v>
      </c>
      <c r="T140" t="s">
        <v>202</v>
      </c>
      <c r="U140" t="s">
        <v>198</v>
      </c>
      <c r="V140" t="s">
        <v>198</v>
      </c>
      <c r="W140" t="s">
        <v>198</v>
      </c>
      <c r="X140" t="s">
        <v>198</v>
      </c>
      <c r="Y140" t="s">
        <v>198</v>
      </c>
      <c r="Z140" t="s">
        <v>198</v>
      </c>
      <c r="AA140" t="s">
        <v>198</v>
      </c>
      <c r="AB140" t="s">
        <v>198</v>
      </c>
      <c r="AC140" t="s">
        <v>198</v>
      </c>
      <c r="AD140" s="154" t="s">
        <v>198</v>
      </c>
    </row>
    <row r="141" spans="1:39" x14ac:dyDescent="0.3">
      <c r="A141" s="153">
        <v>42</v>
      </c>
      <c r="B141" t="s">
        <v>336</v>
      </c>
      <c r="C141" t="s">
        <v>202</v>
      </c>
      <c r="D141">
        <v>13.5</v>
      </c>
      <c r="E141">
        <v>15.7781</v>
      </c>
      <c r="F141">
        <v>100</v>
      </c>
      <c r="G141">
        <v>49.3245</v>
      </c>
      <c r="H141">
        <v>104.42</v>
      </c>
      <c r="I141" t="s">
        <v>236</v>
      </c>
      <c r="J141">
        <v>0.439</v>
      </c>
      <c r="K141">
        <v>1.03</v>
      </c>
      <c r="L141" t="s">
        <v>198</v>
      </c>
      <c r="M141">
        <v>5250</v>
      </c>
      <c r="R141">
        <v>41</v>
      </c>
      <c r="S141" t="s">
        <v>335</v>
      </c>
      <c r="T141" t="s">
        <v>202</v>
      </c>
      <c r="U141" t="s">
        <v>198</v>
      </c>
      <c r="V141" t="s">
        <v>198</v>
      </c>
      <c r="W141" t="s">
        <v>198</v>
      </c>
      <c r="X141" t="s">
        <v>198</v>
      </c>
      <c r="Y141" t="s">
        <v>198</v>
      </c>
      <c r="Z141" t="s">
        <v>198</v>
      </c>
      <c r="AA141" t="s">
        <v>198</v>
      </c>
      <c r="AB141" t="s">
        <v>198</v>
      </c>
      <c r="AC141" t="s">
        <v>198</v>
      </c>
      <c r="AD141" s="154" t="s">
        <v>198</v>
      </c>
    </row>
    <row r="142" spans="1:39" x14ac:dyDescent="0.3">
      <c r="A142" s="153">
        <v>43</v>
      </c>
      <c r="B142" t="s">
        <v>337</v>
      </c>
      <c r="C142" t="s">
        <v>202</v>
      </c>
      <c r="D142">
        <v>13.5</v>
      </c>
      <c r="E142">
        <v>15.8613</v>
      </c>
      <c r="F142">
        <v>100</v>
      </c>
      <c r="G142">
        <v>49.584600000000002</v>
      </c>
      <c r="H142">
        <v>104.68</v>
      </c>
      <c r="I142" t="s">
        <v>236</v>
      </c>
      <c r="J142">
        <v>0.441</v>
      </c>
      <c r="K142">
        <v>1.02</v>
      </c>
      <c r="L142" t="s">
        <v>198</v>
      </c>
      <c r="M142">
        <v>5187</v>
      </c>
      <c r="R142">
        <v>42</v>
      </c>
      <c r="S142" t="s">
        <v>336</v>
      </c>
      <c r="T142" t="s">
        <v>202</v>
      </c>
      <c r="U142">
        <v>18.100000000000001</v>
      </c>
      <c r="V142">
        <v>8.1698000000000004</v>
      </c>
      <c r="W142">
        <v>10.28</v>
      </c>
      <c r="X142">
        <v>5.6523000000000003</v>
      </c>
      <c r="Y142">
        <v>10.42</v>
      </c>
      <c r="Z142" t="s">
        <v>236</v>
      </c>
      <c r="AA142">
        <v>0.51100000000000001</v>
      </c>
      <c r="AB142">
        <v>1.03</v>
      </c>
      <c r="AC142" t="s">
        <v>198</v>
      </c>
      <c r="AD142" s="154">
        <v>6963</v>
      </c>
    </row>
    <row r="143" spans="1:39" ht="15" thickBot="1" x14ac:dyDescent="0.35">
      <c r="A143" s="153">
        <v>44</v>
      </c>
      <c r="B143" t="s">
        <v>338</v>
      </c>
      <c r="C143" t="s">
        <v>202</v>
      </c>
      <c r="D143">
        <v>13.5</v>
      </c>
      <c r="E143">
        <v>15.921099999999999</v>
      </c>
      <c r="F143">
        <v>100</v>
      </c>
      <c r="G143">
        <v>49.771500000000003</v>
      </c>
      <c r="H143">
        <v>100.67</v>
      </c>
      <c r="I143" t="s">
        <v>236</v>
      </c>
      <c r="J143">
        <v>0.46899999999999997</v>
      </c>
      <c r="K143">
        <v>1.02</v>
      </c>
      <c r="L143" t="s">
        <v>198</v>
      </c>
      <c r="M143">
        <v>4581</v>
      </c>
      <c r="R143">
        <v>43</v>
      </c>
      <c r="S143" t="s">
        <v>337</v>
      </c>
      <c r="T143" t="s">
        <v>202</v>
      </c>
      <c r="U143">
        <v>18.132999999999999</v>
      </c>
      <c r="V143">
        <v>8.3549000000000007</v>
      </c>
      <c r="W143">
        <v>10.44</v>
      </c>
      <c r="X143">
        <v>5.7805</v>
      </c>
      <c r="Y143">
        <v>10.48</v>
      </c>
      <c r="Z143" t="s">
        <v>236</v>
      </c>
      <c r="AA143">
        <v>0.51800000000000002</v>
      </c>
      <c r="AB143">
        <v>0.99</v>
      </c>
      <c r="AC143" t="s">
        <v>198</v>
      </c>
      <c r="AD143" s="154">
        <v>6801</v>
      </c>
    </row>
    <row r="144" spans="1:39" x14ac:dyDescent="0.3">
      <c r="A144" s="153">
        <v>45</v>
      </c>
      <c r="B144" t="s">
        <v>339</v>
      </c>
      <c r="C144" t="s">
        <v>202</v>
      </c>
      <c r="D144">
        <v>13.5</v>
      </c>
      <c r="E144">
        <v>24.186299999999999</v>
      </c>
      <c r="F144">
        <v>98.95</v>
      </c>
      <c r="G144">
        <v>75.609700000000004</v>
      </c>
      <c r="H144">
        <v>148.43</v>
      </c>
      <c r="I144" t="s">
        <v>295</v>
      </c>
      <c r="J144">
        <v>0.47399999999999998</v>
      </c>
      <c r="K144">
        <v>0.99</v>
      </c>
      <c r="L144" t="s">
        <v>198</v>
      </c>
      <c r="M144">
        <v>4494</v>
      </c>
      <c r="R144">
        <v>44</v>
      </c>
      <c r="S144" t="s">
        <v>338</v>
      </c>
      <c r="T144" t="s">
        <v>202</v>
      </c>
      <c r="U144">
        <v>18.132999999999999</v>
      </c>
      <c r="V144">
        <v>8.4324999999999992</v>
      </c>
      <c r="W144">
        <v>10.49</v>
      </c>
      <c r="X144">
        <v>5.8341000000000003</v>
      </c>
      <c r="Y144">
        <v>10.02</v>
      </c>
      <c r="Z144" t="s">
        <v>236</v>
      </c>
      <c r="AA144">
        <v>0.56299999999999994</v>
      </c>
      <c r="AB144">
        <v>0.95</v>
      </c>
      <c r="AC144" t="s">
        <v>198</v>
      </c>
      <c r="AD144" s="154">
        <v>5743</v>
      </c>
      <c r="AF144" s="229" t="s">
        <v>342</v>
      </c>
      <c r="AG144" s="230"/>
      <c r="AH144" s="230"/>
      <c r="AI144" s="230"/>
      <c r="AJ144" s="230"/>
      <c r="AK144" s="230"/>
      <c r="AL144" s="230"/>
      <c r="AM144" s="231"/>
    </row>
    <row r="145" spans="1:39" x14ac:dyDescent="0.3">
      <c r="A145" s="153">
        <v>46</v>
      </c>
      <c r="B145" t="s">
        <v>340</v>
      </c>
      <c r="C145" t="s">
        <v>202</v>
      </c>
      <c r="D145">
        <v>13.5</v>
      </c>
      <c r="E145">
        <v>24.388500000000001</v>
      </c>
      <c r="F145">
        <v>98.95</v>
      </c>
      <c r="G145">
        <v>76.241799999999998</v>
      </c>
      <c r="H145">
        <v>149.65</v>
      </c>
      <c r="I145" t="s">
        <v>295</v>
      </c>
      <c r="J145">
        <v>0.47499999999999998</v>
      </c>
      <c r="K145">
        <v>0.99</v>
      </c>
      <c r="L145" t="s">
        <v>198</v>
      </c>
      <c r="M145">
        <v>4483</v>
      </c>
      <c r="R145">
        <v>45</v>
      </c>
      <c r="S145" t="s">
        <v>339</v>
      </c>
      <c r="T145" t="s">
        <v>202</v>
      </c>
      <c r="U145">
        <v>18.132999999999999</v>
      </c>
      <c r="V145">
        <v>1.7917000000000001</v>
      </c>
      <c r="W145">
        <v>1.6</v>
      </c>
      <c r="X145">
        <v>1.2396</v>
      </c>
      <c r="Y145">
        <v>2.29</v>
      </c>
      <c r="Z145" t="s">
        <v>236</v>
      </c>
      <c r="AA145">
        <v>0.52200000000000002</v>
      </c>
      <c r="AB145">
        <v>0.95</v>
      </c>
      <c r="AC145" t="s">
        <v>198</v>
      </c>
      <c r="AD145" s="154">
        <v>6692</v>
      </c>
      <c r="AF145" s="232"/>
      <c r="AG145" s="233"/>
      <c r="AH145" s="233"/>
      <c r="AI145" s="233"/>
      <c r="AJ145" s="233"/>
      <c r="AK145" s="233"/>
      <c r="AL145" s="233"/>
      <c r="AM145" s="234"/>
    </row>
    <row r="146" spans="1:39" x14ac:dyDescent="0.3">
      <c r="A146" s="153">
        <v>47</v>
      </c>
      <c r="B146" t="s">
        <v>341</v>
      </c>
      <c r="C146" t="s">
        <v>202</v>
      </c>
      <c r="D146">
        <v>13.5</v>
      </c>
      <c r="E146">
        <v>24.1417</v>
      </c>
      <c r="F146">
        <v>98.92</v>
      </c>
      <c r="G146">
        <v>75.470100000000002</v>
      </c>
      <c r="H146">
        <v>147.85</v>
      </c>
      <c r="I146" t="s">
        <v>295</v>
      </c>
      <c r="J146">
        <v>0.47699999999999998</v>
      </c>
      <c r="K146">
        <v>0.99</v>
      </c>
      <c r="L146" t="s">
        <v>198</v>
      </c>
      <c r="M146">
        <v>4445</v>
      </c>
      <c r="R146">
        <v>46</v>
      </c>
      <c r="S146" t="s">
        <v>340</v>
      </c>
      <c r="T146" t="s">
        <v>202</v>
      </c>
      <c r="U146">
        <v>18.100000000000001</v>
      </c>
      <c r="V146">
        <v>1.819</v>
      </c>
      <c r="W146">
        <v>1.61</v>
      </c>
      <c r="X146">
        <v>1.2585</v>
      </c>
      <c r="Y146">
        <v>2.27</v>
      </c>
      <c r="Z146" t="s">
        <v>236</v>
      </c>
      <c r="AA146">
        <v>0.53900000000000003</v>
      </c>
      <c r="AB146">
        <v>1.04</v>
      </c>
      <c r="AC146" t="s">
        <v>198</v>
      </c>
      <c r="AD146" s="154">
        <v>6240</v>
      </c>
      <c r="AF146" s="232"/>
      <c r="AG146" s="233"/>
      <c r="AH146" s="233"/>
      <c r="AI146" s="233"/>
      <c r="AJ146" s="233"/>
      <c r="AK146" s="233"/>
      <c r="AL146" s="233"/>
      <c r="AM146" s="234"/>
    </row>
    <row r="147" spans="1:39" x14ac:dyDescent="0.3">
      <c r="A147" s="153">
        <v>48</v>
      </c>
      <c r="B147" t="s">
        <v>299</v>
      </c>
      <c r="C147" t="s">
        <v>197</v>
      </c>
      <c r="D147">
        <v>13.532999999999999</v>
      </c>
      <c r="E147">
        <v>4.9764999999999997</v>
      </c>
      <c r="F147">
        <v>100</v>
      </c>
      <c r="G147">
        <v>62.228299999999997</v>
      </c>
      <c r="H147">
        <v>115.05</v>
      </c>
      <c r="I147" t="s">
        <v>236</v>
      </c>
      <c r="J147">
        <v>0.52300000000000002</v>
      </c>
      <c r="K147">
        <v>0.99</v>
      </c>
      <c r="L147" t="s">
        <v>198</v>
      </c>
      <c r="M147">
        <v>3706</v>
      </c>
      <c r="R147">
        <v>47</v>
      </c>
      <c r="S147" t="s">
        <v>341</v>
      </c>
      <c r="T147" t="s">
        <v>202</v>
      </c>
      <c r="U147">
        <v>18.167000000000002</v>
      </c>
      <c r="V147">
        <v>1.8213999999999999</v>
      </c>
      <c r="W147">
        <v>1.62</v>
      </c>
      <c r="X147">
        <v>1.2601</v>
      </c>
      <c r="Y147">
        <v>2.2400000000000002</v>
      </c>
      <c r="Z147" t="s">
        <v>236</v>
      </c>
      <c r="AA147">
        <v>0.54600000000000004</v>
      </c>
      <c r="AB147">
        <v>0.93</v>
      </c>
      <c r="AC147" t="s">
        <v>198</v>
      </c>
      <c r="AD147" s="154">
        <v>6133</v>
      </c>
      <c r="AF147" s="232"/>
      <c r="AG147" s="233"/>
      <c r="AH147" s="233"/>
      <c r="AI147" s="233"/>
      <c r="AJ147" s="233"/>
      <c r="AK147" s="233"/>
      <c r="AL147" s="233"/>
      <c r="AM147" s="234"/>
    </row>
    <row r="148" spans="1:39" ht="15" thickBot="1" x14ac:dyDescent="0.35">
      <c r="A148" s="153" t="s">
        <v>237</v>
      </c>
      <c r="D148">
        <v>13.532999999999999</v>
      </c>
      <c r="E148">
        <v>24.388500000000001</v>
      </c>
      <c r="F148">
        <v>100</v>
      </c>
      <c r="G148">
        <v>102.1935</v>
      </c>
      <c r="H148">
        <v>207.16</v>
      </c>
      <c r="J148">
        <v>0.57899999999999996</v>
      </c>
      <c r="K148">
        <v>1.78</v>
      </c>
      <c r="L148">
        <v>0</v>
      </c>
      <c r="M148">
        <v>7459</v>
      </c>
      <c r="R148" t="s">
        <v>237</v>
      </c>
      <c r="U148">
        <v>18.167000000000002</v>
      </c>
      <c r="V148">
        <v>8.4324999999999992</v>
      </c>
      <c r="W148">
        <v>100</v>
      </c>
      <c r="X148">
        <v>11.4559</v>
      </c>
      <c r="Y148">
        <v>23.53</v>
      </c>
      <c r="AA148">
        <v>0.56299999999999994</v>
      </c>
      <c r="AB148">
        <v>1.6</v>
      </c>
      <c r="AC148">
        <v>0</v>
      </c>
      <c r="AD148" s="154">
        <v>9999</v>
      </c>
      <c r="AF148" s="235"/>
      <c r="AG148" s="236"/>
      <c r="AH148" s="236"/>
      <c r="AI148" s="236"/>
      <c r="AJ148" s="236"/>
      <c r="AK148" s="236"/>
      <c r="AL148" s="236"/>
      <c r="AM148" s="237"/>
    </row>
    <row r="149" spans="1:39" x14ac:dyDescent="0.3">
      <c r="A149" s="153" t="s">
        <v>98</v>
      </c>
      <c r="D149">
        <v>13.462</v>
      </c>
      <c r="E149">
        <v>11.0754</v>
      </c>
      <c r="F149">
        <v>98.9</v>
      </c>
      <c r="G149">
        <v>62.890099999999997</v>
      </c>
      <c r="H149">
        <v>127.45</v>
      </c>
      <c r="J149">
        <v>0.46200000000000002</v>
      </c>
      <c r="K149">
        <v>1.1000000000000001</v>
      </c>
      <c r="L149" t="s">
        <v>198</v>
      </c>
      <c r="M149">
        <v>4854</v>
      </c>
      <c r="R149" t="s">
        <v>98</v>
      </c>
      <c r="U149">
        <v>18.094000000000001</v>
      </c>
      <c r="V149">
        <v>4.9798999999999998</v>
      </c>
      <c r="W149">
        <v>18.8</v>
      </c>
      <c r="X149">
        <v>5.8364000000000003</v>
      </c>
      <c r="Y149">
        <v>11.44</v>
      </c>
      <c r="AA149">
        <v>0.497</v>
      </c>
      <c r="AB149">
        <v>1.1000000000000001</v>
      </c>
      <c r="AC149" t="s">
        <v>198</v>
      </c>
      <c r="AD149" s="154">
        <v>7530</v>
      </c>
    </row>
    <row r="150" spans="1:39" x14ac:dyDescent="0.3">
      <c r="A150" s="153" t="s">
        <v>238</v>
      </c>
      <c r="D150">
        <v>13.167</v>
      </c>
      <c r="E150">
        <v>3.3794</v>
      </c>
      <c r="F150">
        <v>65.31</v>
      </c>
      <c r="G150">
        <v>25.1111</v>
      </c>
      <c r="H150">
        <v>50.21</v>
      </c>
      <c r="J150">
        <v>0.36599999999999999</v>
      </c>
      <c r="K150">
        <v>0.99</v>
      </c>
      <c r="L150">
        <v>0</v>
      </c>
      <c r="M150">
        <v>2906</v>
      </c>
      <c r="R150" t="s">
        <v>238</v>
      </c>
      <c r="U150">
        <v>18</v>
      </c>
      <c r="V150">
        <v>1.7917000000000001</v>
      </c>
      <c r="W150">
        <v>1.6</v>
      </c>
      <c r="X150">
        <v>1.2396</v>
      </c>
      <c r="Y150">
        <v>2.2400000000000002</v>
      </c>
      <c r="AA150">
        <v>0.42499999999999999</v>
      </c>
      <c r="AB150">
        <v>0.93</v>
      </c>
      <c r="AC150">
        <v>0</v>
      </c>
      <c r="AD150" s="154">
        <v>5743</v>
      </c>
    </row>
    <row r="151" spans="1:39" x14ac:dyDescent="0.3">
      <c r="A151" s="153" t="s">
        <v>239</v>
      </c>
      <c r="D151">
        <v>9.7000000000000003E-2</v>
      </c>
      <c r="E151">
        <v>6.2733999999999996</v>
      </c>
      <c r="F151">
        <v>5.08</v>
      </c>
      <c r="G151">
        <v>17.427099999999999</v>
      </c>
      <c r="H151">
        <v>37.86</v>
      </c>
      <c r="J151">
        <v>4.9000000000000002E-2</v>
      </c>
      <c r="K151">
        <v>0.19</v>
      </c>
      <c r="L151" t="s">
        <v>198</v>
      </c>
      <c r="M151">
        <v>901</v>
      </c>
      <c r="R151" t="s">
        <v>239</v>
      </c>
      <c r="U151">
        <v>4.5999999999999999E-2</v>
      </c>
      <c r="V151">
        <v>2.6006999999999998</v>
      </c>
      <c r="W151">
        <v>28.27</v>
      </c>
      <c r="X151">
        <v>3.9022999999999999</v>
      </c>
      <c r="Y151">
        <v>8.11</v>
      </c>
      <c r="AA151">
        <v>4.5999999999999999E-2</v>
      </c>
      <c r="AB151">
        <v>0.19</v>
      </c>
      <c r="AC151" t="s">
        <v>198</v>
      </c>
      <c r="AD151" s="154">
        <v>1451</v>
      </c>
    </row>
    <row r="152" spans="1:39" ht="15" thickBot="1" x14ac:dyDescent="0.35">
      <c r="A152" s="160" t="s">
        <v>240</v>
      </c>
      <c r="B152" s="161"/>
      <c r="C152" s="161"/>
      <c r="D152" s="161">
        <v>7.1999999999999998E-3</v>
      </c>
      <c r="E152" s="161">
        <v>0.56640000000000001</v>
      </c>
      <c r="F152" s="161">
        <v>5.1400000000000001E-2</v>
      </c>
      <c r="G152" s="161">
        <v>0.27710000000000001</v>
      </c>
      <c r="H152" s="161">
        <v>0.29709999999999998</v>
      </c>
      <c r="I152" s="161"/>
      <c r="J152" s="161">
        <v>0.1056</v>
      </c>
      <c r="K152" s="161">
        <v>0.17050000000000001</v>
      </c>
      <c r="L152" s="161" t="s">
        <v>198</v>
      </c>
      <c r="M152" s="161">
        <v>0.18559999999999999</v>
      </c>
      <c r="N152" s="161"/>
      <c r="O152" s="161"/>
      <c r="P152" s="161"/>
      <c r="Q152" s="161"/>
      <c r="R152" s="161" t="s">
        <v>240</v>
      </c>
      <c r="S152" s="161"/>
      <c r="T152" s="161"/>
      <c r="U152" s="162">
        <v>2.5000000000000001E-3</v>
      </c>
      <c r="V152" s="162">
        <v>0.5222</v>
      </c>
      <c r="W152" s="162">
        <v>1.5041</v>
      </c>
      <c r="X152" s="162">
        <v>0.66859999999999997</v>
      </c>
      <c r="Y152" s="162">
        <v>0.70899999999999996</v>
      </c>
      <c r="Z152" s="161"/>
      <c r="AA152" s="162">
        <v>9.1800000000000007E-2</v>
      </c>
      <c r="AB152" s="162">
        <v>0.1767</v>
      </c>
      <c r="AC152" s="161" t="s">
        <v>198</v>
      </c>
      <c r="AD152" s="163">
        <v>0.19270000000000001</v>
      </c>
    </row>
    <row r="153" spans="1:39" ht="15" thickTop="1" x14ac:dyDescent="0.3"/>
    <row r="155" spans="1:39" x14ac:dyDescent="0.3">
      <c r="D155" s="68"/>
      <c r="E155" s="68"/>
      <c r="F155" s="68"/>
      <c r="G155" s="68"/>
      <c r="H155" s="68"/>
      <c r="J155" s="68"/>
      <c r="K155" s="68"/>
      <c r="M155" s="68"/>
    </row>
  </sheetData>
  <mergeCells count="7">
    <mergeCell ref="AF144:AM148"/>
    <mergeCell ref="AF44:AM49"/>
    <mergeCell ref="A2:AD3"/>
    <mergeCell ref="A50:AD51"/>
    <mergeCell ref="A97:AD98"/>
    <mergeCell ref="AF90:AM94"/>
    <mergeCell ref="AF3:AR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70F72-4138-428E-AC1F-CFC9DBD7A39E}">
  <dimension ref="A1:AN132"/>
  <sheetViews>
    <sheetView zoomScale="70" zoomScaleNormal="70" workbookViewId="0">
      <selection activeCell="I94" sqref="I94:I96"/>
    </sheetView>
  </sheetViews>
  <sheetFormatPr baseColWidth="10" defaultColWidth="8.88671875" defaultRowHeight="14.4" x14ac:dyDescent="0.3"/>
  <cols>
    <col min="1" max="1" width="17.6640625" bestFit="1" customWidth="1"/>
    <col min="2" max="2" width="13.33203125" bestFit="1" customWidth="1"/>
    <col min="3" max="3" width="12.88671875" customWidth="1"/>
    <col min="4" max="4" width="14.88671875" bestFit="1" customWidth="1"/>
    <col min="5" max="5" width="15.33203125" bestFit="1" customWidth="1"/>
    <col min="6" max="6" width="13.6640625" customWidth="1"/>
    <col min="7" max="7" width="11" bestFit="1" customWidth="1"/>
    <col min="8" max="8" width="16" bestFit="1" customWidth="1"/>
    <col min="13" max="13" width="10.109375" bestFit="1" customWidth="1"/>
    <col min="14" max="14" width="11.33203125" bestFit="1" customWidth="1"/>
    <col min="15" max="15" width="13" bestFit="1" customWidth="1"/>
    <col min="16" max="16" width="11.33203125" bestFit="1" customWidth="1"/>
    <col min="17" max="17" width="14.44140625" customWidth="1"/>
    <col min="18" max="18" width="11.33203125" bestFit="1" customWidth="1"/>
    <col min="19" max="19" width="13" bestFit="1" customWidth="1"/>
    <col min="20" max="20" width="13.109375" customWidth="1"/>
    <col min="21" max="21" width="11.109375" bestFit="1" customWidth="1"/>
    <col min="22" max="22" width="12.5546875" bestFit="1" customWidth="1"/>
    <col min="23" max="23" width="12.77734375" customWidth="1"/>
    <col min="24" max="24" width="10.109375" bestFit="1" customWidth="1"/>
    <col min="25" max="25" width="11.6640625" bestFit="1" customWidth="1"/>
    <col min="26" max="26" width="8.88671875" customWidth="1"/>
    <col min="27" max="27" width="12" customWidth="1"/>
    <col min="28" max="28" width="12.5546875" customWidth="1"/>
    <col min="30" max="30" width="14" bestFit="1" customWidth="1"/>
    <col min="31" max="32" width="12" bestFit="1" customWidth="1"/>
    <col min="33" max="33" width="12.88671875" bestFit="1" customWidth="1"/>
    <col min="34" max="34" width="12" bestFit="1" customWidth="1"/>
    <col min="35" max="35" width="12.109375" bestFit="1" customWidth="1"/>
    <col min="36" max="36" width="12.21875" bestFit="1" customWidth="1"/>
  </cols>
  <sheetData>
    <row r="1" spans="1:40" ht="15.6" thickTop="1" thickBot="1" x14ac:dyDescent="0.35">
      <c r="A1" s="150"/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2"/>
    </row>
    <row r="2" spans="1:40" ht="15" thickBot="1" x14ac:dyDescent="0.35">
      <c r="A2" s="168" t="s">
        <v>71</v>
      </c>
      <c r="B2" s="1" t="s">
        <v>0</v>
      </c>
      <c r="C2" s="1" t="s">
        <v>1</v>
      </c>
      <c r="D2" s="1" t="s">
        <v>69</v>
      </c>
      <c r="E2" s="1" t="s">
        <v>70</v>
      </c>
      <c r="F2" s="1" t="s">
        <v>2</v>
      </c>
      <c r="G2" s="1" t="s">
        <v>127</v>
      </c>
      <c r="H2" s="1" t="s">
        <v>128</v>
      </c>
      <c r="I2" s="48" t="s">
        <v>6</v>
      </c>
      <c r="J2" s="1" t="s">
        <v>179</v>
      </c>
      <c r="O2" s="269" t="s">
        <v>20</v>
      </c>
      <c r="P2" s="270"/>
      <c r="Q2" s="262" t="s">
        <v>350</v>
      </c>
      <c r="R2" s="263"/>
      <c r="S2" s="263"/>
      <c r="T2" s="264"/>
      <c r="U2" s="8"/>
      <c r="V2" s="8"/>
      <c r="Z2" s="154"/>
    </row>
    <row r="3" spans="1:40" x14ac:dyDescent="0.3">
      <c r="A3" s="281">
        <v>14.183333333333366</v>
      </c>
      <c r="B3" s="3">
        <v>1</v>
      </c>
      <c r="C3" s="296" t="s">
        <v>165</v>
      </c>
      <c r="D3" s="4">
        <v>137.9</v>
      </c>
      <c r="E3" s="4">
        <v>190.5</v>
      </c>
      <c r="F3" s="293">
        <v>2</v>
      </c>
      <c r="G3" s="65">
        <f>(E3-D3)/$F$3</f>
        <v>26.299999999999997</v>
      </c>
      <c r="H3" s="290">
        <f>AVERAGE(G3:G5)</f>
        <v>26.95</v>
      </c>
      <c r="I3" s="287">
        <f>STDEV(G3:G5)</f>
        <v>0.58949130612757761</v>
      </c>
      <c r="J3" s="278">
        <f>(I3/H3)*100</f>
        <v>2.1873517852600286</v>
      </c>
      <c r="O3" s="269" t="s">
        <v>21</v>
      </c>
      <c r="P3" s="269"/>
      <c r="Q3" s="14" t="s">
        <v>343</v>
      </c>
      <c r="Z3" s="154"/>
    </row>
    <row r="4" spans="1:40" x14ac:dyDescent="0.3">
      <c r="A4" s="282"/>
      <c r="B4" s="5">
        <v>2</v>
      </c>
      <c r="C4" s="297"/>
      <c r="D4" s="6">
        <v>139.19999999999999</v>
      </c>
      <c r="E4" s="6">
        <v>193.4</v>
      </c>
      <c r="F4" s="294"/>
      <c r="G4" s="58">
        <f t="shared" ref="G4:G20" si="0">(E4-D4)/$F$3</f>
        <v>27.100000000000009</v>
      </c>
      <c r="H4" s="291"/>
      <c r="I4" s="288"/>
      <c r="J4" s="279"/>
      <c r="O4" s="270" t="s">
        <v>13</v>
      </c>
      <c r="P4" s="275"/>
      <c r="Q4" s="265" t="s">
        <v>22</v>
      </c>
      <c r="R4" s="266"/>
      <c r="S4" s="266"/>
      <c r="T4" s="266"/>
      <c r="U4" s="266"/>
      <c r="V4" s="266"/>
      <c r="W4" s="266"/>
      <c r="X4" s="266"/>
      <c r="Y4" s="266"/>
      <c r="Z4" s="267"/>
      <c r="AA4" s="12"/>
      <c r="AB4" s="12"/>
      <c r="AL4" s="12"/>
      <c r="AM4" s="12"/>
      <c r="AN4" s="12"/>
    </row>
    <row r="5" spans="1:40" ht="15" thickBot="1" x14ac:dyDescent="0.35">
      <c r="A5" s="282"/>
      <c r="B5" s="7">
        <v>3</v>
      </c>
      <c r="C5" s="298"/>
      <c r="D5" s="2">
        <v>138.80000000000001</v>
      </c>
      <c r="E5" s="57">
        <v>193.7</v>
      </c>
      <c r="F5" s="294"/>
      <c r="G5" s="57">
        <f>(E5-D5)/$F$3</f>
        <v>27.449999999999989</v>
      </c>
      <c r="H5" s="292"/>
      <c r="I5" s="289"/>
      <c r="J5" s="280"/>
      <c r="O5" s="270" t="s">
        <v>119</v>
      </c>
      <c r="P5" s="275"/>
      <c r="Q5" s="276">
        <v>45481</v>
      </c>
      <c r="R5" s="277"/>
      <c r="S5" s="277"/>
      <c r="T5" s="277"/>
      <c r="U5" s="169"/>
      <c r="V5" s="169"/>
      <c r="W5" s="170" t="s">
        <v>344</v>
      </c>
      <c r="X5" s="170"/>
      <c r="Y5" s="170"/>
      <c r="Z5" s="171"/>
      <c r="AA5" s="13"/>
    </row>
    <row r="6" spans="1:40" x14ac:dyDescent="0.3">
      <c r="A6" s="282"/>
      <c r="B6" s="3">
        <v>4</v>
      </c>
      <c r="C6" s="284" t="s">
        <v>166</v>
      </c>
      <c r="D6" s="4">
        <v>137.30000000000001</v>
      </c>
      <c r="E6" s="4">
        <v>191.6</v>
      </c>
      <c r="F6" s="294"/>
      <c r="G6" s="65">
        <f t="shared" ref="G6" si="1">(E6-D6)/$F$3</f>
        <v>27.149999999999991</v>
      </c>
      <c r="H6" s="290">
        <f t="shared" ref="H6" si="2">AVERAGE(G6:G8)</f>
        <v>27.000000000000004</v>
      </c>
      <c r="I6" s="287">
        <f t="shared" ref="I6" si="3">STDEV(G6:G8)</f>
        <v>0.18027756377319118</v>
      </c>
      <c r="J6" s="278">
        <f t="shared" ref="J6" si="4">(I6/H6)*100</f>
        <v>0.66769468064144866</v>
      </c>
      <c r="O6" s="270" t="s">
        <v>120</v>
      </c>
      <c r="P6" s="275"/>
      <c r="Q6" s="276">
        <v>45482</v>
      </c>
      <c r="R6" s="277"/>
      <c r="S6" s="277"/>
      <c r="T6" s="277"/>
      <c r="U6" s="169"/>
      <c r="V6" s="169"/>
      <c r="W6" s="170" t="s">
        <v>345</v>
      </c>
      <c r="X6" s="170"/>
      <c r="Y6" s="170"/>
      <c r="Z6" s="154"/>
    </row>
    <row r="7" spans="1:40" x14ac:dyDescent="0.3">
      <c r="A7" s="282"/>
      <c r="B7" s="5">
        <v>5</v>
      </c>
      <c r="C7" s="285"/>
      <c r="D7" s="6">
        <v>139.69999999999999</v>
      </c>
      <c r="E7" s="58">
        <v>193.3</v>
      </c>
      <c r="F7" s="294"/>
      <c r="G7" s="58">
        <f t="shared" si="0"/>
        <v>26.800000000000011</v>
      </c>
      <c r="H7" s="291"/>
      <c r="I7" s="288"/>
      <c r="J7" s="279"/>
      <c r="Z7" s="154"/>
    </row>
    <row r="8" spans="1:40" ht="15" thickBot="1" x14ac:dyDescent="0.35">
      <c r="A8" s="283"/>
      <c r="B8" s="7">
        <v>6</v>
      </c>
      <c r="C8" s="286"/>
      <c r="D8" s="2">
        <v>139.19999999999999</v>
      </c>
      <c r="E8" s="57">
        <v>193.3</v>
      </c>
      <c r="F8" s="294"/>
      <c r="G8" s="57">
        <f t="shared" si="0"/>
        <v>27.050000000000011</v>
      </c>
      <c r="H8" s="292"/>
      <c r="I8" s="289"/>
      <c r="J8" s="280"/>
      <c r="Z8" s="154"/>
    </row>
    <row r="9" spans="1:40" x14ac:dyDescent="0.3">
      <c r="A9" s="281">
        <v>33.183333333333188</v>
      </c>
      <c r="B9" s="3">
        <v>7</v>
      </c>
      <c r="C9" s="296" t="s">
        <v>171</v>
      </c>
      <c r="D9" s="4">
        <v>139.4</v>
      </c>
      <c r="E9" s="4">
        <v>207.7</v>
      </c>
      <c r="F9" s="294"/>
      <c r="G9" s="65">
        <f t="shared" si="0"/>
        <v>34.149999999999991</v>
      </c>
      <c r="H9" s="290">
        <f t="shared" ref="H9" si="5">AVERAGE(G9:G11)</f>
        <v>34.566666666666663</v>
      </c>
      <c r="I9" s="287">
        <f t="shared" ref="I9" si="6">STDEV(G9:G11)</f>
        <v>0.38188130791298819</v>
      </c>
      <c r="J9" s="278">
        <f t="shared" ref="J9" si="7">(I9/H9)*100</f>
        <v>1.1047675253027625</v>
      </c>
      <c r="Z9" s="154"/>
    </row>
    <row r="10" spans="1:40" ht="16.2" x14ac:dyDescent="0.3">
      <c r="A10" s="282"/>
      <c r="B10" s="5">
        <v>8</v>
      </c>
      <c r="C10" s="297"/>
      <c r="D10" s="6">
        <v>139.6</v>
      </c>
      <c r="E10" s="6">
        <v>208.9</v>
      </c>
      <c r="F10" s="294"/>
      <c r="G10" s="58">
        <f t="shared" si="0"/>
        <v>34.650000000000006</v>
      </c>
      <c r="H10" s="291"/>
      <c r="I10" s="288"/>
      <c r="J10" s="279"/>
      <c r="O10" s="271" t="s">
        <v>351</v>
      </c>
      <c r="P10" s="271"/>
      <c r="Q10" s="271"/>
      <c r="R10" s="271"/>
      <c r="S10" s="271"/>
      <c r="T10" s="271"/>
      <c r="U10" s="271"/>
      <c r="V10" s="271"/>
      <c r="W10" s="271"/>
      <c r="Z10" s="154"/>
    </row>
    <row r="11" spans="1:40" ht="15" thickBot="1" x14ac:dyDescent="0.35">
      <c r="A11" s="282"/>
      <c r="B11" s="7">
        <v>9</v>
      </c>
      <c r="C11" s="298"/>
      <c r="D11" s="57">
        <v>139.4</v>
      </c>
      <c r="E11" s="57">
        <v>209.2</v>
      </c>
      <c r="F11" s="294"/>
      <c r="G11" s="57">
        <f t="shared" si="0"/>
        <v>34.899999999999991</v>
      </c>
      <c r="H11" s="292"/>
      <c r="I11" s="289"/>
      <c r="J11" s="280"/>
      <c r="O11" s="9" t="s">
        <v>9</v>
      </c>
      <c r="P11" s="10" t="s">
        <v>122</v>
      </c>
      <c r="Q11" s="272" t="s">
        <v>10</v>
      </c>
      <c r="R11" s="272"/>
      <c r="S11" s="268" t="s">
        <v>11</v>
      </c>
      <c r="T11" s="268"/>
      <c r="U11" s="273" t="s">
        <v>126</v>
      </c>
      <c r="V11" s="274"/>
      <c r="W11" s="11" t="s">
        <v>12</v>
      </c>
      <c r="Z11" s="154"/>
    </row>
    <row r="12" spans="1:40" x14ac:dyDescent="0.3">
      <c r="A12" s="282"/>
      <c r="B12" s="3">
        <v>10</v>
      </c>
      <c r="C12" s="284" t="s">
        <v>172</v>
      </c>
      <c r="D12" s="4">
        <v>138.80000000000001</v>
      </c>
      <c r="E12" s="4">
        <v>209</v>
      </c>
      <c r="F12" s="294"/>
      <c r="G12" s="65">
        <f t="shared" si="0"/>
        <v>35.099999999999994</v>
      </c>
      <c r="H12" s="290">
        <f t="shared" ref="H12" si="8">AVERAGE(G12:G14)</f>
        <v>35.233333333333327</v>
      </c>
      <c r="I12" s="287">
        <f t="shared" ref="I12" si="9">STDEV(G12:G14)</f>
        <v>0.18929694486001461</v>
      </c>
      <c r="J12" s="278">
        <f t="shared" ref="J12" si="10">(I12/H12)*100</f>
        <v>0.53726663631035376</v>
      </c>
      <c r="O12" s="9" t="s">
        <v>14</v>
      </c>
      <c r="P12" s="10">
        <v>5</v>
      </c>
      <c r="Q12" s="272" t="s">
        <v>123</v>
      </c>
      <c r="R12" s="272"/>
      <c r="S12" s="268" t="s">
        <v>15</v>
      </c>
      <c r="T12" s="268"/>
      <c r="U12" s="273" t="s">
        <v>140</v>
      </c>
      <c r="V12" s="274"/>
      <c r="W12" s="11" t="s">
        <v>12</v>
      </c>
      <c r="Z12" s="154"/>
    </row>
    <row r="13" spans="1:40" x14ac:dyDescent="0.3">
      <c r="A13" s="282"/>
      <c r="B13" s="5">
        <v>11</v>
      </c>
      <c r="C13" s="285"/>
      <c r="D13" s="6">
        <v>140.30000000000001</v>
      </c>
      <c r="E13" s="6">
        <v>210.6</v>
      </c>
      <c r="F13" s="294"/>
      <c r="G13" s="58">
        <f t="shared" si="0"/>
        <v>35.149999999999991</v>
      </c>
      <c r="H13" s="291"/>
      <c r="I13" s="288"/>
      <c r="J13" s="279"/>
      <c r="O13" s="9" t="s">
        <v>16</v>
      </c>
      <c r="P13" s="10">
        <v>25</v>
      </c>
      <c r="Q13" s="272" t="s">
        <v>124</v>
      </c>
      <c r="R13" s="272"/>
      <c r="S13" s="268" t="s">
        <v>17</v>
      </c>
      <c r="T13" s="268"/>
      <c r="Z13" s="154"/>
    </row>
    <row r="14" spans="1:40" ht="15" thickBot="1" x14ac:dyDescent="0.35">
      <c r="A14" s="283"/>
      <c r="B14" s="7">
        <v>12</v>
      </c>
      <c r="C14" s="286"/>
      <c r="D14" s="2">
        <v>139</v>
      </c>
      <c r="E14" s="57">
        <v>209.9</v>
      </c>
      <c r="F14" s="294"/>
      <c r="G14" s="57">
        <f t="shared" si="0"/>
        <v>35.450000000000003</v>
      </c>
      <c r="H14" s="292"/>
      <c r="I14" s="289"/>
      <c r="J14" s="280"/>
      <c r="O14" s="9" t="s">
        <v>18</v>
      </c>
      <c r="P14" s="10" t="s">
        <v>76</v>
      </c>
      <c r="Q14" s="272" t="s">
        <v>125</v>
      </c>
      <c r="R14" s="272"/>
      <c r="S14" s="268" t="s">
        <v>19</v>
      </c>
      <c r="T14" s="268"/>
      <c r="Z14" s="154"/>
    </row>
    <row r="15" spans="1:40" x14ac:dyDescent="0.3">
      <c r="A15" s="281">
        <v>39.266666666666694</v>
      </c>
      <c r="B15" s="3">
        <v>13</v>
      </c>
      <c r="C15" s="296" t="s">
        <v>175</v>
      </c>
      <c r="D15" s="4">
        <v>139.5</v>
      </c>
      <c r="E15" s="4">
        <v>213.8</v>
      </c>
      <c r="F15" s="294"/>
      <c r="G15" s="65">
        <f t="shared" si="0"/>
        <v>37.150000000000006</v>
      </c>
      <c r="H15" s="290">
        <f t="shared" ref="H15" si="11">AVERAGE(G15:G17)</f>
        <v>38.033333333333331</v>
      </c>
      <c r="I15" s="287">
        <f t="shared" ref="I15" si="12">STDEV(G15:G17)</f>
        <v>0.95699181466370264</v>
      </c>
      <c r="J15" s="278">
        <f t="shared" ref="J15" si="13">(I15/H15)*100</f>
        <v>2.5161923260220052</v>
      </c>
      <c r="Z15" s="154"/>
    </row>
    <row r="16" spans="1:40" x14ac:dyDescent="0.3">
      <c r="A16" s="282"/>
      <c r="B16" s="5">
        <v>14</v>
      </c>
      <c r="C16" s="297"/>
      <c r="D16" s="6">
        <v>138.5</v>
      </c>
      <c r="E16" s="6">
        <v>216.6</v>
      </c>
      <c r="F16" s="294"/>
      <c r="G16" s="58">
        <f t="shared" si="0"/>
        <v>39.049999999999997</v>
      </c>
      <c r="H16" s="291"/>
      <c r="I16" s="288"/>
      <c r="J16" s="279"/>
      <c r="Z16" s="154"/>
    </row>
    <row r="17" spans="1:28" ht="15" thickBot="1" x14ac:dyDescent="0.35">
      <c r="A17" s="282"/>
      <c r="B17" s="7">
        <v>15</v>
      </c>
      <c r="C17" s="298"/>
      <c r="D17" s="2">
        <v>138.9</v>
      </c>
      <c r="E17" s="57">
        <v>214.7</v>
      </c>
      <c r="F17" s="294"/>
      <c r="G17" s="57">
        <f t="shared" si="0"/>
        <v>37.899999999999991</v>
      </c>
      <c r="H17" s="292"/>
      <c r="I17" s="289"/>
      <c r="J17" s="280"/>
      <c r="Z17" s="154"/>
    </row>
    <row r="18" spans="1:28" x14ac:dyDescent="0.3">
      <c r="A18" s="282"/>
      <c r="B18" s="3">
        <v>16</v>
      </c>
      <c r="C18" s="284" t="s">
        <v>176</v>
      </c>
      <c r="D18" s="4">
        <v>140</v>
      </c>
      <c r="E18" s="4">
        <v>216.3</v>
      </c>
      <c r="F18" s="294"/>
      <c r="G18" s="65">
        <f t="shared" si="0"/>
        <v>38.150000000000006</v>
      </c>
      <c r="H18" s="290">
        <f t="shared" ref="H18" si="14">AVERAGE(G18:G20)</f>
        <v>37.783333333333331</v>
      </c>
      <c r="I18" s="287">
        <f t="shared" ref="I18" si="15">STDEV(G18:G20)</f>
        <v>1.2897028081435418</v>
      </c>
      <c r="J18" s="278">
        <f t="shared" ref="J18" si="16">(I18/H18)*100</f>
        <v>3.4134172249057126</v>
      </c>
      <c r="L18" s="172" t="s">
        <v>346</v>
      </c>
      <c r="Z18" s="154"/>
    </row>
    <row r="19" spans="1:28" x14ac:dyDescent="0.3">
      <c r="A19" s="282"/>
      <c r="B19" s="5">
        <v>17</v>
      </c>
      <c r="C19" s="285"/>
      <c r="D19" s="6">
        <v>140.4</v>
      </c>
      <c r="E19" s="6">
        <v>218.1</v>
      </c>
      <c r="F19" s="294"/>
      <c r="G19" s="58">
        <f t="shared" si="0"/>
        <v>38.849999999999994</v>
      </c>
      <c r="H19" s="291"/>
      <c r="I19" s="288"/>
      <c r="J19" s="279"/>
      <c r="L19" s="173" t="s">
        <v>177</v>
      </c>
      <c r="Z19" s="154"/>
    </row>
    <row r="20" spans="1:28" ht="15" thickBot="1" x14ac:dyDescent="0.35">
      <c r="A20" s="283"/>
      <c r="B20" s="7">
        <v>18</v>
      </c>
      <c r="C20" s="286"/>
      <c r="D20" s="2">
        <v>139.30000000000001</v>
      </c>
      <c r="E20" s="2">
        <v>212</v>
      </c>
      <c r="F20" s="295"/>
      <c r="G20" s="57">
        <f t="shared" si="0"/>
        <v>36.349999999999994</v>
      </c>
      <c r="H20" s="292"/>
      <c r="I20" s="289"/>
      <c r="J20" s="280"/>
      <c r="Z20" s="154"/>
    </row>
    <row r="21" spans="1:28" x14ac:dyDescent="0.3">
      <c r="A21" s="153"/>
      <c r="Z21" s="154"/>
    </row>
    <row r="22" spans="1:28" ht="15" thickBot="1" x14ac:dyDescent="0.35">
      <c r="A22" s="160"/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4"/>
    </row>
    <row r="23" spans="1:28" ht="15.6" thickTop="1" thickBot="1" x14ac:dyDescent="0.35">
      <c r="A23" s="150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2"/>
    </row>
    <row r="24" spans="1:28" ht="15" thickBot="1" x14ac:dyDescent="0.35">
      <c r="A24" s="168" t="s">
        <v>71</v>
      </c>
      <c r="B24" s="1" t="s">
        <v>0</v>
      </c>
      <c r="C24" s="1" t="s">
        <v>1</v>
      </c>
      <c r="D24" s="1" t="s">
        <v>69</v>
      </c>
      <c r="E24" s="1" t="s">
        <v>70</v>
      </c>
      <c r="F24" s="1" t="s">
        <v>2</v>
      </c>
      <c r="G24" s="1" t="s">
        <v>127</v>
      </c>
      <c r="H24" s="1" t="s">
        <v>128</v>
      </c>
      <c r="I24" s="48" t="s">
        <v>6</v>
      </c>
      <c r="J24" s="1" t="s">
        <v>179</v>
      </c>
      <c r="O24" s="269" t="s">
        <v>20</v>
      </c>
      <c r="P24" s="270"/>
      <c r="Q24" s="262" t="s">
        <v>352</v>
      </c>
      <c r="R24" s="263"/>
      <c r="S24" s="263"/>
      <c r="T24" s="264"/>
      <c r="U24" s="8"/>
      <c r="V24" s="8"/>
      <c r="Z24" s="154"/>
    </row>
    <row r="25" spans="1:28" x14ac:dyDescent="0.3">
      <c r="A25" s="281">
        <f>Summary!B27</f>
        <v>14.183333333333366</v>
      </c>
      <c r="B25" s="3">
        <v>1</v>
      </c>
      <c r="C25" s="284" t="s">
        <v>165</v>
      </c>
      <c r="D25" s="4">
        <v>133.30000000000001</v>
      </c>
      <c r="E25" s="4">
        <v>187.8</v>
      </c>
      <c r="F25" s="293">
        <v>2</v>
      </c>
      <c r="G25" s="65">
        <f>(E25-D25)/$F$25</f>
        <v>27.25</v>
      </c>
      <c r="H25" s="290">
        <f>AVERAGE(G25:G27)</f>
        <v>27.650000000000002</v>
      </c>
      <c r="I25" s="287">
        <f>STDEV(G25:G27)</f>
        <v>0.45825756949558744</v>
      </c>
      <c r="J25" s="278">
        <f>(I25/H25)*100</f>
        <v>1.6573510650834986</v>
      </c>
      <c r="O25" s="269" t="s">
        <v>21</v>
      </c>
      <c r="P25" s="269"/>
      <c r="Q25" s="14" t="s">
        <v>360</v>
      </c>
      <c r="Z25" s="154"/>
    </row>
    <row r="26" spans="1:28" x14ac:dyDescent="0.3">
      <c r="A26" s="282"/>
      <c r="B26" s="5">
        <v>2</v>
      </c>
      <c r="C26" s="285"/>
      <c r="D26" s="6">
        <v>134.1</v>
      </c>
      <c r="E26" s="6">
        <v>189.2</v>
      </c>
      <c r="F26" s="294"/>
      <c r="G26" s="58">
        <f t="shared" ref="G26:G42" si="17">(E26-D26)/$F$25</f>
        <v>27.549999999999997</v>
      </c>
      <c r="H26" s="291"/>
      <c r="I26" s="288"/>
      <c r="J26" s="279"/>
      <c r="O26" s="270" t="s">
        <v>13</v>
      </c>
      <c r="P26" s="275"/>
      <c r="Q26" s="265" t="s">
        <v>22</v>
      </c>
      <c r="R26" s="266"/>
      <c r="S26" s="266"/>
      <c r="T26" s="266"/>
      <c r="U26" s="266"/>
      <c r="V26" s="266"/>
      <c r="W26" s="266"/>
      <c r="X26" s="266"/>
      <c r="Y26" s="266"/>
      <c r="Z26" s="267"/>
      <c r="AA26" s="12"/>
      <c r="AB26" s="12"/>
    </row>
    <row r="27" spans="1:28" ht="15" thickBot="1" x14ac:dyDescent="0.35">
      <c r="A27" s="282"/>
      <c r="B27" s="7">
        <v>3</v>
      </c>
      <c r="C27" s="286"/>
      <c r="D27" s="2">
        <v>135.19999999999999</v>
      </c>
      <c r="E27" s="57">
        <v>191.5</v>
      </c>
      <c r="F27" s="294"/>
      <c r="G27" s="57">
        <f>(E27-D27)/$F$25</f>
        <v>28.150000000000006</v>
      </c>
      <c r="H27" s="292"/>
      <c r="I27" s="289"/>
      <c r="J27" s="280"/>
      <c r="O27" s="270" t="s">
        <v>119</v>
      </c>
      <c r="P27" s="275"/>
      <c r="Q27" s="276">
        <v>45495</v>
      </c>
      <c r="R27" s="277"/>
      <c r="S27" s="277"/>
      <c r="T27" s="277"/>
      <c r="U27" s="169"/>
      <c r="V27" s="169"/>
      <c r="W27" s="170" t="s">
        <v>193</v>
      </c>
      <c r="X27" s="170"/>
      <c r="Y27" s="170"/>
      <c r="Z27" s="171"/>
      <c r="AA27" s="13"/>
    </row>
    <row r="28" spans="1:28" x14ac:dyDescent="0.3">
      <c r="A28" s="282"/>
      <c r="B28" s="3">
        <v>4</v>
      </c>
      <c r="C28" s="284" t="s">
        <v>166</v>
      </c>
      <c r="D28" s="4">
        <v>135.1</v>
      </c>
      <c r="E28" s="4">
        <v>189.7</v>
      </c>
      <c r="F28" s="294"/>
      <c r="G28" s="65">
        <f t="shared" ref="G28" si="18">(E28-D28)/$F$25</f>
        <v>27.299999999999997</v>
      </c>
      <c r="H28" s="290">
        <f t="shared" ref="H28" si="19">AVERAGE(G28:G30)</f>
        <v>27.766666666666666</v>
      </c>
      <c r="I28" s="287">
        <f t="shared" ref="I28" si="20">STDEV(G28:G30)</f>
        <v>0.40722639076235517</v>
      </c>
      <c r="J28" s="278">
        <f t="shared" ref="J28" si="21">(I28/H28)*100</f>
        <v>1.46660164740344</v>
      </c>
      <c r="O28" s="270" t="s">
        <v>120</v>
      </c>
      <c r="P28" s="275"/>
      <c r="Q28" s="276">
        <v>45496</v>
      </c>
      <c r="R28" s="277"/>
      <c r="S28" s="277"/>
      <c r="T28" s="277"/>
      <c r="U28" s="169"/>
      <c r="V28" s="169"/>
      <c r="W28" s="170" t="s">
        <v>194</v>
      </c>
      <c r="X28" s="170"/>
      <c r="Y28" s="170"/>
      <c r="Z28" s="154"/>
    </row>
    <row r="29" spans="1:28" x14ac:dyDescent="0.3">
      <c r="A29" s="282"/>
      <c r="B29" s="5">
        <v>5</v>
      </c>
      <c r="C29" s="285"/>
      <c r="D29" s="6">
        <v>137</v>
      </c>
      <c r="E29" s="58">
        <v>192.9</v>
      </c>
      <c r="F29" s="294"/>
      <c r="G29" s="58">
        <f t="shared" si="17"/>
        <v>27.950000000000003</v>
      </c>
      <c r="H29" s="291"/>
      <c r="I29" s="288"/>
      <c r="J29" s="279"/>
      <c r="Z29" s="154"/>
    </row>
    <row r="30" spans="1:28" ht="15" thickBot="1" x14ac:dyDescent="0.35">
      <c r="A30" s="283"/>
      <c r="B30" s="7">
        <v>6</v>
      </c>
      <c r="C30" s="286"/>
      <c r="D30" s="2">
        <v>134.4</v>
      </c>
      <c r="E30" s="57">
        <v>190.5</v>
      </c>
      <c r="F30" s="294"/>
      <c r="G30" s="57">
        <f t="shared" si="17"/>
        <v>28.049999999999997</v>
      </c>
      <c r="H30" s="292"/>
      <c r="I30" s="289"/>
      <c r="J30" s="280"/>
      <c r="Z30" s="154"/>
    </row>
    <row r="31" spans="1:28" x14ac:dyDescent="0.3">
      <c r="A31" s="281">
        <f>Summary!B30</f>
        <v>33.683333333333202</v>
      </c>
      <c r="B31" s="3">
        <v>7</v>
      </c>
      <c r="C31" s="284" t="s">
        <v>171</v>
      </c>
      <c r="D31" s="4">
        <v>134.6</v>
      </c>
      <c r="E31" s="4">
        <v>211.3</v>
      </c>
      <c r="F31" s="294"/>
      <c r="G31" s="65">
        <f t="shared" si="17"/>
        <v>38.350000000000009</v>
      </c>
      <c r="H31" s="290">
        <f t="shared" ref="H31" si="22">AVERAGE(G31:G33)</f>
        <v>38.6</v>
      </c>
      <c r="I31" s="287">
        <f t="shared" ref="I31" si="23">STDEV(G31:G33)</f>
        <v>0.31224989991991808</v>
      </c>
      <c r="J31" s="278">
        <f t="shared" ref="J31" si="24">(I31/H31)*100</f>
        <v>0.80893756455937327</v>
      </c>
      <c r="Z31" s="154"/>
    </row>
    <row r="32" spans="1:28" ht="16.2" x14ac:dyDescent="0.3">
      <c r="A32" s="282"/>
      <c r="B32" s="5">
        <v>8</v>
      </c>
      <c r="C32" s="285"/>
      <c r="D32" s="6">
        <v>135.1</v>
      </c>
      <c r="E32" s="6">
        <v>212.1</v>
      </c>
      <c r="F32" s="294"/>
      <c r="G32" s="58">
        <f t="shared" si="17"/>
        <v>38.5</v>
      </c>
      <c r="H32" s="291"/>
      <c r="I32" s="288"/>
      <c r="J32" s="279"/>
      <c r="O32" s="271" t="s">
        <v>121</v>
      </c>
      <c r="P32" s="271"/>
      <c r="Q32" s="271"/>
      <c r="R32" s="271"/>
      <c r="S32" s="271"/>
      <c r="T32" s="271"/>
      <c r="U32" s="271"/>
      <c r="V32" s="271"/>
      <c r="W32" s="271"/>
      <c r="Z32" s="154"/>
    </row>
    <row r="33" spans="1:26" ht="15" thickBot="1" x14ac:dyDescent="0.35">
      <c r="A33" s="282"/>
      <c r="B33" s="7">
        <v>9</v>
      </c>
      <c r="C33" s="286"/>
      <c r="D33" s="57">
        <v>135.1</v>
      </c>
      <c r="E33" s="57">
        <v>213</v>
      </c>
      <c r="F33" s="294"/>
      <c r="G33" s="57">
        <f t="shared" si="17"/>
        <v>38.950000000000003</v>
      </c>
      <c r="H33" s="292"/>
      <c r="I33" s="289"/>
      <c r="J33" s="280"/>
      <c r="O33" s="9" t="s">
        <v>9</v>
      </c>
      <c r="P33" s="10" t="s">
        <v>122</v>
      </c>
      <c r="Q33" s="272" t="s">
        <v>10</v>
      </c>
      <c r="R33" s="272"/>
      <c r="S33" s="268" t="s">
        <v>11</v>
      </c>
      <c r="T33" s="268"/>
      <c r="U33" s="273" t="s">
        <v>126</v>
      </c>
      <c r="V33" s="274"/>
      <c r="W33" s="11" t="s">
        <v>12</v>
      </c>
      <c r="Z33" s="154"/>
    </row>
    <row r="34" spans="1:26" x14ac:dyDescent="0.3">
      <c r="A34" s="282"/>
      <c r="B34" s="3">
        <v>10</v>
      </c>
      <c r="C34" s="284" t="s">
        <v>172</v>
      </c>
      <c r="D34" s="4">
        <v>136.1</v>
      </c>
      <c r="E34" s="4">
        <v>213.1</v>
      </c>
      <c r="F34" s="294"/>
      <c r="G34" s="65">
        <f t="shared" si="17"/>
        <v>38.5</v>
      </c>
      <c r="H34" s="290">
        <f t="shared" ref="H34" si="25">AVERAGE(G34:G36)</f>
        <v>38.81666666666667</v>
      </c>
      <c r="I34" s="287">
        <f t="shared" ref="I34" si="26">STDEV(G34:G36)</f>
        <v>0.27537852736430579</v>
      </c>
      <c r="J34" s="278">
        <f t="shared" ref="J34" si="27">(I34/H34)*100</f>
        <v>0.70943373301238066</v>
      </c>
      <c r="O34" s="9" t="s">
        <v>14</v>
      </c>
      <c r="P34" s="10">
        <v>5</v>
      </c>
      <c r="Q34" s="272" t="s">
        <v>123</v>
      </c>
      <c r="R34" s="272"/>
      <c r="S34" s="268" t="s">
        <v>15</v>
      </c>
      <c r="T34" s="268"/>
      <c r="U34" s="273" t="s">
        <v>140</v>
      </c>
      <c r="V34" s="274"/>
      <c r="W34" s="11" t="s">
        <v>12</v>
      </c>
      <c r="X34" s="12"/>
      <c r="Y34" s="12"/>
      <c r="Z34" s="174"/>
    </row>
    <row r="35" spans="1:26" x14ac:dyDescent="0.3">
      <c r="A35" s="282"/>
      <c r="B35" s="5">
        <v>11</v>
      </c>
      <c r="C35" s="285"/>
      <c r="D35" s="6">
        <v>134.9</v>
      </c>
      <c r="E35" s="6">
        <v>212.8</v>
      </c>
      <c r="F35" s="294"/>
      <c r="G35" s="58">
        <f t="shared" si="17"/>
        <v>38.950000000000003</v>
      </c>
      <c r="H35" s="291"/>
      <c r="I35" s="288"/>
      <c r="J35" s="279"/>
      <c r="O35" s="9" t="s">
        <v>16</v>
      </c>
      <c r="P35" s="10">
        <v>25</v>
      </c>
      <c r="Q35" s="272" t="s">
        <v>124</v>
      </c>
      <c r="R35" s="272"/>
      <c r="S35" s="268" t="s">
        <v>17</v>
      </c>
      <c r="T35" s="268"/>
      <c r="Z35" s="154"/>
    </row>
    <row r="36" spans="1:26" ht="15" thickBot="1" x14ac:dyDescent="0.35">
      <c r="A36" s="283"/>
      <c r="B36" s="7">
        <v>12</v>
      </c>
      <c r="C36" s="286"/>
      <c r="D36" s="2">
        <v>132.30000000000001</v>
      </c>
      <c r="E36" s="57">
        <v>210.3</v>
      </c>
      <c r="F36" s="294"/>
      <c r="G36" s="57">
        <f t="shared" si="17"/>
        <v>39</v>
      </c>
      <c r="H36" s="292"/>
      <c r="I36" s="289"/>
      <c r="J36" s="280"/>
      <c r="O36" s="9" t="s">
        <v>18</v>
      </c>
      <c r="P36" s="10" t="s">
        <v>76</v>
      </c>
      <c r="Q36" s="272" t="s">
        <v>125</v>
      </c>
      <c r="R36" s="272"/>
      <c r="S36" s="268" t="s">
        <v>19</v>
      </c>
      <c r="T36" s="268"/>
      <c r="Z36" s="154"/>
    </row>
    <row r="37" spans="1:26" x14ac:dyDescent="0.3">
      <c r="A37" s="281">
        <v>39.266666666666694</v>
      </c>
      <c r="B37" s="3">
        <v>13</v>
      </c>
      <c r="C37" s="284" t="s">
        <v>175</v>
      </c>
      <c r="D37" s="4">
        <v>135</v>
      </c>
      <c r="E37" s="4">
        <v>218.7</v>
      </c>
      <c r="F37" s="294"/>
      <c r="G37" s="65">
        <f t="shared" si="17"/>
        <v>41.849999999999994</v>
      </c>
      <c r="H37" s="290">
        <f t="shared" ref="H37" si="28">AVERAGE(G37:G39)</f>
        <v>41.983333333333327</v>
      </c>
      <c r="I37" s="287">
        <f t="shared" ref="I37" si="29">STDEV(G37:G39)</f>
        <v>0.1154700538379268</v>
      </c>
      <c r="J37" s="278">
        <f t="shared" ref="J37" si="30">(I37/H37)*100</f>
        <v>0.27503784161475225</v>
      </c>
      <c r="Z37" s="154"/>
    </row>
    <row r="38" spans="1:26" x14ac:dyDescent="0.3">
      <c r="A38" s="282"/>
      <c r="B38" s="5">
        <v>14</v>
      </c>
      <c r="C38" s="285"/>
      <c r="D38" s="6">
        <v>135.4</v>
      </c>
      <c r="E38" s="6">
        <v>219.5</v>
      </c>
      <c r="F38" s="294"/>
      <c r="G38" s="58">
        <f t="shared" si="17"/>
        <v>42.05</v>
      </c>
      <c r="H38" s="291"/>
      <c r="I38" s="288"/>
      <c r="J38" s="279"/>
      <c r="Z38" s="154"/>
    </row>
    <row r="39" spans="1:26" ht="15" thickBot="1" x14ac:dyDescent="0.35">
      <c r="A39" s="282"/>
      <c r="B39" s="7">
        <v>15</v>
      </c>
      <c r="C39" s="286"/>
      <c r="D39" s="2">
        <v>135.6</v>
      </c>
      <c r="E39" s="57">
        <v>219.7</v>
      </c>
      <c r="F39" s="294"/>
      <c r="G39" s="57">
        <f t="shared" si="17"/>
        <v>42.05</v>
      </c>
      <c r="H39" s="292"/>
      <c r="I39" s="289"/>
      <c r="J39" s="280"/>
      <c r="Z39" s="154"/>
    </row>
    <row r="40" spans="1:26" x14ac:dyDescent="0.3">
      <c r="A40" s="282"/>
      <c r="B40" s="3">
        <v>16</v>
      </c>
      <c r="C40" s="284" t="s">
        <v>176</v>
      </c>
      <c r="D40" s="4">
        <v>136.4</v>
      </c>
      <c r="E40" s="4">
        <v>222.2</v>
      </c>
      <c r="F40" s="294"/>
      <c r="G40" s="65">
        <f t="shared" si="17"/>
        <v>42.899999999999991</v>
      </c>
      <c r="H40" s="290">
        <f t="shared" ref="H40" si="31">AVERAGE(G40:G42)</f>
        <v>42.766666666666659</v>
      </c>
      <c r="I40" s="287">
        <f t="shared" ref="I40" si="32">STDEV(G40:G42)</f>
        <v>0.18929694486000648</v>
      </c>
      <c r="J40" s="278">
        <f t="shared" ref="J40" si="33">(I40/H40)*100</f>
        <v>0.44262730676540885</v>
      </c>
      <c r="L40" s="173" t="s">
        <v>177</v>
      </c>
      <c r="Z40" s="154"/>
    </row>
    <row r="41" spans="1:26" x14ac:dyDescent="0.3">
      <c r="A41" s="282"/>
      <c r="B41" s="5">
        <v>17</v>
      </c>
      <c r="C41" s="285"/>
      <c r="D41" s="6">
        <v>135.80000000000001</v>
      </c>
      <c r="E41" s="6">
        <v>220.9</v>
      </c>
      <c r="F41" s="294"/>
      <c r="G41" s="58">
        <f t="shared" si="17"/>
        <v>42.55</v>
      </c>
      <c r="H41" s="291"/>
      <c r="I41" s="288"/>
      <c r="J41" s="279"/>
      <c r="Z41" s="154"/>
    </row>
    <row r="42" spans="1:26" ht="15" thickBot="1" x14ac:dyDescent="0.35">
      <c r="A42" s="283"/>
      <c r="B42" s="7">
        <v>18</v>
      </c>
      <c r="C42" s="286"/>
      <c r="D42" s="2">
        <v>136.5</v>
      </c>
      <c r="E42" s="2">
        <v>222.2</v>
      </c>
      <c r="F42" s="295"/>
      <c r="G42" s="57">
        <f t="shared" si="17"/>
        <v>42.849999999999994</v>
      </c>
      <c r="H42" s="292"/>
      <c r="I42" s="289"/>
      <c r="J42" s="280"/>
      <c r="Z42" s="154"/>
    </row>
    <row r="43" spans="1:26" x14ac:dyDescent="0.3">
      <c r="A43" s="153"/>
      <c r="Z43" s="154"/>
    </row>
    <row r="44" spans="1:26" x14ac:dyDescent="0.3">
      <c r="A44" s="153"/>
      <c r="Z44" s="154"/>
    </row>
    <row r="45" spans="1:26" x14ac:dyDescent="0.3">
      <c r="A45" s="153"/>
      <c r="Z45" s="154"/>
    </row>
    <row r="46" spans="1:26" x14ac:dyDescent="0.3">
      <c r="A46" s="153"/>
      <c r="C46" s="15"/>
      <c r="D46" s="15"/>
      <c r="Z46" s="154"/>
    </row>
    <row r="47" spans="1:26" x14ac:dyDescent="0.3">
      <c r="A47" s="153"/>
      <c r="Z47" s="154"/>
    </row>
    <row r="48" spans="1:26" ht="15" thickBot="1" x14ac:dyDescent="0.35">
      <c r="A48" s="153"/>
      <c r="Z48" s="154"/>
    </row>
    <row r="49" spans="1:26" ht="15" thickBot="1" x14ac:dyDescent="0.35">
      <c r="A49" s="153"/>
      <c r="B49" s="4" t="s">
        <v>66</v>
      </c>
      <c r="C49" s="255">
        <v>240527</v>
      </c>
      <c r="D49" s="256"/>
      <c r="E49" s="256"/>
      <c r="F49" s="257"/>
      <c r="H49" s="255">
        <v>240707</v>
      </c>
      <c r="I49" s="257"/>
      <c r="J49" s="255">
        <v>240722</v>
      </c>
      <c r="K49" s="256"/>
      <c r="L49" s="256"/>
      <c r="M49" s="257"/>
      <c r="Z49" s="154"/>
    </row>
    <row r="50" spans="1:26" ht="15" thickBot="1" x14ac:dyDescent="0.35">
      <c r="A50" s="153"/>
      <c r="B50" s="66" t="s">
        <v>243</v>
      </c>
      <c r="C50" s="261" t="s">
        <v>101</v>
      </c>
      <c r="D50" s="253"/>
      <c r="E50" s="253" t="s">
        <v>102</v>
      </c>
      <c r="F50" s="254"/>
      <c r="H50" s="261" t="s">
        <v>101</v>
      </c>
      <c r="I50" s="254"/>
      <c r="J50" s="261" t="s">
        <v>100</v>
      </c>
      <c r="K50" s="253"/>
      <c r="L50" s="253" t="s">
        <v>101</v>
      </c>
      <c r="M50" s="254"/>
      <c r="Z50" s="154"/>
    </row>
    <row r="51" spans="1:26" ht="15" thickBot="1" x14ac:dyDescent="0.35">
      <c r="A51" s="153"/>
      <c r="B51" s="1" t="s">
        <v>1</v>
      </c>
      <c r="C51" s="111" t="s">
        <v>241</v>
      </c>
      <c r="D51" s="111" t="s">
        <v>242</v>
      </c>
      <c r="E51" s="111" t="s">
        <v>241</v>
      </c>
      <c r="F51" s="111" t="s">
        <v>242</v>
      </c>
      <c r="G51" s="115" t="s">
        <v>1</v>
      </c>
      <c r="H51" s="1" t="s">
        <v>241</v>
      </c>
      <c r="I51" s="1" t="s">
        <v>242</v>
      </c>
      <c r="J51" s="1" t="s">
        <v>241</v>
      </c>
      <c r="K51" s="1" t="s">
        <v>242</v>
      </c>
      <c r="L51" s="1" t="s">
        <v>241</v>
      </c>
      <c r="M51" s="1" t="s">
        <v>242</v>
      </c>
      <c r="Q51" s="173" t="s">
        <v>177</v>
      </c>
      <c r="Z51" s="154"/>
    </row>
    <row r="52" spans="1:26" ht="15" thickBot="1" x14ac:dyDescent="0.35">
      <c r="A52" s="153"/>
      <c r="B52" s="59" t="s">
        <v>74</v>
      </c>
      <c r="C52" s="112">
        <v>0.37666666666666665</v>
      </c>
      <c r="D52" s="112">
        <v>0.13266666666666665</v>
      </c>
      <c r="E52" s="112">
        <v>0.33400000000000002</v>
      </c>
      <c r="F52" s="112">
        <v>0.11541666666666667</v>
      </c>
      <c r="G52" s="114" t="s">
        <v>74</v>
      </c>
      <c r="H52" s="116">
        <v>0.42</v>
      </c>
      <c r="I52" s="116">
        <v>0.13500000000000001</v>
      </c>
      <c r="J52" s="116">
        <v>0.42599999999999999</v>
      </c>
      <c r="K52" s="116">
        <f>27.65/200</f>
        <v>0.13824999999999998</v>
      </c>
      <c r="L52" s="116">
        <v>0.42366666666666664</v>
      </c>
      <c r="M52" s="116">
        <f>27.7666666666667/200</f>
        <v>0.1388333333333335</v>
      </c>
      <c r="Z52" s="154"/>
    </row>
    <row r="53" spans="1:26" ht="15" thickBot="1" x14ac:dyDescent="0.35">
      <c r="A53" s="153"/>
      <c r="B53" s="59" t="s">
        <v>54</v>
      </c>
      <c r="C53" s="112">
        <v>0.48199999999999998</v>
      </c>
      <c r="D53" s="112">
        <v>0.16166666666666665</v>
      </c>
      <c r="E53" s="112">
        <v>0.43566666666666665</v>
      </c>
      <c r="F53" s="112">
        <v>0.14716666666666667</v>
      </c>
      <c r="G53" s="114" t="s">
        <v>55</v>
      </c>
      <c r="H53" s="117">
        <v>0.52333333333333332</v>
      </c>
      <c r="I53" s="117">
        <v>0.1761666666666665</v>
      </c>
      <c r="J53" s="117">
        <v>0.58333333333333326</v>
      </c>
      <c r="K53" s="117">
        <f>38.6/200</f>
        <v>0.193</v>
      </c>
      <c r="L53" s="117">
        <v>0.58366666666666667</v>
      </c>
      <c r="M53" s="117">
        <f>38.8166666666667/200</f>
        <v>0.1940833333333335</v>
      </c>
      <c r="Q53" s="128" t="s">
        <v>247</v>
      </c>
      <c r="R53" s="128"/>
      <c r="Z53" s="154"/>
    </row>
    <row r="54" spans="1:26" ht="15" thickBot="1" x14ac:dyDescent="0.35">
      <c r="A54" s="153"/>
      <c r="B54" s="59" t="s">
        <v>56</v>
      </c>
      <c r="C54" s="112">
        <v>0.6333333333333333</v>
      </c>
      <c r="D54" s="112">
        <v>0.21233333333333332</v>
      </c>
      <c r="E54" s="112">
        <v>0.58799999999999997</v>
      </c>
      <c r="F54" s="112">
        <v>0.19683333333333333</v>
      </c>
      <c r="G54" s="114" t="s">
        <v>57</v>
      </c>
      <c r="H54" s="118">
        <v>0.57666666666666666</v>
      </c>
      <c r="I54" s="118">
        <v>0.18891666666666651</v>
      </c>
      <c r="J54" s="118">
        <v>0.65666666666666662</v>
      </c>
      <c r="K54" s="118">
        <f>41.9833333333333/200</f>
        <v>0.2099166666666665</v>
      </c>
      <c r="L54" s="118">
        <v>0.64166666666666672</v>
      </c>
      <c r="M54" s="118">
        <f>42.7666666666667/200</f>
        <v>0.21383333333333351</v>
      </c>
      <c r="Q54" t="s">
        <v>248</v>
      </c>
      <c r="R54">
        <v>0.9997814912398445</v>
      </c>
      <c r="Z54" s="154"/>
    </row>
    <row r="55" spans="1:26" ht="15" thickBot="1" x14ac:dyDescent="0.35">
      <c r="A55" s="153"/>
      <c r="B55" s="59" t="s">
        <v>57</v>
      </c>
      <c r="C55" s="113">
        <v>0.68600000000000005</v>
      </c>
      <c r="D55" s="113">
        <v>0.23191666666666666</v>
      </c>
      <c r="E55" s="113">
        <v>0.63933333333333342</v>
      </c>
      <c r="F55" s="113">
        <v>0.21700000000000003</v>
      </c>
      <c r="Q55" t="s">
        <v>249</v>
      </c>
      <c r="R55">
        <v>0.9995630302257672</v>
      </c>
      <c r="Z55" s="154"/>
    </row>
    <row r="56" spans="1:26" x14ac:dyDescent="0.3">
      <c r="A56" s="153"/>
      <c r="Q56" t="s">
        <v>250</v>
      </c>
      <c r="R56">
        <v>0.9370630302257672</v>
      </c>
      <c r="Z56" s="154"/>
    </row>
    <row r="57" spans="1:26" x14ac:dyDescent="0.3">
      <c r="A57" s="153"/>
      <c r="Q57" t="s">
        <v>251</v>
      </c>
      <c r="R57">
        <v>3.8808226197568248E-3</v>
      </c>
      <c r="Z57" s="154"/>
    </row>
    <row r="58" spans="1:26" ht="15" thickBot="1" x14ac:dyDescent="0.35">
      <c r="A58" s="153"/>
      <c r="Q58" s="127" t="s">
        <v>252</v>
      </c>
      <c r="R58" s="127">
        <v>17</v>
      </c>
      <c r="Z58" s="154"/>
    </row>
    <row r="59" spans="1:26" ht="15" thickBot="1" x14ac:dyDescent="0.35">
      <c r="A59" s="153"/>
      <c r="B59" s="48" t="s">
        <v>66</v>
      </c>
      <c r="C59" s="48" t="s">
        <v>241</v>
      </c>
      <c r="D59" s="126" t="s">
        <v>242</v>
      </c>
      <c r="Z59" s="154"/>
    </row>
    <row r="60" spans="1:26" ht="15" thickBot="1" x14ac:dyDescent="0.35">
      <c r="A60" s="153"/>
      <c r="B60" s="258">
        <v>240527</v>
      </c>
      <c r="C60" s="119">
        <v>0.37666666666666665</v>
      </c>
      <c r="D60" s="120">
        <v>0.13266666666666665</v>
      </c>
      <c r="Q60" t="s">
        <v>253</v>
      </c>
      <c r="Z60" s="154"/>
    </row>
    <row r="61" spans="1:26" x14ac:dyDescent="0.3">
      <c r="A61" s="153"/>
      <c r="B61" s="259"/>
      <c r="C61" s="112">
        <v>0.48199999999999998</v>
      </c>
      <c r="D61" s="121">
        <v>0.16166666666666665</v>
      </c>
      <c r="Q61" s="129"/>
      <c r="R61" s="129" t="s">
        <v>254</v>
      </c>
      <c r="S61" s="129" t="s">
        <v>255</v>
      </c>
      <c r="T61" s="129" t="s">
        <v>256</v>
      </c>
      <c r="U61" s="129" t="s">
        <v>245</v>
      </c>
      <c r="V61" s="129" t="s">
        <v>257</v>
      </c>
      <c r="Z61" s="154"/>
    </row>
    <row r="62" spans="1:26" x14ac:dyDescent="0.3">
      <c r="A62" s="153"/>
      <c r="B62" s="259"/>
      <c r="C62" s="112">
        <v>0.6333333333333333</v>
      </c>
      <c r="D62" s="121">
        <v>0.21233333333333332</v>
      </c>
      <c r="Q62" t="s">
        <v>258</v>
      </c>
      <c r="R62">
        <v>1</v>
      </c>
      <c r="S62">
        <v>0.55122176356381491</v>
      </c>
      <c r="T62">
        <v>0.55122176356381491</v>
      </c>
      <c r="U62">
        <v>36599.804898845992</v>
      </c>
      <c r="V62">
        <v>7.9432648227256048E-27</v>
      </c>
      <c r="Z62" s="154"/>
    </row>
    <row r="63" spans="1:26" x14ac:dyDescent="0.3">
      <c r="A63" s="153"/>
      <c r="B63" s="259"/>
      <c r="C63" s="112">
        <v>0.68600000000000005</v>
      </c>
      <c r="D63" s="121">
        <v>0.23191666666666666</v>
      </c>
      <c r="Q63" t="s">
        <v>259</v>
      </c>
      <c r="R63">
        <v>16</v>
      </c>
      <c r="S63">
        <v>2.4097254729625958E-4</v>
      </c>
      <c r="T63">
        <v>1.5060784206016224E-5</v>
      </c>
      <c r="Z63" s="154"/>
    </row>
    <row r="64" spans="1:26" ht="15" thickBot="1" x14ac:dyDescent="0.35">
      <c r="A64" s="153"/>
      <c r="B64" s="259"/>
      <c r="C64" s="112">
        <v>0.33400000000000002</v>
      </c>
      <c r="D64" s="121">
        <v>0.11541666666666667</v>
      </c>
      <c r="Q64" s="127" t="s">
        <v>244</v>
      </c>
      <c r="R64" s="127">
        <v>17</v>
      </c>
      <c r="S64" s="127">
        <v>0.55146273611111118</v>
      </c>
      <c r="T64" s="127"/>
      <c r="U64" s="127"/>
      <c r="V64" s="127"/>
      <c r="Z64" s="154"/>
    </row>
    <row r="65" spans="1:26" ht="15" thickBot="1" x14ac:dyDescent="0.35">
      <c r="A65" s="153"/>
      <c r="B65" s="259"/>
      <c r="C65" s="112">
        <v>0.43566666666666665</v>
      </c>
      <c r="D65" s="121">
        <v>0.14716666666666667</v>
      </c>
      <c r="Z65" s="154"/>
    </row>
    <row r="66" spans="1:26" x14ac:dyDescent="0.3">
      <c r="A66" s="153"/>
      <c r="B66" s="259"/>
      <c r="C66" s="112">
        <v>0.58799999999999997</v>
      </c>
      <c r="D66" s="121">
        <v>0.19683333333333333</v>
      </c>
      <c r="Q66" s="129"/>
      <c r="R66" s="129" t="s">
        <v>260</v>
      </c>
      <c r="S66" s="129" t="s">
        <v>251</v>
      </c>
      <c r="T66" s="129" t="s">
        <v>261</v>
      </c>
      <c r="U66" s="129" t="s">
        <v>262</v>
      </c>
      <c r="V66" s="129" t="s">
        <v>263</v>
      </c>
      <c r="W66" s="129" t="s">
        <v>264</v>
      </c>
      <c r="X66" s="129" t="s">
        <v>265</v>
      </c>
      <c r="Y66" s="129" t="s">
        <v>266</v>
      </c>
      <c r="Z66" s="154"/>
    </row>
    <row r="67" spans="1:26" ht="15" thickBot="1" x14ac:dyDescent="0.35">
      <c r="A67" s="153"/>
      <c r="B67" s="260"/>
      <c r="C67" s="113">
        <v>0.63933333333333342</v>
      </c>
      <c r="D67" s="122">
        <v>0.21700000000000003</v>
      </c>
      <c r="Q67" t="s">
        <v>267</v>
      </c>
      <c r="R67">
        <v>0</v>
      </c>
      <c r="S67" t="e">
        <v>#N/A</v>
      </c>
      <c r="T67" t="e">
        <v>#N/A</v>
      </c>
      <c r="U67" t="e">
        <v>#N/A</v>
      </c>
      <c r="V67" t="e">
        <v>#N/A</v>
      </c>
      <c r="W67" t="e">
        <v>#N/A</v>
      </c>
      <c r="X67" t="e">
        <v>#N/A</v>
      </c>
      <c r="Y67" t="e">
        <v>#N/A</v>
      </c>
      <c r="Z67" s="154"/>
    </row>
    <row r="68" spans="1:26" ht="15" thickBot="1" x14ac:dyDescent="0.35">
      <c r="A68" s="153"/>
      <c r="B68" s="258">
        <v>240707</v>
      </c>
      <c r="C68" s="116">
        <v>0.42</v>
      </c>
      <c r="D68" s="123">
        <v>0.13500000000000001</v>
      </c>
      <c r="Q68" s="127" t="s">
        <v>246</v>
      </c>
      <c r="R68" s="127">
        <v>0.3330498472398124</v>
      </c>
      <c r="S68" s="127">
        <v>1.7408840794287945E-3</v>
      </c>
      <c r="T68" s="127">
        <v>191.31075479137598</v>
      </c>
      <c r="U68" s="127">
        <v>2.6109235478039851E-28</v>
      </c>
      <c r="V68" s="127">
        <v>0.32935933785450139</v>
      </c>
      <c r="W68" s="127">
        <v>0.33674035662512342</v>
      </c>
      <c r="X68" s="127">
        <v>0.32935933785450139</v>
      </c>
      <c r="Y68" s="127">
        <v>0.33674035662512342</v>
      </c>
      <c r="Z68" s="154"/>
    </row>
    <row r="69" spans="1:26" x14ac:dyDescent="0.3">
      <c r="A69" s="153"/>
      <c r="B69" s="259"/>
      <c r="C69" s="117">
        <v>0.52333333333333332</v>
      </c>
      <c r="D69" s="124">
        <v>0.1761666666666665</v>
      </c>
      <c r="Z69" s="154"/>
    </row>
    <row r="70" spans="1:26" ht="15" thickBot="1" x14ac:dyDescent="0.35">
      <c r="A70" s="153"/>
      <c r="B70" s="260"/>
      <c r="C70" s="118">
        <v>0.57666666666666666</v>
      </c>
      <c r="D70" s="125">
        <v>0.18891666666666651</v>
      </c>
      <c r="Z70" s="154"/>
    </row>
    <row r="71" spans="1:26" x14ac:dyDescent="0.3">
      <c r="A71" s="153"/>
      <c r="B71" s="258">
        <v>240722</v>
      </c>
      <c r="C71" s="116">
        <v>0.42599999999999999</v>
      </c>
      <c r="D71" s="123">
        <f>27.65/200</f>
        <v>0.13824999999999998</v>
      </c>
      <c r="Z71" s="154"/>
    </row>
    <row r="72" spans="1:26" x14ac:dyDescent="0.3">
      <c r="A72" s="153"/>
      <c r="B72" s="259"/>
      <c r="C72" s="117">
        <v>0.58333333333333326</v>
      </c>
      <c r="D72" s="124">
        <f>38.6/200</f>
        <v>0.193</v>
      </c>
      <c r="Z72" s="154"/>
    </row>
    <row r="73" spans="1:26" x14ac:dyDescent="0.3">
      <c r="A73" s="153"/>
      <c r="B73" s="259"/>
      <c r="C73" s="117">
        <v>0.65666666666666662</v>
      </c>
      <c r="D73" s="124">
        <f>41.9833333333333/200</f>
        <v>0.2099166666666665</v>
      </c>
      <c r="Z73" s="154"/>
    </row>
    <row r="74" spans="1:26" x14ac:dyDescent="0.3">
      <c r="A74" s="153"/>
      <c r="B74" s="259"/>
      <c r="C74" s="117">
        <v>0.42366666666666664</v>
      </c>
      <c r="D74" s="124">
        <f>27.7666666666667/200</f>
        <v>0.1388333333333335</v>
      </c>
      <c r="Z74" s="154"/>
    </row>
    <row r="75" spans="1:26" x14ac:dyDescent="0.3">
      <c r="A75" s="153"/>
      <c r="B75" s="259"/>
      <c r="C75" s="117">
        <v>0.58366666666666667</v>
      </c>
      <c r="D75" s="124">
        <f>38.8166666666667/200</f>
        <v>0.1940833333333335</v>
      </c>
      <c r="Z75" s="154"/>
    </row>
    <row r="76" spans="1:26" ht="15" thickBot="1" x14ac:dyDescent="0.35">
      <c r="A76" s="153"/>
      <c r="B76" s="260"/>
      <c r="C76" s="118">
        <v>0.64166666666666672</v>
      </c>
      <c r="D76" s="125">
        <f>42.7666666666667/200</f>
        <v>0.21383333333333351</v>
      </c>
      <c r="Z76" s="154"/>
    </row>
    <row r="77" spans="1:26" x14ac:dyDescent="0.3">
      <c r="A77" s="153"/>
      <c r="Z77" s="154"/>
    </row>
    <row r="78" spans="1:26" x14ac:dyDescent="0.3">
      <c r="A78" s="153"/>
      <c r="Z78" s="154"/>
    </row>
    <row r="79" spans="1:26" x14ac:dyDescent="0.3">
      <c r="A79" s="153"/>
      <c r="Z79" s="154"/>
    </row>
    <row r="80" spans="1:26" x14ac:dyDescent="0.3">
      <c r="A80" s="153"/>
      <c r="Z80" s="154"/>
    </row>
    <row r="81" spans="1:26" x14ac:dyDescent="0.3">
      <c r="A81" s="153"/>
      <c r="Z81" s="154"/>
    </row>
    <row r="82" spans="1:26" x14ac:dyDescent="0.3">
      <c r="A82" s="153"/>
      <c r="Z82" s="154"/>
    </row>
    <row r="83" spans="1:26" x14ac:dyDescent="0.3">
      <c r="A83" s="153"/>
      <c r="Z83" s="154"/>
    </row>
    <row r="84" spans="1:26" x14ac:dyDescent="0.3">
      <c r="A84" s="153"/>
      <c r="Z84" s="154"/>
    </row>
    <row r="85" spans="1:26" x14ac:dyDescent="0.3">
      <c r="A85" s="153"/>
      <c r="Z85" s="154"/>
    </row>
    <row r="86" spans="1:26" x14ac:dyDescent="0.3">
      <c r="A86" s="153"/>
      <c r="Z86" s="154"/>
    </row>
    <row r="87" spans="1:26" x14ac:dyDescent="0.3">
      <c r="A87" s="153"/>
      <c r="Z87" s="154"/>
    </row>
    <row r="88" spans="1:26" ht="15" thickBot="1" x14ac:dyDescent="0.35">
      <c r="A88" s="160"/>
      <c r="B88" s="161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  <c r="Y88" s="161"/>
      <c r="Z88" s="164"/>
    </row>
    <row r="89" spans="1:26" ht="15.6" thickTop="1" thickBot="1" x14ac:dyDescent="0.35">
      <c r="A89" s="150"/>
      <c r="B89" s="151"/>
      <c r="C89" s="151"/>
      <c r="D89" s="151"/>
      <c r="E89" s="151"/>
      <c r="F89" s="151"/>
      <c r="G89" s="151"/>
      <c r="H89" s="151"/>
      <c r="I89" s="151"/>
      <c r="J89" s="151"/>
      <c r="K89" s="151"/>
      <c r="L89" s="151"/>
      <c r="M89" s="151"/>
      <c r="N89" s="151"/>
      <c r="O89" s="151"/>
      <c r="P89" s="151"/>
      <c r="Q89" s="151"/>
      <c r="R89" s="151"/>
      <c r="S89" s="151"/>
      <c r="T89" s="151"/>
      <c r="U89" s="151"/>
      <c r="V89" s="151"/>
      <c r="W89" s="151"/>
      <c r="X89" s="151"/>
      <c r="Y89" s="151"/>
      <c r="Z89" s="152"/>
    </row>
    <row r="90" spans="1:26" ht="15" thickBot="1" x14ac:dyDescent="0.35">
      <c r="A90" s="168" t="s">
        <v>71</v>
      </c>
      <c r="B90" s="1" t="s">
        <v>0</v>
      </c>
      <c r="C90" s="1" t="s">
        <v>1</v>
      </c>
      <c r="D90" s="1" t="s">
        <v>69</v>
      </c>
      <c r="E90" s="1" t="s">
        <v>70</v>
      </c>
      <c r="F90" s="1" t="s">
        <v>2</v>
      </c>
      <c r="G90" s="1" t="s">
        <v>127</v>
      </c>
      <c r="H90" s="1" t="s">
        <v>128</v>
      </c>
      <c r="I90" s="48" t="s">
        <v>6</v>
      </c>
      <c r="J90" s="1" t="s">
        <v>179</v>
      </c>
      <c r="O90" s="269" t="s">
        <v>20</v>
      </c>
      <c r="P90" s="270"/>
      <c r="Q90" s="262" t="s">
        <v>359</v>
      </c>
      <c r="R90" s="263"/>
      <c r="S90" s="263"/>
      <c r="T90" s="264"/>
      <c r="U90" s="8"/>
      <c r="V90" s="8"/>
      <c r="Z90" s="154"/>
    </row>
    <row r="91" spans="1:26" x14ac:dyDescent="0.3">
      <c r="A91" s="281">
        <v>39.266666666666694</v>
      </c>
      <c r="B91" s="3">
        <v>19</v>
      </c>
      <c r="C91" s="299" t="s">
        <v>353</v>
      </c>
      <c r="D91" s="4">
        <v>135.19999999999999</v>
      </c>
      <c r="E91" s="4">
        <v>212.7</v>
      </c>
      <c r="F91" s="293">
        <v>2</v>
      </c>
      <c r="G91" s="65">
        <f>(E91-D91)/$F$91</f>
        <v>38.75</v>
      </c>
      <c r="H91" s="290">
        <f>AVERAGE(G91:G93)</f>
        <v>39.483333333333327</v>
      </c>
      <c r="I91" s="287">
        <f>STDEV(G91:G93)</f>
        <v>0.64291005073285956</v>
      </c>
      <c r="J91" s="278">
        <f>(I91/H91)*100</f>
        <v>1.6283074311511854</v>
      </c>
      <c r="O91" s="269" t="s">
        <v>21</v>
      </c>
      <c r="P91" s="269"/>
      <c r="Q91" s="14" t="s">
        <v>354</v>
      </c>
      <c r="Z91" s="154"/>
    </row>
    <row r="92" spans="1:26" x14ac:dyDescent="0.3">
      <c r="A92" s="282"/>
      <c r="B92" s="5">
        <v>20</v>
      </c>
      <c r="C92" s="300"/>
      <c r="D92" s="6">
        <v>135.9</v>
      </c>
      <c r="E92" s="6">
        <v>215.4</v>
      </c>
      <c r="F92" s="294"/>
      <c r="G92" s="58">
        <f t="shared" ref="G92:G96" si="34">(E92-D92)/$F$91</f>
        <v>39.75</v>
      </c>
      <c r="H92" s="291"/>
      <c r="I92" s="288"/>
      <c r="J92" s="279"/>
      <c r="O92" s="270" t="s">
        <v>13</v>
      </c>
      <c r="P92" s="275"/>
      <c r="Q92" s="265" t="s">
        <v>22</v>
      </c>
      <c r="R92" s="266"/>
      <c r="S92" s="266"/>
      <c r="T92" s="266"/>
      <c r="U92" s="266"/>
      <c r="V92" s="266"/>
      <c r="W92" s="266"/>
      <c r="X92" s="266"/>
      <c r="Y92" s="266"/>
      <c r="Z92" s="267"/>
    </row>
    <row r="93" spans="1:26" ht="15" thickBot="1" x14ac:dyDescent="0.35">
      <c r="A93" s="282"/>
      <c r="B93" s="7">
        <v>21</v>
      </c>
      <c r="C93" s="301"/>
      <c r="D93" s="2">
        <v>134.80000000000001</v>
      </c>
      <c r="E93" s="57">
        <v>214.7</v>
      </c>
      <c r="F93" s="294"/>
      <c r="G93" s="57">
        <f t="shared" si="34"/>
        <v>39.949999999999989</v>
      </c>
      <c r="H93" s="292"/>
      <c r="I93" s="289"/>
      <c r="J93" s="280"/>
      <c r="O93" s="270" t="s">
        <v>119</v>
      </c>
      <c r="P93" s="275"/>
      <c r="Q93" s="276">
        <v>45540</v>
      </c>
      <c r="R93" s="277"/>
      <c r="S93" s="277"/>
      <c r="T93" s="277"/>
      <c r="U93" s="169"/>
      <c r="V93" s="169"/>
      <c r="W93" s="170" t="s">
        <v>355</v>
      </c>
      <c r="X93" s="170"/>
      <c r="Y93" s="170"/>
      <c r="Z93" s="171"/>
    </row>
    <row r="94" spans="1:26" x14ac:dyDescent="0.3">
      <c r="A94" s="282"/>
      <c r="B94" s="3">
        <v>22</v>
      </c>
      <c r="C94" s="284" t="s">
        <v>173</v>
      </c>
      <c r="D94" s="4">
        <v>137.1</v>
      </c>
      <c r="E94" s="4">
        <v>221.7</v>
      </c>
      <c r="F94" s="294"/>
      <c r="G94" s="65">
        <f t="shared" si="34"/>
        <v>42.3</v>
      </c>
      <c r="H94" s="290">
        <f t="shared" ref="H94" si="35">AVERAGE(G94:G96)</f>
        <v>43.066666666666663</v>
      </c>
      <c r="I94" s="287">
        <f t="shared" ref="I94" si="36">STDEV(G94:G96)</f>
        <v>0.70945988845975416</v>
      </c>
      <c r="J94" s="278">
        <f t="shared" ref="J94" si="37">(I94/H94)*100</f>
        <v>1.6473526821820919</v>
      </c>
      <c r="L94" s="177" t="s">
        <v>357</v>
      </c>
      <c r="O94" s="270" t="s">
        <v>120</v>
      </c>
      <c r="P94" s="275"/>
      <c r="Q94" s="276">
        <v>45479</v>
      </c>
      <c r="R94" s="277"/>
      <c r="S94" s="277"/>
      <c r="T94" s="277"/>
      <c r="U94" s="169"/>
      <c r="V94" s="169"/>
      <c r="W94" s="170" t="s">
        <v>356</v>
      </c>
      <c r="X94" s="170"/>
      <c r="Y94" s="170"/>
      <c r="Z94" s="154"/>
    </row>
    <row r="95" spans="1:26" x14ac:dyDescent="0.3">
      <c r="A95" s="282"/>
      <c r="B95" s="5">
        <v>23</v>
      </c>
      <c r="C95" s="285"/>
      <c r="D95" s="6">
        <v>135.80000000000001</v>
      </c>
      <c r="E95" s="58">
        <v>222.2</v>
      </c>
      <c r="F95" s="294"/>
      <c r="G95" s="58">
        <f t="shared" si="34"/>
        <v>43.199999999999989</v>
      </c>
      <c r="H95" s="291"/>
      <c r="I95" s="288"/>
      <c r="J95" s="279"/>
      <c r="L95" s="173" t="s">
        <v>177</v>
      </c>
      <c r="Z95" s="154"/>
    </row>
    <row r="96" spans="1:26" ht="15" thickBot="1" x14ac:dyDescent="0.35">
      <c r="A96" s="283"/>
      <c r="B96" s="7">
        <v>24</v>
      </c>
      <c r="C96" s="286"/>
      <c r="D96" s="2">
        <v>135.30000000000001</v>
      </c>
      <c r="E96" s="57">
        <v>222.7</v>
      </c>
      <c r="F96" s="295"/>
      <c r="G96" s="57">
        <f t="shared" si="34"/>
        <v>43.699999999999989</v>
      </c>
      <c r="H96" s="292"/>
      <c r="I96" s="289"/>
      <c r="J96" s="280"/>
      <c r="Z96" s="154"/>
    </row>
    <row r="97" spans="1:27" x14ac:dyDescent="0.3">
      <c r="A97" s="153"/>
      <c r="Z97" s="154"/>
      <c r="AA97" s="12"/>
    </row>
    <row r="98" spans="1:27" ht="16.2" x14ac:dyDescent="0.3">
      <c r="A98" s="153"/>
      <c r="O98" s="271" t="s">
        <v>121</v>
      </c>
      <c r="P98" s="271"/>
      <c r="Q98" s="271"/>
      <c r="R98" s="271"/>
      <c r="S98" s="271"/>
      <c r="T98" s="271"/>
      <c r="U98" s="271"/>
      <c r="V98" s="271"/>
      <c r="W98" s="271"/>
      <c r="Z98" s="154"/>
    </row>
    <row r="99" spans="1:27" x14ac:dyDescent="0.3">
      <c r="A99" s="153"/>
      <c r="O99" s="9" t="s">
        <v>9</v>
      </c>
      <c r="P99" s="10" t="s">
        <v>122</v>
      </c>
      <c r="Q99" s="272" t="s">
        <v>10</v>
      </c>
      <c r="R99" s="272"/>
      <c r="S99" s="268" t="s">
        <v>11</v>
      </c>
      <c r="T99" s="268"/>
      <c r="U99" s="273" t="s">
        <v>126</v>
      </c>
      <c r="V99" s="274"/>
      <c r="W99" s="11" t="s">
        <v>12</v>
      </c>
      <c r="Z99" s="154"/>
    </row>
    <row r="100" spans="1:27" x14ac:dyDescent="0.3">
      <c r="A100" s="153"/>
      <c r="O100" s="9" t="s">
        <v>14</v>
      </c>
      <c r="P100" s="10">
        <v>3.5</v>
      </c>
      <c r="Q100" s="272" t="s">
        <v>123</v>
      </c>
      <c r="R100" s="272"/>
      <c r="S100" s="268" t="s">
        <v>15</v>
      </c>
      <c r="T100" s="268"/>
      <c r="U100" s="273" t="s">
        <v>140</v>
      </c>
      <c r="V100" s="274"/>
      <c r="W100" s="11" t="s">
        <v>12</v>
      </c>
      <c r="X100" s="12"/>
      <c r="Y100" s="12"/>
      <c r="Z100" s="174"/>
    </row>
    <row r="101" spans="1:27" x14ac:dyDescent="0.3">
      <c r="A101" s="153"/>
      <c r="O101" s="9" t="s">
        <v>16</v>
      </c>
      <c r="P101" s="10">
        <v>25</v>
      </c>
      <c r="Q101" s="272" t="s">
        <v>124</v>
      </c>
      <c r="R101" s="272"/>
      <c r="S101" s="268" t="s">
        <v>17</v>
      </c>
      <c r="T101" s="268"/>
      <c r="Z101" s="154"/>
    </row>
    <row r="102" spans="1:27" x14ac:dyDescent="0.3">
      <c r="A102" s="153"/>
      <c r="O102" s="9" t="s">
        <v>18</v>
      </c>
      <c r="P102" s="10" t="s">
        <v>76</v>
      </c>
      <c r="Q102" s="272" t="s">
        <v>125</v>
      </c>
      <c r="R102" s="272"/>
      <c r="S102" s="268" t="s">
        <v>19</v>
      </c>
      <c r="T102" s="268"/>
      <c r="Z102" s="154"/>
    </row>
    <row r="103" spans="1:27" x14ac:dyDescent="0.3">
      <c r="A103" s="153"/>
      <c r="Z103" s="154"/>
    </row>
    <row r="104" spans="1:27" ht="15" thickBot="1" x14ac:dyDescent="0.35">
      <c r="A104" s="160"/>
      <c r="B104" s="161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4"/>
    </row>
    <row r="105" spans="1:27" ht="15" thickTop="1" x14ac:dyDescent="0.3"/>
    <row r="128" spans="12:13" x14ac:dyDescent="0.3">
      <c r="L128" s="15"/>
      <c r="M128" s="15"/>
    </row>
    <row r="129" spans="12:13" x14ac:dyDescent="0.3">
      <c r="L129" s="15"/>
      <c r="M129" s="15"/>
    </row>
    <row r="130" spans="12:13" x14ac:dyDescent="0.3">
      <c r="L130" s="15"/>
      <c r="M130" s="15"/>
    </row>
    <row r="131" spans="12:13" x14ac:dyDescent="0.3">
      <c r="L131" s="15"/>
      <c r="M131" s="15"/>
    </row>
    <row r="132" spans="12:13" x14ac:dyDescent="0.3">
      <c r="L132" s="15"/>
      <c r="M132" s="15"/>
    </row>
  </sheetData>
  <mergeCells count="137">
    <mergeCell ref="Q102:R102"/>
    <mergeCell ref="S102:T102"/>
    <mergeCell ref="O93:P93"/>
    <mergeCell ref="Q93:T93"/>
    <mergeCell ref="Q101:R101"/>
    <mergeCell ref="S101:T101"/>
    <mergeCell ref="Q99:R99"/>
    <mergeCell ref="S99:T99"/>
    <mergeCell ref="U99:V99"/>
    <mergeCell ref="O92:P92"/>
    <mergeCell ref="Q92:Z92"/>
    <mergeCell ref="Q100:R100"/>
    <mergeCell ref="S100:T100"/>
    <mergeCell ref="U100:V100"/>
    <mergeCell ref="C94:C96"/>
    <mergeCell ref="H94:H96"/>
    <mergeCell ref="I94:I96"/>
    <mergeCell ref="J94:J96"/>
    <mergeCell ref="O94:P94"/>
    <mergeCell ref="Q94:T94"/>
    <mergeCell ref="O90:P90"/>
    <mergeCell ref="Q90:T90"/>
    <mergeCell ref="O98:W98"/>
    <mergeCell ref="O91:P91"/>
    <mergeCell ref="A91:A96"/>
    <mergeCell ref="C91:C93"/>
    <mergeCell ref="F91:F96"/>
    <mergeCell ref="H91:H93"/>
    <mergeCell ref="I91:I93"/>
    <mergeCell ref="J91:J93"/>
    <mergeCell ref="C18:C20"/>
    <mergeCell ref="H18:H20"/>
    <mergeCell ref="I18:I20"/>
    <mergeCell ref="J18:J20"/>
    <mergeCell ref="A15:A20"/>
    <mergeCell ref="C15:C17"/>
    <mergeCell ref="H15:H17"/>
    <mergeCell ref="I15:I17"/>
    <mergeCell ref="J15:J17"/>
    <mergeCell ref="J6:J8"/>
    <mergeCell ref="O6:P6"/>
    <mergeCell ref="Q6:T6"/>
    <mergeCell ref="Q14:R14"/>
    <mergeCell ref="S14:T14"/>
    <mergeCell ref="S12:T12"/>
    <mergeCell ref="A9:A14"/>
    <mergeCell ref="C9:C11"/>
    <mergeCell ref="H9:H11"/>
    <mergeCell ref="I9:I11"/>
    <mergeCell ref="J9:J11"/>
    <mergeCell ref="C12:C14"/>
    <mergeCell ref="H12:H14"/>
    <mergeCell ref="I12:I14"/>
    <mergeCell ref="J12:J14"/>
    <mergeCell ref="U12:V12"/>
    <mergeCell ref="O5:P5"/>
    <mergeCell ref="Q5:T5"/>
    <mergeCell ref="Q13:R13"/>
    <mergeCell ref="S13:T13"/>
    <mergeCell ref="O2:P2"/>
    <mergeCell ref="Q2:T2"/>
    <mergeCell ref="O10:W10"/>
    <mergeCell ref="A3:A8"/>
    <mergeCell ref="C3:C5"/>
    <mergeCell ref="F3:F20"/>
    <mergeCell ref="H3:H5"/>
    <mergeCell ref="I3:I5"/>
    <mergeCell ref="J3:J5"/>
    <mergeCell ref="O3:P3"/>
    <mergeCell ref="Q11:R11"/>
    <mergeCell ref="S11:T11"/>
    <mergeCell ref="U11:V11"/>
    <mergeCell ref="O4:P4"/>
    <mergeCell ref="Q4:Z4"/>
    <mergeCell ref="Q12:R12"/>
    <mergeCell ref="C6:C8"/>
    <mergeCell ref="H6:H8"/>
    <mergeCell ref="I6:I8"/>
    <mergeCell ref="A25:A30"/>
    <mergeCell ref="A31:A36"/>
    <mergeCell ref="A37:A42"/>
    <mergeCell ref="J37:J39"/>
    <mergeCell ref="J40:J42"/>
    <mergeCell ref="C34:C36"/>
    <mergeCell ref="C37:C39"/>
    <mergeCell ref="C31:C33"/>
    <mergeCell ref="C40:C42"/>
    <mergeCell ref="I37:I39"/>
    <mergeCell ref="H40:H42"/>
    <mergeCell ref="I40:I42"/>
    <mergeCell ref="F25:F42"/>
    <mergeCell ref="H37:H39"/>
    <mergeCell ref="C25:C27"/>
    <mergeCell ref="C28:C30"/>
    <mergeCell ref="H25:H27"/>
    <mergeCell ref="I25:I27"/>
    <mergeCell ref="H28:H30"/>
    <mergeCell ref="I28:I30"/>
    <mergeCell ref="H34:H36"/>
    <mergeCell ref="H31:H33"/>
    <mergeCell ref="I31:I33"/>
    <mergeCell ref="I34:I36"/>
    <mergeCell ref="Q36:R36"/>
    <mergeCell ref="J25:J27"/>
    <mergeCell ref="J28:J30"/>
    <mergeCell ref="J31:J33"/>
    <mergeCell ref="J34:J36"/>
    <mergeCell ref="O27:P27"/>
    <mergeCell ref="Q27:T27"/>
    <mergeCell ref="Q35:R35"/>
    <mergeCell ref="S35:T35"/>
    <mergeCell ref="S36:T36"/>
    <mergeCell ref="Q24:T24"/>
    <mergeCell ref="Q26:Z26"/>
    <mergeCell ref="S34:T34"/>
    <mergeCell ref="O24:P24"/>
    <mergeCell ref="O32:W32"/>
    <mergeCell ref="O25:P25"/>
    <mergeCell ref="Q33:R33"/>
    <mergeCell ref="S33:T33"/>
    <mergeCell ref="U33:V33"/>
    <mergeCell ref="U34:V34"/>
    <mergeCell ref="O26:P26"/>
    <mergeCell ref="Q34:R34"/>
    <mergeCell ref="O28:P28"/>
    <mergeCell ref="Q28:T28"/>
    <mergeCell ref="L50:M50"/>
    <mergeCell ref="J49:M49"/>
    <mergeCell ref="B60:B67"/>
    <mergeCell ref="B68:B70"/>
    <mergeCell ref="B71:B76"/>
    <mergeCell ref="H50:I50"/>
    <mergeCell ref="J50:K50"/>
    <mergeCell ref="H49:I49"/>
    <mergeCell ref="C50:D50"/>
    <mergeCell ref="E50:F50"/>
    <mergeCell ref="C49:F4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BF4DF-AAAA-4B54-AA0E-29DBC5A208DD}">
  <dimension ref="A1:T155"/>
  <sheetViews>
    <sheetView topLeftCell="A23" zoomScale="68" zoomScaleNormal="68" workbookViewId="0">
      <selection activeCell="T39" sqref="T39"/>
    </sheetView>
  </sheetViews>
  <sheetFormatPr baseColWidth="10" defaultColWidth="8.88671875" defaultRowHeight="14.4" x14ac:dyDescent="0.3"/>
  <cols>
    <col min="1" max="1" width="10.6640625" bestFit="1" customWidth="1"/>
    <col min="2" max="2" width="12" bestFit="1" customWidth="1"/>
    <col min="3" max="3" width="12.88671875" bestFit="1" customWidth="1"/>
    <col min="4" max="4" width="23.44140625" bestFit="1" customWidth="1"/>
    <col min="5" max="5" width="14.88671875" bestFit="1" customWidth="1"/>
    <col min="6" max="6" width="19.6640625" bestFit="1" customWidth="1"/>
    <col min="7" max="7" width="13.44140625" bestFit="1" customWidth="1"/>
    <col min="8" max="8" width="11.33203125" bestFit="1" customWidth="1"/>
    <col min="13" max="13" width="8.109375" bestFit="1" customWidth="1"/>
    <col min="14" max="14" width="9.6640625" customWidth="1"/>
    <col min="15" max="15" width="13.6640625" customWidth="1"/>
    <col min="16" max="16" width="27" bestFit="1" customWidth="1"/>
    <col min="17" max="17" width="27.88671875" bestFit="1" customWidth="1"/>
    <col min="18" max="18" width="9.6640625" customWidth="1"/>
    <col min="20" max="20" width="25.88671875" bestFit="1" customWidth="1"/>
  </cols>
  <sheetData>
    <row r="1" spans="1:20" ht="15.6" thickTop="1" thickBot="1" x14ac:dyDescent="0.35">
      <c r="A1" s="180" t="s">
        <v>3</v>
      </c>
      <c r="B1" s="181" t="s">
        <v>1</v>
      </c>
      <c r="C1" s="181" t="s">
        <v>4</v>
      </c>
      <c r="D1" s="181" t="s">
        <v>59</v>
      </c>
      <c r="E1" s="181" t="s">
        <v>7</v>
      </c>
      <c r="F1" s="181" t="s">
        <v>5</v>
      </c>
      <c r="G1" s="181" t="s">
        <v>114</v>
      </c>
      <c r="H1" s="181" t="s">
        <v>178</v>
      </c>
      <c r="I1" s="151"/>
      <c r="J1" s="151"/>
      <c r="K1" s="182" t="s">
        <v>60</v>
      </c>
      <c r="L1" s="182" t="s">
        <v>61</v>
      </c>
      <c r="M1" s="182" t="s">
        <v>62</v>
      </c>
      <c r="N1" s="182" t="s">
        <v>63</v>
      </c>
      <c r="O1" s="183" t="s">
        <v>141</v>
      </c>
      <c r="P1" s="151"/>
      <c r="Q1" s="151"/>
      <c r="R1" s="151"/>
      <c r="S1" s="151"/>
      <c r="T1" s="152"/>
    </row>
    <row r="2" spans="1:20" x14ac:dyDescent="0.3">
      <c r="A2" s="313">
        <v>0</v>
      </c>
      <c r="B2" s="322" t="s">
        <v>161</v>
      </c>
      <c r="C2" s="318" t="s">
        <v>58</v>
      </c>
      <c r="D2" s="310">
        <v>300</v>
      </c>
      <c r="E2" s="102">
        <v>0.61</v>
      </c>
      <c r="F2" s="287">
        <f>AVERAGE(E2:E4)</f>
        <v>0.622</v>
      </c>
      <c r="G2" s="287">
        <f>STDEV(E2:E4)</f>
        <v>1.1135528725660053E-2</v>
      </c>
      <c r="H2" s="278">
        <f>(G2/F2)*100</f>
        <v>1.7902779301704266</v>
      </c>
      <c r="J2" s="296" t="s">
        <v>161</v>
      </c>
      <c r="K2" s="304">
        <v>0</v>
      </c>
      <c r="L2" s="304">
        <v>2</v>
      </c>
      <c r="M2" s="304">
        <f>D2/1000</f>
        <v>0.3</v>
      </c>
      <c r="N2" s="307">
        <f>SUM(K2:M4)</f>
        <v>2.2999999999999998</v>
      </c>
      <c r="O2" s="307">
        <v>2.5</v>
      </c>
      <c r="T2" s="154"/>
    </row>
    <row r="3" spans="1:20" ht="15" thickBot="1" x14ac:dyDescent="0.35">
      <c r="A3" s="314"/>
      <c r="B3" s="323"/>
      <c r="C3" s="319"/>
      <c r="D3" s="311"/>
      <c r="E3" s="103">
        <v>0.63200000000000001</v>
      </c>
      <c r="F3" s="288"/>
      <c r="G3" s="288"/>
      <c r="H3" s="279"/>
      <c r="J3" s="297"/>
      <c r="K3" s="305"/>
      <c r="L3" s="305"/>
      <c r="M3" s="305"/>
      <c r="N3" s="308"/>
      <c r="O3" s="308"/>
      <c r="T3" s="154"/>
    </row>
    <row r="4" spans="1:20" ht="15" thickBot="1" x14ac:dyDescent="0.35">
      <c r="A4" s="314"/>
      <c r="B4" s="324"/>
      <c r="C4" s="319"/>
      <c r="D4" s="312"/>
      <c r="E4" s="104">
        <v>0.624</v>
      </c>
      <c r="F4" s="289"/>
      <c r="G4" s="289"/>
      <c r="H4" s="280"/>
      <c r="J4" s="298"/>
      <c r="K4" s="306"/>
      <c r="L4" s="306"/>
      <c r="M4" s="306"/>
      <c r="N4" s="309"/>
      <c r="O4" s="309"/>
      <c r="Q4" s="325" t="s">
        <v>350</v>
      </c>
      <c r="T4" s="154"/>
    </row>
    <row r="5" spans="1:20" x14ac:dyDescent="0.3">
      <c r="A5" s="314"/>
      <c r="B5" s="315" t="s">
        <v>162</v>
      </c>
      <c r="C5" s="319"/>
      <c r="D5" s="310">
        <v>300</v>
      </c>
      <c r="E5" s="102">
        <v>0.63500000000000001</v>
      </c>
      <c r="F5" s="287">
        <f t="shared" ref="F5" si="0">AVERAGE(E5:E7)</f>
        <v>0.63200000000000001</v>
      </c>
      <c r="G5" s="287">
        <f t="shared" ref="G5" si="1">STDEV(E5:E7)</f>
        <v>4.3588989435406778E-3</v>
      </c>
      <c r="H5" s="278">
        <f t="shared" ref="H5" si="2">(G5/F5)*100</f>
        <v>0.68969919992732243</v>
      </c>
      <c r="Q5" s="326"/>
      <c r="T5" s="154"/>
    </row>
    <row r="6" spans="1:20" ht="15" thickBot="1" x14ac:dyDescent="0.35">
      <c r="A6" s="314"/>
      <c r="B6" s="316"/>
      <c r="C6" s="319"/>
      <c r="D6" s="311"/>
      <c r="E6" s="103">
        <v>0.63400000000000001</v>
      </c>
      <c r="F6" s="288"/>
      <c r="G6" s="288"/>
      <c r="H6" s="279"/>
      <c r="Q6" s="327"/>
      <c r="T6" s="154"/>
    </row>
    <row r="7" spans="1:20" ht="15" thickBot="1" x14ac:dyDescent="0.35">
      <c r="A7" s="314"/>
      <c r="B7" s="317"/>
      <c r="C7" s="319"/>
      <c r="D7" s="312"/>
      <c r="E7" s="104">
        <v>0.627</v>
      </c>
      <c r="F7" s="289"/>
      <c r="G7" s="289"/>
      <c r="H7" s="280"/>
      <c r="T7" s="154"/>
    </row>
    <row r="8" spans="1:20" x14ac:dyDescent="0.3">
      <c r="A8" s="313">
        <v>9.5166666666666657</v>
      </c>
      <c r="B8" s="322" t="s">
        <v>163</v>
      </c>
      <c r="C8" s="318" t="s">
        <v>195</v>
      </c>
      <c r="D8" s="310">
        <v>300</v>
      </c>
      <c r="E8" s="102">
        <v>0.39100000000000001</v>
      </c>
      <c r="F8" s="287">
        <f t="shared" ref="F8" si="3">AVERAGE(E8:E10)</f>
        <v>0.39100000000000001</v>
      </c>
      <c r="G8" s="287">
        <f t="shared" ref="G8" si="4">STDEV(E8:E10)</f>
        <v>4.0000000000000036E-3</v>
      </c>
      <c r="H8" s="278">
        <f t="shared" ref="H8" si="5">(G8/F8)*100</f>
        <v>1.0230179028133002</v>
      </c>
      <c r="J8" s="296" t="s">
        <v>163</v>
      </c>
      <c r="K8" s="304">
        <v>0</v>
      </c>
      <c r="L8" s="304">
        <v>2</v>
      </c>
      <c r="M8" s="304">
        <f>D8/1000</f>
        <v>0.3</v>
      </c>
      <c r="N8" s="307">
        <f>SUM(K8:M10)</f>
        <v>2.2999999999999998</v>
      </c>
      <c r="O8" s="307">
        <v>2.5</v>
      </c>
      <c r="T8" s="154"/>
    </row>
    <row r="9" spans="1:20" x14ac:dyDescent="0.3">
      <c r="A9" s="314"/>
      <c r="B9" s="323"/>
      <c r="C9" s="319"/>
      <c r="D9" s="311"/>
      <c r="E9" s="103">
        <v>0.38700000000000001</v>
      </c>
      <c r="F9" s="288"/>
      <c r="G9" s="288"/>
      <c r="H9" s="279"/>
      <c r="J9" s="297"/>
      <c r="K9" s="305"/>
      <c r="L9" s="305"/>
      <c r="M9" s="305"/>
      <c r="N9" s="308"/>
      <c r="O9" s="308"/>
      <c r="T9" s="154"/>
    </row>
    <row r="10" spans="1:20" ht="15" thickBot="1" x14ac:dyDescent="0.35">
      <c r="A10" s="314"/>
      <c r="B10" s="324"/>
      <c r="C10" s="319"/>
      <c r="D10" s="312"/>
      <c r="E10" s="104">
        <v>0.39500000000000002</v>
      </c>
      <c r="F10" s="289"/>
      <c r="G10" s="289"/>
      <c r="H10" s="280"/>
      <c r="J10" s="298"/>
      <c r="K10" s="306"/>
      <c r="L10" s="306"/>
      <c r="M10" s="306"/>
      <c r="N10" s="309"/>
      <c r="O10" s="309"/>
      <c r="T10" s="154"/>
    </row>
    <row r="11" spans="1:20" x14ac:dyDescent="0.3">
      <c r="A11" s="314"/>
      <c r="B11" s="315" t="s">
        <v>164</v>
      </c>
      <c r="C11" s="319"/>
      <c r="D11" s="310">
        <v>300</v>
      </c>
      <c r="E11" s="102">
        <v>0.41799999999999998</v>
      </c>
      <c r="F11" s="287">
        <f t="shared" ref="F11" si="6">AVERAGE(E11:E13)</f>
        <v>0.40333333333333332</v>
      </c>
      <c r="G11" s="287">
        <f t="shared" ref="G11" si="7">STDEV(E11:E13)</f>
        <v>1.3316656236958766E-2</v>
      </c>
      <c r="H11" s="278">
        <f>(G11/F11)*100</f>
        <v>3.301650306683992</v>
      </c>
      <c r="T11" s="154"/>
    </row>
    <row r="12" spans="1:20" x14ac:dyDescent="0.3">
      <c r="A12" s="314"/>
      <c r="B12" s="316"/>
      <c r="C12" s="319"/>
      <c r="D12" s="311"/>
      <c r="E12" s="103">
        <v>0.39200000000000002</v>
      </c>
      <c r="F12" s="288"/>
      <c r="G12" s="288"/>
      <c r="H12" s="279"/>
      <c r="T12" s="154"/>
    </row>
    <row r="13" spans="1:20" ht="15" thickBot="1" x14ac:dyDescent="0.35">
      <c r="A13" s="314"/>
      <c r="B13" s="317"/>
      <c r="C13" s="319"/>
      <c r="D13" s="312"/>
      <c r="E13" s="104">
        <v>0.4</v>
      </c>
      <c r="F13" s="289"/>
      <c r="G13" s="289"/>
      <c r="H13" s="280"/>
      <c r="T13" s="154"/>
    </row>
    <row r="14" spans="1:20" x14ac:dyDescent="0.3">
      <c r="A14" s="313">
        <v>14.183333333333366</v>
      </c>
      <c r="B14" s="322" t="s">
        <v>165</v>
      </c>
      <c r="C14" s="318" t="s">
        <v>195</v>
      </c>
      <c r="D14" s="310">
        <v>300</v>
      </c>
      <c r="E14" s="102">
        <v>0.41399999999999998</v>
      </c>
      <c r="F14" s="287">
        <f t="shared" ref="F14" si="8">AVERAGE(E14:E16)</f>
        <v>0.41233333333333327</v>
      </c>
      <c r="G14" s="287">
        <f t="shared" ref="G14" si="9">STDEV(E14:E16)</f>
        <v>3.7859388972001857E-3</v>
      </c>
      <c r="H14" s="278">
        <f t="shared" ref="H14" si="10">(G14/F14)*100</f>
        <v>0.91817434855299596</v>
      </c>
      <c r="J14" s="296" t="s">
        <v>165</v>
      </c>
      <c r="K14" s="304">
        <v>6</v>
      </c>
      <c r="L14" s="304">
        <v>2</v>
      </c>
      <c r="M14" s="304">
        <f>D14/1000</f>
        <v>0.3</v>
      </c>
      <c r="N14" s="307">
        <f>SUM(K14:M16)</f>
        <v>8.3000000000000007</v>
      </c>
      <c r="O14" s="307">
        <v>9</v>
      </c>
      <c r="T14" s="154"/>
    </row>
    <row r="15" spans="1:20" x14ac:dyDescent="0.3">
      <c r="A15" s="314"/>
      <c r="B15" s="323"/>
      <c r="C15" s="319"/>
      <c r="D15" s="311"/>
      <c r="E15" s="103">
        <v>0.40799999999999997</v>
      </c>
      <c r="F15" s="288"/>
      <c r="G15" s="288"/>
      <c r="H15" s="279"/>
      <c r="J15" s="297"/>
      <c r="K15" s="305"/>
      <c r="L15" s="305"/>
      <c r="M15" s="305"/>
      <c r="N15" s="308"/>
      <c r="O15" s="308"/>
      <c r="T15" s="154"/>
    </row>
    <row r="16" spans="1:20" ht="15" thickBot="1" x14ac:dyDescent="0.35">
      <c r="A16" s="314"/>
      <c r="B16" s="324"/>
      <c r="C16" s="319"/>
      <c r="D16" s="312"/>
      <c r="E16" s="104">
        <v>0.41499999999999998</v>
      </c>
      <c r="F16" s="289"/>
      <c r="G16" s="289"/>
      <c r="H16" s="280"/>
      <c r="J16" s="298"/>
      <c r="K16" s="306"/>
      <c r="L16" s="306"/>
      <c r="M16" s="306"/>
      <c r="N16" s="309"/>
      <c r="O16" s="309"/>
      <c r="T16" s="154"/>
    </row>
    <row r="17" spans="1:20" x14ac:dyDescent="0.3">
      <c r="A17" s="314"/>
      <c r="B17" s="315" t="s">
        <v>166</v>
      </c>
      <c r="C17" s="319"/>
      <c r="D17" s="310">
        <v>300</v>
      </c>
      <c r="E17" s="102">
        <v>0.41499999999999998</v>
      </c>
      <c r="F17" s="287">
        <f t="shared" ref="F17" si="11">AVERAGE(E17:E19)</f>
        <v>0.42</v>
      </c>
      <c r="G17" s="287">
        <f t="shared" ref="G17" si="12">STDEV(E17:E19)</f>
        <v>4.3588989435406778E-3</v>
      </c>
      <c r="H17" s="278">
        <f t="shared" ref="H17" si="13">(G17/F17)*100</f>
        <v>1.0378330817953996</v>
      </c>
      <c r="T17" s="154"/>
    </row>
    <row r="18" spans="1:20" x14ac:dyDescent="0.3">
      <c r="A18" s="314"/>
      <c r="B18" s="316"/>
      <c r="C18" s="319"/>
      <c r="D18" s="311"/>
      <c r="E18" s="103">
        <v>0.42199999999999999</v>
      </c>
      <c r="F18" s="288"/>
      <c r="G18" s="288"/>
      <c r="H18" s="279"/>
      <c r="T18" s="154"/>
    </row>
    <row r="19" spans="1:20" ht="15" thickBot="1" x14ac:dyDescent="0.35">
      <c r="A19" s="314"/>
      <c r="B19" s="317"/>
      <c r="C19" s="319"/>
      <c r="D19" s="312"/>
      <c r="E19" s="104">
        <v>0.42299999999999999</v>
      </c>
      <c r="F19" s="289"/>
      <c r="G19" s="289"/>
      <c r="H19" s="280"/>
      <c r="T19" s="154"/>
    </row>
    <row r="20" spans="1:20" x14ac:dyDescent="0.3">
      <c r="A20" s="313">
        <v>19.183333333333334</v>
      </c>
      <c r="B20" s="322" t="s">
        <v>167</v>
      </c>
      <c r="C20" s="318" t="s">
        <v>195</v>
      </c>
      <c r="D20" s="310">
        <v>300</v>
      </c>
      <c r="E20" s="102">
        <v>0.45500000000000002</v>
      </c>
      <c r="F20" s="287">
        <f t="shared" ref="F20" si="14">AVERAGE(E20:E22)</f>
        <v>0.45400000000000001</v>
      </c>
      <c r="G20" s="287">
        <f t="shared" ref="G20" si="15">STDEV(E20:E22)</f>
        <v>3.6055512754639926E-3</v>
      </c>
      <c r="H20" s="278">
        <f t="shared" ref="H20" si="16">(G20/F20)*100</f>
        <v>0.79417428974977811</v>
      </c>
      <c r="J20" s="296" t="s">
        <v>167</v>
      </c>
      <c r="K20" s="304">
        <v>0</v>
      </c>
      <c r="L20" s="304">
        <v>2</v>
      </c>
      <c r="M20" s="304">
        <f>D20/1000</f>
        <v>0.3</v>
      </c>
      <c r="N20" s="307">
        <f>SUM(K20:M22)</f>
        <v>2.2999999999999998</v>
      </c>
      <c r="O20" s="307">
        <v>2.5</v>
      </c>
      <c r="T20" s="154"/>
    </row>
    <row r="21" spans="1:20" x14ac:dyDescent="0.3">
      <c r="A21" s="314"/>
      <c r="B21" s="323"/>
      <c r="C21" s="319"/>
      <c r="D21" s="311"/>
      <c r="E21" s="103">
        <v>0.45</v>
      </c>
      <c r="F21" s="288"/>
      <c r="G21" s="288"/>
      <c r="H21" s="279"/>
      <c r="J21" s="297"/>
      <c r="K21" s="305"/>
      <c r="L21" s="305"/>
      <c r="M21" s="305"/>
      <c r="N21" s="308"/>
      <c r="O21" s="308"/>
      <c r="T21" s="154"/>
    </row>
    <row r="22" spans="1:20" ht="15" thickBot="1" x14ac:dyDescent="0.35">
      <c r="A22" s="314"/>
      <c r="B22" s="324"/>
      <c r="C22" s="319"/>
      <c r="D22" s="312"/>
      <c r="E22" s="104">
        <v>0.45700000000000002</v>
      </c>
      <c r="F22" s="289"/>
      <c r="G22" s="289"/>
      <c r="H22" s="280"/>
      <c r="J22" s="298"/>
      <c r="K22" s="306"/>
      <c r="L22" s="306"/>
      <c r="M22" s="306"/>
      <c r="N22" s="309"/>
      <c r="O22" s="309"/>
      <c r="T22" s="154"/>
    </row>
    <row r="23" spans="1:20" x14ac:dyDescent="0.3">
      <c r="A23" s="314"/>
      <c r="B23" s="315" t="s">
        <v>168</v>
      </c>
      <c r="C23" s="319"/>
      <c r="D23" s="310">
        <v>300</v>
      </c>
      <c r="E23" s="102">
        <v>0.442</v>
      </c>
      <c r="F23" s="287">
        <f t="shared" ref="F23" si="17">AVERAGE(E23:E25)</f>
        <v>0.45200000000000001</v>
      </c>
      <c r="G23" s="287">
        <f t="shared" ref="G23" si="18">STDEV(E23:E25)</f>
        <v>8.6602540378443935E-3</v>
      </c>
      <c r="H23" s="278">
        <f t="shared" ref="H23" si="19">(G23/F23)*100</f>
        <v>1.915985406602742</v>
      </c>
      <c r="T23" s="154"/>
    </row>
    <row r="24" spans="1:20" x14ac:dyDescent="0.3">
      <c r="A24" s="314"/>
      <c r="B24" s="316"/>
      <c r="C24" s="319"/>
      <c r="D24" s="311"/>
      <c r="E24" s="103">
        <v>0.45700000000000002</v>
      </c>
      <c r="F24" s="288"/>
      <c r="G24" s="288"/>
      <c r="H24" s="279"/>
      <c r="T24" s="154"/>
    </row>
    <row r="25" spans="1:20" ht="15" thickBot="1" x14ac:dyDescent="0.35">
      <c r="A25" s="314"/>
      <c r="B25" s="317"/>
      <c r="C25" s="319"/>
      <c r="D25" s="312"/>
      <c r="E25" s="104">
        <v>0.45700000000000002</v>
      </c>
      <c r="F25" s="289"/>
      <c r="G25" s="289"/>
      <c r="H25" s="280"/>
      <c r="T25" s="154"/>
    </row>
    <row r="26" spans="1:20" x14ac:dyDescent="0.3">
      <c r="A26" s="313">
        <v>24.09999999999993</v>
      </c>
      <c r="B26" s="322" t="s">
        <v>169</v>
      </c>
      <c r="C26" s="318" t="s">
        <v>195</v>
      </c>
      <c r="D26" s="310">
        <v>300</v>
      </c>
      <c r="E26" s="102">
        <v>0.47299999999999998</v>
      </c>
      <c r="F26" s="287">
        <f t="shared" ref="F26" si="20">AVERAGE(E26:E28)</f>
        <v>0.47033333333333333</v>
      </c>
      <c r="G26" s="287">
        <f t="shared" ref="G26" si="21">STDEV(E26:E28)</f>
        <v>3.0550504633038659E-3</v>
      </c>
      <c r="H26" s="278">
        <f t="shared" ref="H26" si="22">(G26/F26)*100</f>
        <v>0.64955006306956753</v>
      </c>
      <c r="J26" s="296" t="s">
        <v>169</v>
      </c>
      <c r="K26" s="304">
        <v>0</v>
      </c>
      <c r="L26" s="304">
        <v>2</v>
      </c>
      <c r="M26" s="304">
        <f>D26/1000</f>
        <v>0.3</v>
      </c>
      <c r="N26" s="307">
        <f>SUM(K26:M28)</f>
        <v>2.2999999999999998</v>
      </c>
      <c r="O26" s="307">
        <v>2.5</v>
      </c>
      <c r="T26" s="154"/>
    </row>
    <row r="27" spans="1:20" x14ac:dyDescent="0.3">
      <c r="A27" s="314"/>
      <c r="B27" s="323"/>
      <c r="C27" s="319"/>
      <c r="D27" s="311"/>
      <c r="E27" s="103">
        <v>0.47099999999999997</v>
      </c>
      <c r="F27" s="288"/>
      <c r="G27" s="288"/>
      <c r="H27" s="279"/>
      <c r="J27" s="297"/>
      <c r="K27" s="305"/>
      <c r="L27" s="305"/>
      <c r="M27" s="305"/>
      <c r="N27" s="308"/>
      <c r="O27" s="308"/>
      <c r="T27" s="154"/>
    </row>
    <row r="28" spans="1:20" ht="15" thickBot="1" x14ac:dyDescent="0.35">
      <c r="A28" s="314"/>
      <c r="B28" s="324"/>
      <c r="C28" s="319"/>
      <c r="D28" s="312"/>
      <c r="E28" s="104">
        <v>0.46700000000000003</v>
      </c>
      <c r="F28" s="289"/>
      <c r="G28" s="289"/>
      <c r="H28" s="280"/>
      <c r="J28" s="298"/>
      <c r="K28" s="306"/>
      <c r="L28" s="306"/>
      <c r="M28" s="306"/>
      <c r="N28" s="309"/>
      <c r="O28" s="309"/>
      <c r="T28" s="154"/>
    </row>
    <row r="29" spans="1:20" ht="15" thickBot="1" x14ac:dyDescent="0.35">
      <c r="A29" s="314"/>
      <c r="B29" s="315" t="s">
        <v>170</v>
      </c>
      <c r="C29" s="319"/>
      <c r="D29" s="310">
        <v>300</v>
      </c>
      <c r="E29" s="102">
        <v>0.44900000000000001</v>
      </c>
      <c r="F29" s="287">
        <f t="shared" ref="F29" si="23">AVERAGE(E29:E31)</f>
        <v>0.45400000000000001</v>
      </c>
      <c r="G29" s="287">
        <f t="shared" ref="G29" si="24">STDEV(E29:E31)</f>
        <v>7.0000000000000071E-3</v>
      </c>
      <c r="H29" s="278">
        <f t="shared" ref="H29" si="25">(G29/F29)*100</f>
        <v>1.5418502202643187</v>
      </c>
      <c r="R29" s="179" t="s">
        <v>100</v>
      </c>
      <c r="S29" s="106" t="s">
        <v>101</v>
      </c>
      <c r="T29" s="154"/>
    </row>
    <row r="30" spans="1:20" ht="15" thickBot="1" x14ac:dyDescent="0.35">
      <c r="A30" s="314"/>
      <c r="B30" s="316"/>
      <c r="C30" s="319"/>
      <c r="D30" s="311"/>
      <c r="E30" s="103">
        <v>0.45100000000000001</v>
      </c>
      <c r="F30" s="288"/>
      <c r="G30" s="288"/>
      <c r="H30" s="279"/>
      <c r="Q30" s="78" t="s">
        <v>118</v>
      </c>
      <c r="R30" s="302">
        <v>787.45</v>
      </c>
      <c r="S30" s="303"/>
      <c r="T30" s="154"/>
    </row>
    <row r="31" spans="1:20" ht="15" thickBot="1" x14ac:dyDescent="0.35">
      <c r="A31" s="314"/>
      <c r="B31" s="317"/>
      <c r="C31" s="319"/>
      <c r="D31" s="312"/>
      <c r="E31" s="104">
        <v>0.46200000000000002</v>
      </c>
      <c r="F31" s="289"/>
      <c r="G31" s="289"/>
      <c r="H31" s="280"/>
      <c r="Q31" s="69" t="s">
        <v>117</v>
      </c>
      <c r="R31" s="2">
        <v>650</v>
      </c>
      <c r="S31" s="2">
        <v>650</v>
      </c>
      <c r="T31" s="154"/>
    </row>
    <row r="32" spans="1:20" ht="15" thickBot="1" x14ac:dyDescent="0.35">
      <c r="A32" s="313">
        <v>33.183333333333188</v>
      </c>
      <c r="B32" s="322" t="s">
        <v>171</v>
      </c>
      <c r="C32" s="318" t="s">
        <v>195</v>
      </c>
      <c r="D32" s="310">
        <v>300</v>
      </c>
      <c r="E32" s="102">
        <v>0.51900000000000002</v>
      </c>
      <c r="F32" s="287">
        <f t="shared" ref="F32" si="26">AVERAGE(E32:E34)</f>
        <v>0.51666666666666672</v>
      </c>
      <c r="G32" s="287">
        <f t="shared" ref="G32" si="27">STDEV(E32:E34)</f>
        <v>4.9328828623162518E-3</v>
      </c>
      <c r="H32" s="278">
        <f t="shared" ref="H32" si="28">(G32/F32)*100</f>
        <v>0.95475152173862921</v>
      </c>
      <c r="J32" s="296" t="s">
        <v>171</v>
      </c>
      <c r="K32" s="304">
        <v>6</v>
      </c>
      <c r="L32" s="304">
        <v>2</v>
      </c>
      <c r="M32" s="304">
        <f>D32/1000</f>
        <v>0.3</v>
      </c>
      <c r="N32" s="307">
        <f>SUM(K32:M34)</f>
        <v>8.3000000000000007</v>
      </c>
      <c r="O32" s="307">
        <v>9</v>
      </c>
      <c r="Q32" s="69" t="s">
        <v>116</v>
      </c>
      <c r="R32" s="66">
        <f>SUM(O2,O8,O14,O20,O26,O32,O38,O44)</f>
        <v>39.5</v>
      </c>
      <c r="S32" s="66">
        <v>39.5</v>
      </c>
      <c r="T32" s="154"/>
    </row>
    <row r="33" spans="1:20" ht="15" thickBot="1" x14ac:dyDescent="0.35">
      <c r="A33" s="314"/>
      <c r="B33" s="323"/>
      <c r="C33" s="319"/>
      <c r="D33" s="311"/>
      <c r="E33" s="103">
        <v>0.51100000000000001</v>
      </c>
      <c r="F33" s="288"/>
      <c r="G33" s="288"/>
      <c r="H33" s="279"/>
      <c r="J33" s="297"/>
      <c r="K33" s="305"/>
      <c r="L33" s="305"/>
      <c r="M33" s="305"/>
      <c r="N33" s="308"/>
      <c r="O33" s="308"/>
      <c r="Q33" s="69" t="s">
        <v>142</v>
      </c>
      <c r="R33" s="107">
        <f>(((R31+R32)-$R$30)/$R$30)*100</f>
        <v>-12.438885008571978</v>
      </c>
      <c r="S33" s="107">
        <f>(((S31+S32)-$R$30)/$R$30)*100</f>
        <v>-12.438885008571978</v>
      </c>
      <c r="T33" s="154"/>
    </row>
    <row r="34" spans="1:20" ht="15" thickBot="1" x14ac:dyDescent="0.35">
      <c r="A34" s="314"/>
      <c r="B34" s="324"/>
      <c r="C34" s="319"/>
      <c r="D34" s="312"/>
      <c r="E34" s="104">
        <v>0.52</v>
      </c>
      <c r="F34" s="289"/>
      <c r="G34" s="289"/>
      <c r="H34" s="280"/>
      <c r="J34" s="298"/>
      <c r="K34" s="306"/>
      <c r="L34" s="306"/>
      <c r="M34" s="306"/>
      <c r="N34" s="309"/>
      <c r="O34" s="309"/>
      <c r="T34" s="154"/>
    </row>
    <row r="35" spans="1:20" x14ac:dyDescent="0.3">
      <c r="A35" s="314"/>
      <c r="B35" s="315" t="s">
        <v>172</v>
      </c>
      <c r="C35" s="319"/>
      <c r="D35" s="310">
        <v>300</v>
      </c>
      <c r="E35" s="102">
        <v>0.52300000000000002</v>
      </c>
      <c r="F35" s="287">
        <f t="shared" ref="F35" si="29">AVERAGE(E35:E37)</f>
        <v>0.52333333333333332</v>
      </c>
      <c r="G35" s="287">
        <f t="shared" ref="G35" si="30">STDEV(E35:E37)</f>
        <v>1.5275252316519481E-3</v>
      </c>
      <c r="H35" s="278">
        <f t="shared" ref="H35" si="31">(G35/F35)*100</f>
        <v>0.29188380222648691</v>
      </c>
      <c r="T35" s="154"/>
    </row>
    <row r="36" spans="1:20" x14ac:dyDescent="0.3">
      <c r="A36" s="314"/>
      <c r="B36" s="316"/>
      <c r="C36" s="319"/>
      <c r="D36" s="311"/>
      <c r="E36" s="103">
        <v>0.52200000000000002</v>
      </c>
      <c r="F36" s="288"/>
      <c r="G36" s="288"/>
      <c r="H36" s="279"/>
      <c r="T36" s="154"/>
    </row>
    <row r="37" spans="1:20" ht="15" thickBot="1" x14ac:dyDescent="0.35">
      <c r="A37" s="314"/>
      <c r="B37" s="317"/>
      <c r="C37" s="319"/>
      <c r="D37" s="312"/>
      <c r="E37" s="104">
        <v>0.52500000000000002</v>
      </c>
      <c r="F37" s="289"/>
      <c r="G37" s="289"/>
      <c r="H37" s="280"/>
      <c r="T37" s="154"/>
    </row>
    <row r="38" spans="1:20" x14ac:dyDescent="0.3">
      <c r="A38" s="313">
        <v>36.183333333333273</v>
      </c>
      <c r="B38" s="322" t="s">
        <v>173</v>
      </c>
      <c r="C38" s="318" t="s">
        <v>195</v>
      </c>
      <c r="D38" s="310">
        <v>300</v>
      </c>
      <c r="E38" s="102">
        <v>0.55900000000000005</v>
      </c>
      <c r="F38" s="287">
        <f t="shared" ref="F38" si="32">AVERAGE(E38:E40)</f>
        <v>0.55233333333333334</v>
      </c>
      <c r="G38" s="287">
        <f t="shared" ref="G38" si="33">STDEV(E38:E40)</f>
        <v>5.8594652770823201E-3</v>
      </c>
      <c r="H38" s="278">
        <f t="shared" ref="H38" si="34">(G38/F38)*100</f>
        <v>1.0608567188441136</v>
      </c>
      <c r="J38" s="296" t="s">
        <v>173</v>
      </c>
      <c r="K38" s="304">
        <v>0</v>
      </c>
      <c r="L38" s="304">
        <v>2</v>
      </c>
      <c r="M38" s="304">
        <f>D38/1000</f>
        <v>0.3</v>
      </c>
      <c r="N38" s="307">
        <f>SUM(K38:M40)</f>
        <v>2.2999999999999998</v>
      </c>
      <c r="O38" s="307">
        <v>2.5</v>
      </c>
      <c r="T38" s="154"/>
    </row>
    <row r="39" spans="1:20" x14ac:dyDescent="0.3">
      <c r="A39" s="314"/>
      <c r="B39" s="323"/>
      <c r="C39" s="319"/>
      <c r="D39" s="311"/>
      <c r="E39" s="103">
        <v>0.55000000000000004</v>
      </c>
      <c r="F39" s="288"/>
      <c r="G39" s="288"/>
      <c r="H39" s="279"/>
      <c r="J39" s="297"/>
      <c r="K39" s="305"/>
      <c r="L39" s="305"/>
      <c r="M39" s="305"/>
      <c r="N39" s="308"/>
      <c r="O39" s="308"/>
      <c r="T39" s="154"/>
    </row>
    <row r="40" spans="1:20" ht="15" thickBot="1" x14ac:dyDescent="0.35">
      <c r="A40" s="314"/>
      <c r="B40" s="324"/>
      <c r="C40" s="319"/>
      <c r="D40" s="312"/>
      <c r="E40" s="104">
        <v>0.54800000000000004</v>
      </c>
      <c r="F40" s="289"/>
      <c r="G40" s="289"/>
      <c r="H40" s="280"/>
      <c r="J40" s="298"/>
      <c r="K40" s="306"/>
      <c r="L40" s="306"/>
      <c r="M40" s="306"/>
      <c r="N40" s="309"/>
      <c r="O40" s="309"/>
      <c r="T40" s="154"/>
    </row>
    <row r="41" spans="1:20" x14ac:dyDescent="0.3">
      <c r="A41" s="314"/>
      <c r="B41" s="315" t="s">
        <v>174</v>
      </c>
      <c r="C41" s="319"/>
      <c r="D41" s="310">
        <v>300</v>
      </c>
      <c r="E41" s="102">
        <v>0.55900000000000005</v>
      </c>
      <c r="F41" s="287">
        <f t="shared" ref="F41" si="35">AVERAGE(E41:E43)</f>
        <v>0.55666666666666664</v>
      </c>
      <c r="G41" s="287">
        <f t="shared" ref="G41" si="36">STDEV(E41:E43)</f>
        <v>2.5166114784235857E-3</v>
      </c>
      <c r="H41" s="278">
        <f t="shared" ref="H41" si="37">(G41/F41)*100</f>
        <v>0.45208589432759028</v>
      </c>
      <c r="T41" s="154"/>
    </row>
    <row r="42" spans="1:20" x14ac:dyDescent="0.3">
      <c r="A42" s="314"/>
      <c r="B42" s="316"/>
      <c r="C42" s="319"/>
      <c r="D42" s="311"/>
      <c r="E42" s="103">
        <v>0.55400000000000005</v>
      </c>
      <c r="F42" s="288"/>
      <c r="G42" s="288"/>
      <c r="H42" s="279"/>
      <c r="Q42" s="172" t="s">
        <v>346</v>
      </c>
      <c r="T42" s="154"/>
    </row>
    <row r="43" spans="1:20" ht="15" thickBot="1" x14ac:dyDescent="0.35">
      <c r="A43" s="314"/>
      <c r="B43" s="317"/>
      <c r="C43" s="319"/>
      <c r="D43" s="312"/>
      <c r="E43" s="104">
        <v>0.55700000000000005</v>
      </c>
      <c r="F43" s="289"/>
      <c r="G43" s="289"/>
      <c r="H43" s="280"/>
      <c r="Q43" s="173" t="s">
        <v>177</v>
      </c>
      <c r="T43" s="154"/>
    </row>
    <row r="44" spans="1:20" x14ac:dyDescent="0.3">
      <c r="A44" s="313">
        <v>39.266666666666694</v>
      </c>
      <c r="B44" s="322" t="s">
        <v>175</v>
      </c>
      <c r="C44" s="318" t="s">
        <v>195</v>
      </c>
      <c r="D44" s="310">
        <v>300</v>
      </c>
      <c r="E44" s="102">
        <v>0.57099999999999995</v>
      </c>
      <c r="F44" s="287">
        <f t="shared" ref="F44" si="38">AVERAGE(E44:E46)</f>
        <v>0.56533333333333335</v>
      </c>
      <c r="G44" s="287">
        <f t="shared" ref="G44" si="39">STDEV(E44:E46)</f>
        <v>6.0277137733416551E-3</v>
      </c>
      <c r="H44" s="278">
        <f t="shared" ref="H44" si="40">(G44/F44)*100</f>
        <v>1.0662229551901512</v>
      </c>
      <c r="J44" s="296" t="s">
        <v>175</v>
      </c>
      <c r="K44" s="304">
        <v>6</v>
      </c>
      <c r="L44" s="304">
        <v>2</v>
      </c>
      <c r="M44" s="304">
        <f>D44/1000</f>
        <v>0.3</v>
      </c>
      <c r="N44" s="307">
        <f>SUM(K44:M46)</f>
        <v>8.3000000000000007</v>
      </c>
      <c r="O44" s="307">
        <v>9</v>
      </c>
      <c r="T44" s="154"/>
    </row>
    <row r="45" spans="1:20" x14ac:dyDescent="0.3">
      <c r="A45" s="314"/>
      <c r="B45" s="323"/>
      <c r="C45" s="319"/>
      <c r="D45" s="311"/>
      <c r="E45" s="103">
        <v>0.56599999999999995</v>
      </c>
      <c r="F45" s="288"/>
      <c r="G45" s="288"/>
      <c r="H45" s="279"/>
      <c r="J45" s="297"/>
      <c r="K45" s="305"/>
      <c r="L45" s="305"/>
      <c r="M45" s="305"/>
      <c r="N45" s="308"/>
      <c r="O45" s="308"/>
      <c r="T45" s="154"/>
    </row>
    <row r="46" spans="1:20" ht="15" thickBot="1" x14ac:dyDescent="0.35">
      <c r="A46" s="314"/>
      <c r="B46" s="324"/>
      <c r="C46" s="319"/>
      <c r="D46" s="312"/>
      <c r="E46" s="104">
        <v>0.55900000000000005</v>
      </c>
      <c r="F46" s="289"/>
      <c r="G46" s="289"/>
      <c r="H46" s="280"/>
      <c r="J46" s="298"/>
      <c r="K46" s="306"/>
      <c r="L46" s="306"/>
      <c r="M46" s="306"/>
      <c r="N46" s="309"/>
      <c r="O46" s="309"/>
      <c r="T46" s="154"/>
    </row>
    <row r="47" spans="1:20" x14ac:dyDescent="0.3">
      <c r="A47" s="314"/>
      <c r="B47" s="315" t="s">
        <v>176</v>
      </c>
      <c r="C47" s="319"/>
      <c r="D47" s="310">
        <v>300</v>
      </c>
      <c r="E47" s="102">
        <v>0.57699999999999996</v>
      </c>
      <c r="F47" s="287">
        <f t="shared" ref="F47" si="41">AVERAGE(E47:E49)</f>
        <v>0.57666666666666666</v>
      </c>
      <c r="G47" s="287">
        <f t="shared" ref="G47" si="42">STDEV(E47:E49)</f>
        <v>4.5092497528228985E-3</v>
      </c>
      <c r="H47" s="278">
        <f t="shared" ref="H47" si="43">(G47/F47)*100</f>
        <v>0.78195082418894191</v>
      </c>
      <c r="T47" s="154"/>
    </row>
    <row r="48" spans="1:20" x14ac:dyDescent="0.3">
      <c r="A48" s="314"/>
      <c r="B48" s="316"/>
      <c r="C48" s="319"/>
      <c r="D48" s="311"/>
      <c r="E48" s="103">
        <v>0.57199999999999995</v>
      </c>
      <c r="F48" s="288"/>
      <c r="G48" s="288"/>
      <c r="H48" s="279"/>
      <c r="T48" s="154"/>
    </row>
    <row r="49" spans="1:20" ht="15" thickBot="1" x14ac:dyDescent="0.35">
      <c r="A49" s="320"/>
      <c r="B49" s="317"/>
      <c r="C49" s="321"/>
      <c r="D49" s="312"/>
      <c r="E49" s="104">
        <v>0.58099999999999996</v>
      </c>
      <c r="F49" s="289"/>
      <c r="G49" s="289"/>
      <c r="H49" s="280"/>
      <c r="T49" s="154"/>
    </row>
    <row r="50" spans="1:20" x14ac:dyDescent="0.3">
      <c r="A50" s="153"/>
      <c r="T50" s="154"/>
    </row>
    <row r="51" spans="1:20" ht="15" thickBot="1" x14ac:dyDescent="0.35">
      <c r="A51" s="160"/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4"/>
    </row>
    <row r="52" spans="1:20" ht="15" thickTop="1" x14ac:dyDescent="0.3">
      <c r="A52" s="150"/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1"/>
      <c r="T52" s="152"/>
    </row>
    <row r="53" spans="1:20" x14ac:dyDescent="0.3">
      <c r="A53" s="153"/>
      <c r="T53" s="154"/>
    </row>
    <row r="54" spans="1:20" ht="15" thickBot="1" x14ac:dyDescent="0.35">
      <c r="A54" s="153"/>
      <c r="T54" s="154"/>
    </row>
    <row r="55" spans="1:20" ht="15" thickBot="1" x14ac:dyDescent="0.35">
      <c r="A55" s="168" t="s">
        <v>3</v>
      </c>
      <c r="B55" s="1" t="s">
        <v>1</v>
      </c>
      <c r="C55" s="1" t="s">
        <v>4</v>
      </c>
      <c r="D55" s="1" t="s">
        <v>59</v>
      </c>
      <c r="E55" s="1" t="s">
        <v>7</v>
      </c>
      <c r="F55" s="1" t="s">
        <v>5</v>
      </c>
      <c r="G55" s="1" t="s">
        <v>114</v>
      </c>
      <c r="H55" s="1" t="s">
        <v>178</v>
      </c>
      <c r="K55" s="49" t="s">
        <v>60</v>
      </c>
      <c r="L55" s="49" t="s">
        <v>61</v>
      </c>
      <c r="M55" s="49" t="s">
        <v>62</v>
      </c>
      <c r="N55" s="49" t="s">
        <v>63</v>
      </c>
      <c r="O55" s="108" t="s">
        <v>141</v>
      </c>
      <c r="T55" s="154"/>
    </row>
    <row r="56" spans="1:20" x14ac:dyDescent="0.3">
      <c r="A56" s="313">
        <f>Summary!B25</f>
        <v>0</v>
      </c>
      <c r="B56" s="315" t="s">
        <v>161</v>
      </c>
      <c r="C56" s="318" t="s">
        <v>58</v>
      </c>
      <c r="D56" s="310">
        <v>300</v>
      </c>
      <c r="E56" s="102">
        <v>0.63600000000000001</v>
      </c>
      <c r="F56" s="287">
        <f>AVERAGE(E56:E58)</f>
        <v>0.62700000000000011</v>
      </c>
      <c r="G56" s="287">
        <f>STDEV(E56:E58)</f>
        <v>8.1853527718724565E-3</v>
      </c>
      <c r="H56" s="278">
        <f>(G56/F56)*100</f>
        <v>1.3054789109844427</v>
      </c>
      <c r="J56" s="284" t="s">
        <v>161</v>
      </c>
      <c r="K56" s="304">
        <v>0</v>
      </c>
      <c r="L56" s="304">
        <v>2</v>
      </c>
      <c r="M56" s="304">
        <f>D56/1000</f>
        <v>0.3</v>
      </c>
      <c r="N56" s="307">
        <f>SUM(K56:M58)</f>
        <v>2.2999999999999998</v>
      </c>
      <c r="O56" s="307">
        <v>2.5</v>
      </c>
      <c r="Q56" s="325" t="s">
        <v>352</v>
      </c>
      <c r="T56" s="154"/>
    </row>
    <row r="57" spans="1:20" x14ac:dyDescent="0.3">
      <c r="A57" s="314"/>
      <c r="B57" s="316"/>
      <c r="C57" s="319"/>
      <c r="D57" s="311"/>
      <c r="E57" s="103">
        <v>0.625</v>
      </c>
      <c r="F57" s="288"/>
      <c r="G57" s="288"/>
      <c r="H57" s="279"/>
      <c r="J57" s="285"/>
      <c r="K57" s="305"/>
      <c r="L57" s="305"/>
      <c r="M57" s="305"/>
      <c r="N57" s="308"/>
      <c r="O57" s="308"/>
      <c r="Q57" s="326"/>
      <c r="T57" s="154"/>
    </row>
    <row r="58" spans="1:20" ht="15" thickBot="1" x14ac:dyDescent="0.35">
      <c r="A58" s="314"/>
      <c r="B58" s="317"/>
      <c r="C58" s="319"/>
      <c r="D58" s="312"/>
      <c r="E58" s="104">
        <v>0.62</v>
      </c>
      <c r="F58" s="289"/>
      <c r="G58" s="289"/>
      <c r="H58" s="280"/>
      <c r="J58" s="286"/>
      <c r="K58" s="306"/>
      <c r="L58" s="306"/>
      <c r="M58" s="306"/>
      <c r="N58" s="309"/>
      <c r="O58" s="309"/>
      <c r="Q58" s="327"/>
      <c r="T58" s="154"/>
    </row>
    <row r="59" spans="1:20" x14ac:dyDescent="0.3">
      <c r="A59" s="314"/>
      <c r="B59" s="315" t="s">
        <v>162</v>
      </c>
      <c r="C59" s="319"/>
      <c r="D59" s="310">
        <v>300</v>
      </c>
      <c r="E59" s="102">
        <v>0.61299999999999999</v>
      </c>
      <c r="F59" s="287">
        <f t="shared" ref="F59" si="44">AVERAGE(E59:E61)</f>
        <v>0.61199999999999999</v>
      </c>
      <c r="G59" s="287">
        <f t="shared" ref="G59" si="45">STDEV(E59:E61)</f>
        <v>1.7320508075688791E-3</v>
      </c>
      <c r="H59" s="278">
        <f t="shared" ref="H59" si="46">(G59/F59)*100</f>
        <v>0.28301483783805215</v>
      </c>
      <c r="T59" s="154"/>
    </row>
    <row r="60" spans="1:20" x14ac:dyDescent="0.3">
      <c r="A60" s="314"/>
      <c r="B60" s="316"/>
      <c r="C60" s="319"/>
      <c r="D60" s="311"/>
      <c r="E60" s="103">
        <v>0.61</v>
      </c>
      <c r="F60" s="288"/>
      <c r="G60" s="288"/>
      <c r="H60" s="279"/>
      <c r="T60" s="154"/>
    </row>
    <row r="61" spans="1:20" ht="15" thickBot="1" x14ac:dyDescent="0.35">
      <c r="A61" s="314"/>
      <c r="B61" s="317"/>
      <c r="C61" s="319"/>
      <c r="D61" s="312"/>
      <c r="E61" s="104">
        <v>0.61299999999999999</v>
      </c>
      <c r="F61" s="289"/>
      <c r="G61" s="289"/>
      <c r="H61" s="280"/>
      <c r="T61" s="154"/>
    </row>
    <row r="62" spans="1:20" x14ac:dyDescent="0.3">
      <c r="A62" s="313">
        <f>Summary!B26</f>
        <v>9.6833333333333336</v>
      </c>
      <c r="B62" s="315" t="s">
        <v>163</v>
      </c>
      <c r="C62" s="318" t="s">
        <v>195</v>
      </c>
      <c r="D62" s="310">
        <v>300</v>
      </c>
      <c r="E62" s="102">
        <v>0.42</v>
      </c>
      <c r="F62" s="287">
        <f t="shared" ref="F62" si="47">AVERAGE(E62:E64)</f>
        <v>0.40566666666666668</v>
      </c>
      <c r="G62" s="287">
        <f t="shared" ref="G62" si="48">STDEV(E62:E64)</f>
        <v>1.2423096769056129E-2</v>
      </c>
      <c r="H62" s="278">
        <f t="shared" ref="H62" si="49">(G62/F62)*100</f>
        <v>3.0623903292660959</v>
      </c>
      <c r="J62" s="284" t="s">
        <v>163</v>
      </c>
      <c r="K62" s="304">
        <v>0</v>
      </c>
      <c r="L62" s="304">
        <v>2</v>
      </c>
      <c r="M62" s="304">
        <f>D62/1000</f>
        <v>0.3</v>
      </c>
      <c r="N62" s="307">
        <f>SUM(K62:M64)</f>
        <v>2.2999999999999998</v>
      </c>
      <c r="O62" s="307">
        <v>2.5</v>
      </c>
      <c r="T62" s="154"/>
    </row>
    <row r="63" spans="1:20" x14ac:dyDescent="0.3">
      <c r="A63" s="314"/>
      <c r="B63" s="316"/>
      <c r="C63" s="319"/>
      <c r="D63" s="311"/>
      <c r="E63" s="103">
        <v>0.39900000000000002</v>
      </c>
      <c r="F63" s="288"/>
      <c r="G63" s="288"/>
      <c r="H63" s="279"/>
      <c r="J63" s="285"/>
      <c r="K63" s="305"/>
      <c r="L63" s="305"/>
      <c r="M63" s="305"/>
      <c r="N63" s="308"/>
      <c r="O63" s="308"/>
      <c r="T63" s="154"/>
    </row>
    <row r="64" spans="1:20" ht="15" thickBot="1" x14ac:dyDescent="0.35">
      <c r="A64" s="314"/>
      <c r="B64" s="317"/>
      <c r="C64" s="319"/>
      <c r="D64" s="312"/>
      <c r="E64" s="104">
        <v>0.39800000000000002</v>
      </c>
      <c r="F64" s="289"/>
      <c r="G64" s="289"/>
      <c r="H64" s="280"/>
      <c r="J64" s="286"/>
      <c r="K64" s="306"/>
      <c r="L64" s="306"/>
      <c r="M64" s="306"/>
      <c r="N64" s="309"/>
      <c r="O64" s="309"/>
      <c r="T64" s="154"/>
    </row>
    <row r="65" spans="1:20" x14ac:dyDescent="0.3">
      <c r="A65" s="314"/>
      <c r="B65" s="315" t="s">
        <v>164</v>
      </c>
      <c r="C65" s="319"/>
      <c r="D65" s="310">
        <v>300</v>
      </c>
      <c r="E65" s="102">
        <v>0.40100000000000002</v>
      </c>
      <c r="F65" s="287">
        <f t="shared" ref="F65" si="50">AVERAGE(E65:E67)</f>
        <v>0.40166666666666667</v>
      </c>
      <c r="G65" s="287">
        <f t="shared" ref="G65" si="51">STDEV(E65:E67)</f>
        <v>1.3012814197295407E-2</v>
      </c>
      <c r="H65" s="278">
        <f>(G65/F65)*100</f>
        <v>3.2397047794096445</v>
      </c>
      <c r="T65" s="154"/>
    </row>
    <row r="66" spans="1:20" x14ac:dyDescent="0.3">
      <c r="A66" s="314"/>
      <c r="B66" s="316"/>
      <c r="C66" s="319"/>
      <c r="D66" s="311"/>
      <c r="E66" s="103">
        <v>0.41499999999999998</v>
      </c>
      <c r="F66" s="288"/>
      <c r="G66" s="288"/>
      <c r="H66" s="279"/>
      <c r="T66" s="154"/>
    </row>
    <row r="67" spans="1:20" ht="15" thickBot="1" x14ac:dyDescent="0.35">
      <c r="A67" s="314"/>
      <c r="B67" s="317"/>
      <c r="C67" s="319"/>
      <c r="D67" s="312"/>
      <c r="E67" s="104">
        <v>0.38900000000000001</v>
      </c>
      <c r="F67" s="289"/>
      <c r="G67" s="289"/>
      <c r="H67" s="280"/>
      <c r="T67" s="154"/>
    </row>
    <row r="68" spans="1:20" x14ac:dyDescent="0.3">
      <c r="A68" s="313">
        <f>Summary!B27</f>
        <v>14.183333333333366</v>
      </c>
      <c r="B68" s="315" t="s">
        <v>165</v>
      </c>
      <c r="C68" s="318" t="s">
        <v>195</v>
      </c>
      <c r="D68" s="310">
        <v>300</v>
      </c>
      <c r="E68" s="102">
        <v>0.42499999999999999</v>
      </c>
      <c r="F68" s="287">
        <f t="shared" ref="F68" si="52">AVERAGE(E68:E70)</f>
        <v>0.42599999999999999</v>
      </c>
      <c r="G68" s="287">
        <f t="shared" ref="G68" si="53">STDEV(E68:E70)</f>
        <v>3.6055512754639926E-3</v>
      </c>
      <c r="H68" s="278">
        <f t="shared" ref="H68" si="54">(G68/F68)*100</f>
        <v>0.84637353884131283</v>
      </c>
      <c r="J68" s="284" t="s">
        <v>165</v>
      </c>
      <c r="K68" s="304">
        <v>6</v>
      </c>
      <c r="L68" s="304">
        <v>2</v>
      </c>
      <c r="M68" s="304">
        <f>D68/1000</f>
        <v>0.3</v>
      </c>
      <c r="N68" s="307">
        <f>SUM(K68:M70)</f>
        <v>8.3000000000000007</v>
      </c>
      <c r="O68" s="307">
        <v>9</v>
      </c>
      <c r="T68" s="154"/>
    </row>
    <row r="69" spans="1:20" x14ac:dyDescent="0.3">
      <c r="A69" s="314"/>
      <c r="B69" s="316"/>
      <c r="C69" s="319"/>
      <c r="D69" s="311"/>
      <c r="E69" s="103">
        <v>0.42299999999999999</v>
      </c>
      <c r="F69" s="288"/>
      <c r="G69" s="288"/>
      <c r="H69" s="279"/>
      <c r="J69" s="285"/>
      <c r="K69" s="305"/>
      <c r="L69" s="305"/>
      <c r="M69" s="305"/>
      <c r="N69" s="308"/>
      <c r="O69" s="308"/>
      <c r="T69" s="154"/>
    </row>
    <row r="70" spans="1:20" ht="15" thickBot="1" x14ac:dyDescent="0.35">
      <c r="A70" s="314"/>
      <c r="B70" s="317"/>
      <c r="C70" s="319"/>
      <c r="D70" s="312"/>
      <c r="E70" s="104">
        <v>0.43</v>
      </c>
      <c r="F70" s="289"/>
      <c r="G70" s="289"/>
      <c r="H70" s="280"/>
      <c r="J70" s="286"/>
      <c r="K70" s="306"/>
      <c r="L70" s="306"/>
      <c r="M70" s="306"/>
      <c r="N70" s="309"/>
      <c r="O70" s="309"/>
      <c r="T70" s="154"/>
    </row>
    <row r="71" spans="1:20" x14ac:dyDescent="0.3">
      <c r="A71" s="314"/>
      <c r="B71" s="315" t="s">
        <v>166</v>
      </c>
      <c r="C71" s="319"/>
      <c r="D71" s="310">
        <v>300</v>
      </c>
      <c r="E71" s="102">
        <v>0.42399999999999999</v>
      </c>
      <c r="F71" s="287">
        <f t="shared" ref="F71" si="55">AVERAGE(E71:E73)</f>
        <v>0.42366666666666664</v>
      </c>
      <c r="G71" s="287">
        <f t="shared" ref="G71" si="56">STDEV(E71:E73)</f>
        <v>2.5166114784235852E-3</v>
      </c>
      <c r="H71" s="278">
        <f t="shared" ref="H71" si="57">(G71/F71)*100</f>
        <v>0.59400742999769918</v>
      </c>
      <c r="T71" s="154"/>
    </row>
    <row r="72" spans="1:20" x14ac:dyDescent="0.3">
      <c r="A72" s="314"/>
      <c r="B72" s="316"/>
      <c r="C72" s="319"/>
      <c r="D72" s="311"/>
      <c r="E72" s="103">
        <v>0.42099999999999999</v>
      </c>
      <c r="F72" s="288"/>
      <c r="G72" s="288"/>
      <c r="H72" s="279"/>
      <c r="T72" s="154"/>
    </row>
    <row r="73" spans="1:20" ht="15" thickBot="1" x14ac:dyDescent="0.35">
      <c r="A73" s="314"/>
      <c r="B73" s="317"/>
      <c r="C73" s="319"/>
      <c r="D73" s="312"/>
      <c r="E73" s="104">
        <v>0.42599999999999999</v>
      </c>
      <c r="F73" s="289"/>
      <c r="G73" s="289"/>
      <c r="H73" s="280"/>
      <c r="T73" s="154"/>
    </row>
    <row r="74" spans="1:20" x14ac:dyDescent="0.3">
      <c r="A74" s="313">
        <f>Summary!B28</f>
        <v>19.183333333333334</v>
      </c>
      <c r="B74" s="315" t="s">
        <v>167</v>
      </c>
      <c r="C74" s="318" t="s">
        <v>195</v>
      </c>
      <c r="D74" s="310">
        <v>300</v>
      </c>
      <c r="E74" s="102">
        <v>0.46400000000000002</v>
      </c>
      <c r="F74" s="287">
        <f t="shared" ref="F74" si="58">AVERAGE(E74:E76)</f>
        <v>0.46100000000000002</v>
      </c>
      <c r="G74" s="287">
        <f t="shared" ref="G74" si="59">STDEV(E74:E76)</f>
        <v>6.0827625302982248E-3</v>
      </c>
      <c r="H74" s="278">
        <f t="shared" ref="H74" si="60">(G74/F74)*100</f>
        <v>1.3194712647067732</v>
      </c>
      <c r="J74" s="284" t="s">
        <v>167</v>
      </c>
      <c r="K74" s="304">
        <v>0</v>
      </c>
      <c r="L74" s="304">
        <v>2</v>
      </c>
      <c r="M74" s="304">
        <f>D74/1000</f>
        <v>0.3</v>
      </c>
      <c r="N74" s="307">
        <f>SUM(K74:M76)</f>
        <v>2.2999999999999998</v>
      </c>
      <c r="O74" s="307">
        <v>2.5</v>
      </c>
      <c r="T74" s="154"/>
    </row>
    <row r="75" spans="1:20" x14ac:dyDescent="0.3">
      <c r="A75" s="314"/>
      <c r="B75" s="316"/>
      <c r="C75" s="319"/>
      <c r="D75" s="311"/>
      <c r="E75" s="103">
        <v>0.45400000000000001</v>
      </c>
      <c r="F75" s="288"/>
      <c r="G75" s="288"/>
      <c r="H75" s="279"/>
      <c r="J75" s="285"/>
      <c r="K75" s="305"/>
      <c r="L75" s="305"/>
      <c r="M75" s="305"/>
      <c r="N75" s="308"/>
      <c r="O75" s="308"/>
      <c r="T75" s="154"/>
    </row>
    <row r="76" spans="1:20" ht="15" thickBot="1" x14ac:dyDescent="0.35">
      <c r="A76" s="314"/>
      <c r="B76" s="317"/>
      <c r="C76" s="319"/>
      <c r="D76" s="312"/>
      <c r="E76" s="104">
        <v>0.46500000000000002</v>
      </c>
      <c r="F76" s="289"/>
      <c r="G76" s="289"/>
      <c r="H76" s="280"/>
      <c r="J76" s="286"/>
      <c r="K76" s="306"/>
      <c r="L76" s="306"/>
      <c r="M76" s="306"/>
      <c r="N76" s="309"/>
      <c r="O76" s="309"/>
      <c r="T76" s="154"/>
    </row>
    <row r="77" spans="1:20" x14ac:dyDescent="0.3">
      <c r="A77" s="314"/>
      <c r="B77" s="315" t="s">
        <v>168</v>
      </c>
      <c r="C77" s="319"/>
      <c r="D77" s="310">
        <v>300</v>
      </c>
      <c r="E77" s="102">
        <v>0.47799999999999998</v>
      </c>
      <c r="F77" s="287">
        <f t="shared" ref="F77" si="61">AVERAGE(E77:E79)</f>
        <v>0.46533333333333332</v>
      </c>
      <c r="G77" s="287">
        <f t="shared" ref="G77" si="62">STDEV(E77:E79)</f>
        <v>1.2055427546683399E-2</v>
      </c>
      <c r="H77" s="278">
        <f t="shared" ref="H77" si="63">(G77/F77)*100</f>
        <v>2.5907079255050287</v>
      </c>
      <c r="T77" s="154"/>
    </row>
    <row r="78" spans="1:20" x14ac:dyDescent="0.3">
      <c r="A78" s="314"/>
      <c r="B78" s="316"/>
      <c r="C78" s="319"/>
      <c r="D78" s="311"/>
      <c r="E78" s="103">
        <v>0.45400000000000001</v>
      </c>
      <c r="F78" s="288"/>
      <c r="G78" s="288"/>
      <c r="H78" s="279"/>
      <c r="T78" s="154"/>
    </row>
    <row r="79" spans="1:20" ht="15" thickBot="1" x14ac:dyDescent="0.35">
      <c r="A79" s="314"/>
      <c r="B79" s="317"/>
      <c r="C79" s="319"/>
      <c r="D79" s="312"/>
      <c r="E79" s="104">
        <v>0.46400000000000002</v>
      </c>
      <c r="F79" s="289"/>
      <c r="G79" s="289"/>
      <c r="H79" s="280"/>
      <c r="T79" s="154"/>
    </row>
    <row r="80" spans="1:20" x14ac:dyDescent="0.3">
      <c r="A80" s="313">
        <f>Summary!B29</f>
        <v>24.09999999999993</v>
      </c>
      <c r="B80" s="315" t="s">
        <v>169</v>
      </c>
      <c r="C80" s="318" t="s">
        <v>195</v>
      </c>
      <c r="D80" s="310">
        <v>300</v>
      </c>
      <c r="E80" s="102">
        <v>0.50600000000000001</v>
      </c>
      <c r="F80" s="287">
        <f t="shared" ref="F80" si="64">AVERAGE(E80:E82)</f>
        <v>0.503</v>
      </c>
      <c r="G80" s="287">
        <f t="shared" ref="G80" si="65">STDEV(E80:E82)</f>
        <v>2.6457513110645929E-3</v>
      </c>
      <c r="H80" s="278">
        <f t="shared" ref="H80" si="66">(G80/F80)*100</f>
        <v>0.52599429643431272</v>
      </c>
      <c r="J80" s="284" t="s">
        <v>169</v>
      </c>
      <c r="K80" s="304">
        <v>0</v>
      </c>
      <c r="L80" s="304">
        <v>2</v>
      </c>
      <c r="M80" s="304">
        <f>D80/1000</f>
        <v>0.3</v>
      </c>
      <c r="N80" s="307">
        <f>SUM(K80:M82)</f>
        <v>2.2999999999999998</v>
      </c>
      <c r="O80" s="307">
        <v>2.7</v>
      </c>
      <c r="T80" s="154"/>
    </row>
    <row r="81" spans="1:20" x14ac:dyDescent="0.3">
      <c r="A81" s="314"/>
      <c r="B81" s="316"/>
      <c r="C81" s="319"/>
      <c r="D81" s="311"/>
      <c r="E81" s="103">
        <v>0.502</v>
      </c>
      <c r="F81" s="288"/>
      <c r="G81" s="288"/>
      <c r="H81" s="279"/>
      <c r="J81" s="285"/>
      <c r="K81" s="305"/>
      <c r="L81" s="305"/>
      <c r="M81" s="305"/>
      <c r="N81" s="308"/>
      <c r="O81" s="308"/>
      <c r="T81" s="154"/>
    </row>
    <row r="82" spans="1:20" ht="15" thickBot="1" x14ac:dyDescent="0.35">
      <c r="A82" s="314"/>
      <c r="B82" s="317"/>
      <c r="C82" s="319"/>
      <c r="D82" s="312"/>
      <c r="E82" s="104">
        <v>0.501</v>
      </c>
      <c r="F82" s="289"/>
      <c r="G82" s="289"/>
      <c r="H82" s="280"/>
      <c r="J82" s="286"/>
      <c r="K82" s="306"/>
      <c r="L82" s="306"/>
      <c r="M82" s="306"/>
      <c r="N82" s="309"/>
      <c r="O82" s="309"/>
      <c r="T82" s="154"/>
    </row>
    <row r="83" spans="1:20" ht="15" thickBot="1" x14ac:dyDescent="0.35">
      <c r="A83" s="314"/>
      <c r="B83" s="315" t="s">
        <v>170</v>
      </c>
      <c r="C83" s="319"/>
      <c r="D83" s="310">
        <v>300</v>
      </c>
      <c r="E83" s="102">
        <v>0.505</v>
      </c>
      <c r="F83" s="287">
        <f t="shared" ref="F83" si="67">AVERAGE(E83:E85)</f>
        <v>0.50633333333333341</v>
      </c>
      <c r="G83" s="287">
        <f t="shared" ref="G83" si="68">STDEV(E83:E85)</f>
        <v>1.5275252316519479E-3</v>
      </c>
      <c r="H83" s="278">
        <f t="shared" ref="H83" si="69">(G83/F83)*100</f>
        <v>0.30168371922026616</v>
      </c>
      <c r="R83" s="105" t="s">
        <v>100</v>
      </c>
      <c r="S83" s="106" t="s">
        <v>101</v>
      </c>
      <c r="T83" s="154"/>
    </row>
    <row r="84" spans="1:20" ht="15" thickBot="1" x14ac:dyDescent="0.35">
      <c r="A84" s="314"/>
      <c r="B84" s="316"/>
      <c r="C84" s="319"/>
      <c r="D84" s="311"/>
      <c r="E84" s="103">
        <v>0.50600000000000001</v>
      </c>
      <c r="F84" s="288"/>
      <c r="G84" s="288"/>
      <c r="H84" s="279"/>
      <c r="Q84" s="78" t="s">
        <v>118</v>
      </c>
      <c r="R84" s="302">
        <v>787.45</v>
      </c>
      <c r="S84" s="303"/>
      <c r="T84" s="154"/>
    </row>
    <row r="85" spans="1:20" ht="15" thickBot="1" x14ac:dyDescent="0.35">
      <c r="A85" s="314"/>
      <c r="B85" s="317"/>
      <c r="C85" s="319"/>
      <c r="D85" s="312"/>
      <c r="E85" s="104">
        <v>0.50800000000000001</v>
      </c>
      <c r="F85" s="289"/>
      <c r="G85" s="289"/>
      <c r="H85" s="280"/>
      <c r="Q85" s="69" t="s">
        <v>117</v>
      </c>
      <c r="R85" s="2">
        <v>740</v>
      </c>
      <c r="S85" s="2">
        <v>740</v>
      </c>
      <c r="T85" s="154"/>
    </row>
    <row r="86" spans="1:20" ht="15" thickBot="1" x14ac:dyDescent="0.35">
      <c r="A86" s="313">
        <f>Summary!B30</f>
        <v>33.683333333333202</v>
      </c>
      <c r="B86" s="315" t="s">
        <v>171</v>
      </c>
      <c r="C86" s="318" t="s">
        <v>195</v>
      </c>
      <c r="D86" s="310">
        <v>300</v>
      </c>
      <c r="E86" s="102">
        <v>0.57699999999999996</v>
      </c>
      <c r="F86" s="287">
        <f t="shared" ref="F86" si="70">AVERAGE(E86:E88)</f>
        <v>0.58333333333333326</v>
      </c>
      <c r="G86" s="287">
        <f t="shared" ref="G86" si="71">STDEV(E86:E88)</f>
        <v>5.5075705472861069E-3</v>
      </c>
      <c r="H86" s="278">
        <f t="shared" ref="H86" si="72">(G86/F86)*100</f>
        <v>0.94415495096333268</v>
      </c>
      <c r="J86" s="284" t="s">
        <v>171</v>
      </c>
      <c r="K86" s="304">
        <v>6</v>
      </c>
      <c r="L86" s="304">
        <v>2</v>
      </c>
      <c r="M86" s="304">
        <f>D86/1000</f>
        <v>0.3</v>
      </c>
      <c r="N86" s="307">
        <f>SUM(K86:M88)</f>
        <v>8.3000000000000007</v>
      </c>
      <c r="O86" s="307">
        <v>9.6</v>
      </c>
      <c r="Q86" s="69" t="s">
        <v>116</v>
      </c>
      <c r="R86" s="66">
        <f>2.5+2.5+9+2.5+2.7+9.6+2.5+9</f>
        <v>40.299999999999997</v>
      </c>
      <c r="S86" s="77">
        <f>2.5+2.5+9.6+2.6+2.7+9+2.5+9</f>
        <v>40.4</v>
      </c>
      <c r="T86" s="154"/>
    </row>
    <row r="87" spans="1:20" ht="15" thickBot="1" x14ac:dyDescent="0.35">
      <c r="A87" s="314"/>
      <c r="B87" s="316"/>
      <c r="C87" s="319"/>
      <c r="D87" s="311"/>
      <c r="E87" s="103">
        <v>0.58599999999999997</v>
      </c>
      <c r="F87" s="288"/>
      <c r="G87" s="288"/>
      <c r="H87" s="279"/>
      <c r="J87" s="285"/>
      <c r="K87" s="305"/>
      <c r="L87" s="305"/>
      <c r="M87" s="305"/>
      <c r="N87" s="308"/>
      <c r="O87" s="308"/>
      <c r="Q87" s="69" t="s">
        <v>142</v>
      </c>
      <c r="R87" s="107">
        <f>(((R85+R86)-$R$84)/$R$84)*100</f>
        <v>-0.90799415835927233</v>
      </c>
      <c r="S87" s="107">
        <f>(((S85+S86)-$R$84)/$R$84)*100</f>
        <v>-0.89529493936123783</v>
      </c>
      <c r="T87" s="154"/>
    </row>
    <row r="88" spans="1:20" ht="15" thickBot="1" x14ac:dyDescent="0.35">
      <c r="A88" s="314"/>
      <c r="B88" s="317"/>
      <c r="C88" s="319"/>
      <c r="D88" s="312"/>
      <c r="E88" s="104">
        <v>0.58699999999999997</v>
      </c>
      <c r="F88" s="289"/>
      <c r="G88" s="289"/>
      <c r="H88" s="280"/>
      <c r="J88" s="286"/>
      <c r="K88" s="306"/>
      <c r="L88" s="306"/>
      <c r="M88" s="306"/>
      <c r="N88" s="309"/>
      <c r="O88" s="309"/>
      <c r="T88" s="154"/>
    </row>
    <row r="89" spans="1:20" x14ac:dyDescent="0.3">
      <c r="A89" s="314"/>
      <c r="B89" s="315" t="s">
        <v>172</v>
      </c>
      <c r="C89" s="319"/>
      <c r="D89" s="310">
        <v>300</v>
      </c>
      <c r="E89" s="102">
        <v>0.57999999999999996</v>
      </c>
      <c r="F89" s="287">
        <f t="shared" ref="F89" si="73">AVERAGE(E89:E91)</f>
        <v>0.58366666666666667</v>
      </c>
      <c r="G89" s="287">
        <f t="shared" ref="G89" si="74">STDEV(E89:E91)</f>
        <v>4.7258156262526127E-3</v>
      </c>
      <c r="H89" s="278">
        <f t="shared" ref="H89" si="75">(G89/F89)*100</f>
        <v>0.80967714898674115</v>
      </c>
      <c r="T89" s="154"/>
    </row>
    <row r="90" spans="1:20" x14ac:dyDescent="0.3">
      <c r="A90" s="314"/>
      <c r="B90" s="316"/>
      <c r="C90" s="319"/>
      <c r="D90" s="311"/>
      <c r="E90" s="103">
        <v>0.58199999999999996</v>
      </c>
      <c r="F90" s="288"/>
      <c r="G90" s="288"/>
      <c r="H90" s="279"/>
      <c r="T90" s="154"/>
    </row>
    <row r="91" spans="1:20" ht="15" thickBot="1" x14ac:dyDescent="0.35">
      <c r="A91" s="314"/>
      <c r="B91" s="317"/>
      <c r="C91" s="319"/>
      <c r="D91" s="312"/>
      <c r="E91" s="104">
        <v>0.58899999999999997</v>
      </c>
      <c r="F91" s="289"/>
      <c r="G91" s="289"/>
      <c r="H91" s="280"/>
      <c r="T91" s="154"/>
    </row>
    <row r="92" spans="1:20" x14ac:dyDescent="0.3">
      <c r="A92" s="313">
        <f>Summary!B31</f>
        <v>36.516666666666616</v>
      </c>
      <c r="B92" s="315" t="s">
        <v>173</v>
      </c>
      <c r="C92" s="318" t="s">
        <v>195</v>
      </c>
      <c r="D92" s="310">
        <v>300</v>
      </c>
      <c r="E92" s="102">
        <v>0.61599999999999999</v>
      </c>
      <c r="F92" s="287">
        <f t="shared" ref="F92" si="76">AVERAGE(E92:E94)</f>
        <v>0.625</v>
      </c>
      <c r="G92" s="287">
        <f t="shared" ref="G92" si="77">STDEV(E92:E94)</f>
        <v>7.8102496759066614E-3</v>
      </c>
      <c r="H92" s="278">
        <f t="shared" ref="H92" si="78">(G92/F92)*100</f>
        <v>1.249639948145066</v>
      </c>
      <c r="J92" s="284" t="s">
        <v>173</v>
      </c>
      <c r="K92" s="304">
        <v>0</v>
      </c>
      <c r="L92" s="304">
        <v>2</v>
      </c>
      <c r="M92" s="304">
        <f>D92/1000</f>
        <v>0.3</v>
      </c>
      <c r="N92" s="307">
        <f>SUM(K92:M94)</f>
        <v>2.2999999999999998</v>
      </c>
      <c r="O92" s="307">
        <v>2.5</v>
      </c>
      <c r="T92" s="154"/>
    </row>
    <row r="93" spans="1:20" x14ac:dyDescent="0.3">
      <c r="A93" s="314"/>
      <c r="B93" s="316"/>
      <c r="C93" s="319"/>
      <c r="D93" s="311"/>
      <c r="E93" s="103">
        <v>0.63</v>
      </c>
      <c r="F93" s="288"/>
      <c r="G93" s="288"/>
      <c r="H93" s="279"/>
      <c r="J93" s="285"/>
      <c r="K93" s="305"/>
      <c r="L93" s="305"/>
      <c r="M93" s="305"/>
      <c r="N93" s="308"/>
      <c r="O93" s="308"/>
      <c r="T93" s="154"/>
    </row>
    <row r="94" spans="1:20" ht="15" thickBot="1" x14ac:dyDescent="0.35">
      <c r="A94" s="314"/>
      <c r="B94" s="317"/>
      <c r="C94" s="319"/>
      <c r="D94" s="312"/>
      <c r="E94" s="104">
        <v>0.629</v>
      </c>
      <c r="F94" s="289"/>
      <c r="G94" s="289"/>
      <c r="H94" s="280"/>
      <c r="J94" s="286"/>
      <c r="K94" s="306"/>
      <c r="L94" s="306"/>
      <c r="M94" s="306"/>
      <c r="N94" s="309"/>
      <c r="O94" s="309"/>
      <c r="Q94" s="173" t="s">
        <v>177</v>
      </c>
      <c r="T94" s="154"/>
    </row>
    <row r="95" spans="1:20" x14ac:dyDescent="0.3">
      <c r="A95" s="314"/>
      <c r="B95" s="315" t="s">
        <v>174</v>
      </c>
      <c r="C95" s="319"/>
      <c r="D95" s="310">
        <v>300</v>
      </c>
      <c r="E95" s="102">
        <v>0.627</v>
      </c>
      <c r="F95" s="287">
        <f t="shared" ref="F95" si="79">AVERAGE(E95:E97)</f>
        <v>0.6246666666666667</v>
      </c>
      <c r="G95" s="287">
        <f t="shared" ref="G95" si="80">STDEV(E95:E97)</f>
        <v>4.0414518843273836E-3</v>
      </c>
      <c r="H95" s="278">
        <f t="shared" ref="H95" si="81">(G95/F95)*100</f>
        <v>0.6469773560822919</v>
      </c>
      <c r="T95" s="154"/>
    </row>
    <row r="96" spans="1:20" x14ac:dyDescent="0.3">
      <c r="A96" s="314"/>
      <c r="B96" s="316"/>
      <c r="C96" s="319"/>
      <c r="D96" s="311"/>
      <c r="E96" s="103">
        <v>0.627</v>
      </c>
      <c r="F96" s="288"/>
      <c r="G96" s="288"/>
      <c r="H96" s="279"/>
      <c r="T96" s="154"/>
    </row>
    <row r="97" spans="1:20" ht="15" thickBot="1" x14ac:dyDescent="0.35">
      <c r="A97" s="314"/>
      <c r="B97" s="317"/>
      <c r="C97" s="319"/>
      <c r="D97" s="312"/>
      <c r="E97" s="104">
        <v>0.62</v>
      </c>
      <c r="F97" s="289"/>
      <c r="G97" s="289"/>
      <c r="H97" s="280"/>
      <c r="T97" s="154"/>
    </row>
    <row r="98" spans="1:20" x14ac:dyDescent="0.3">
      <c r="A98" s="313">
        <v>39.266666666666694</v>
      </c>
      <c r="B98" s="315" t="s">
        <v>175</v>
      </c>
      <c r="C98" s="318" t="s">
        <v>195</v>
      </c>
      <c r="D98" s="310">
        <v>300</v>
      </c>
      <c r="E98" s="102">
        <v>0.63800000000000001</v>
      </c>
      <c r="F98" s="287">
        <f t="shared" ref="F98" si="82">AVERAGE(E98:E100)</f>
        <v>0.65666666666666662</v>
      </c>
      <c r="G98" s="287">
        <f t="shared" ref="G98" si="83">STDEV(E98:E100)</f>
        <v>1.7616280348965098E-2</v>
      </c>
      <c r="H98" s="278">
        <f t="shared" ref="H98" si="84">(G98/F98)*100</f>
        <v>2.6826822866444311</v>
      </c>
      <c r="J98" s="284" t="s">
        <v>175</v>
      </c>
      <c r="K98" s="304">
        <v>6</v>
      </c>
      <c r="L98" s="304">
        <v>2</v>
      </c>
      <c r="M98" s="304">
        <f>D98/1000</f>
        <v>0.3</v>
      </c>
      <c r="N98" s="307">
        <f>SUM(K98:M100)</f>
        <v>8.3000000000000007</v>
      </c>
      <c r="O98" s="307">
        <v>9</v>
      </c>
      <c r="T98" s="154"/>
    </row>
    <row r="99" spans="1:20" x14ac:dyDescent="0.3">
      <c r="A99" s="314"/>
      <c r="B99" s="316"/>
      <c r="C99" s="319"/>
      <c r="D99" s="311"/>
      <c r="E99" s="103">
        <v>0.67300000000000004</v>
      </c>
      <c r="F99" s="288"/>
      <c r="G99" s="288"/>
      <c r="H99" s="279"/>
      <c r="J99" s="285"/>
      <c r="K99" s="305"/>
      <c r="L99" s="305"/>
      <c r="M99" s="305"/>
      <c r="N99" s="308"/>
      <c r="O99" s="308"/>
      <c r="T99" s="154"/>
    </row>
    <row r="100" spans="1:20" ht="15" thickBot="1" x14ac:dyDescent="0.35">
      <c r="A100" s="314"/>
      <c r="B100" s="317"/>
      <c r="C100" s="319"/>
      <c r="D100" s="312"/>
      <c r="E100" s="104">
        <v>0.65900000000000003</v>
      </c>
      <c r="F100" s="289"/>
      <c r="G100" s="289"/>
      <c r="H100" s="280"/>
      <c r="J100" s="286"/>
      <c r="K100" s="306"/>
      <c r="L100" s="306"/>
      <c r="M100" s="306"/>
      <c r="N100" s="309"/>
      <c r="O100" s="309"/>
      <c r="T100" s="154"/>
    </row>
    <row r="101" spans="1:20" x14ac:dyDescent="0.3">
      <c r="A101" s="314"/>
      <c r="B101" s="315" t="s">
        <v>176</v>
      </c>
      <c r="C101" s="319"/>
      <c r="D101" s="310">
        <v>300</v>
      </c>
      <c r="E101" s="102">
        <v>0.63800000000000001</v>
      </c>
      <c r="F101" s="287">
        <f t="shared" ref="F101" si="85">AVERAGE(E101:E103)</f>
        <v>0.64166666666666672</v>
      </c>
      <c r="G101" s="287">
        <f t="shared" ref="G101" si="86">STDEV(E101:E103)</f>
        <v>4.0414518843273836E-3</v>
      </c>
      <c r="H101" s="278">
        <f t="shared" ref="H101" si="87">(G101/F101)*100</f>
        <v>0.62983665729777405</v>
      </c>
      <c r="T101" s="154"/>
    </row>
    <row r="102" spans="1:20" x14ac:dyDescent="0.3">
      <c r="A102" s="314"/>
      <c r="B102" s="316"/>
      <c r="C102" s="319"/>
      <c r="D102" s="311"/>
      <c r="E102" s="103">
        <v>0.64600000000000002</v>
      </c>
      <c r="F102" s="288"/>
      <c r="G102" s="288"/>
      <c r="H102" s="279"/>
      <c r="T102" s="154"/>
    </row>
    <row r="103" spans="1:20" ht="15" thickBot="1" x14ac:dyDescent="0.35">
      <c r="A103" s="320"/>
      <c r="B103" s="317"/>
      <c r="C103" s="321"/>
      <c r="D103" s="312"/>
      <c r="E103" s="104">
        <v>0.64100000000000001</v>
      </c>
      <c r="F103" s="289"/>
      <c r="G103" s="289"/>
      <c r="H103" s="280"/>
      <c r="T103" s="154"/>
    </row>
    <row r="104" spans="1:20" x14ac:dyDescent="0.3">
      <c r="A104" s="153"/>
      <c r="T104" s="154"/>
    </row>
    <row r="105" spans="1:20" ht="15" thickBot="1" x14ac:dyDescent="0.35">
      <c r="A105" s="160"/>
      <c r="B105" s="161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4"/>
    </row>
    <row r="106" spans="1:20" ht="15" thickTop="1" x14ac:dyDescent="0.3">
      <c r="A106" s="150"/>
      <c r="B106" s="151"/>
      <c r="C106" s="151"/>
      <c r="D106" s="151"/>
      <c r="E106" s="151"/>
      <c r="F106" s="151"/>
      <c r="G106" s="151"/>
      <c r="H106" s="151"/>
      <c r="I106" s="151"/>
      <c r="J106" s="151"/>
      <c r="K106" s="151"/>
      <c r="L106" s="151"/>
      <c r="M106" s="151"/>
      <c r="N106" s="151"/>
      <c r="O106" s="151"/>
      <c r="P106" s="151"/>
      <c r="Q106" s="151"/>
      <c r="R106" s="151"/>
      <c r="S106" s="151"/>
      <c r="T106" s="152"/>
    </row>
    <row r="107" spans="1:20" ht="15" thickBot="1" x14ac:dyDescent="0.35">
      <c r="A107" s="153"/>
      <c r="T107" s="154"/>
    </row>
    <row r="108" spans="1:20" ht="15" thickBot="1" x14ac:dyDescent="0.35">
      <c r="A108" s="168" t="s">
        <v>3</v>
      </c>
      <c r="B108" s="1" t="s">
        <v>1</v>
      </c>
      <c r="C108" s="1" t="s">
        <v>4</v>
      </c>
      <c r="D108" s="1" t="s">
        <v>59</v>
      </c>
      <c r="E108" s="1" t="s">
        <v>7</v>
      </c>
      <c r="F108" s="1" t="s">
        <v>5</v>
      </c>
      <c r="G108" s="1" t="s">
        <v>114</v>
      </c>
      <c r="H108" s="1" t="s">
        <v>178</v>
      </c>
      <c r="K108" s="49" t="s">
        <v>60</v>
      </c>
      <c r="L108" s="49" t="s">
        <v>61</v>
      </c>
      <c r="M108" s="49" t="s">
        <v>62</v>
      </c>
      <c r="N108" s="49" t="s">
        <v>63</v>
      </c>
      <c r="O108" s="178" t="s">
        <v>141</v>
      </c>
      <c r="T108" s="154"/>
    </row>
    <row r="109" spans="1:20" ht="15" thickBot="1" x14ac:dyDescent="0.35">
      <c r="A109" s="281">
        <v>0</v>
      </c>
      <c r="B109" s="328" t="s">
        <v>361</v>
      </c>
      <c r="C109" s="318" t="s">
        <v>58</v>
      </c>
      <c r="D109" s="310">
        <v>300</v>
      </c>
      <c r="E109" s="102">
        <v>0.54400000000000004</v>
      </c>
      <c r="F109" s="287">
        <f>AVERAGE(E109:E111)</f>
        <v>0.54500000000000004</v>
      </c>
      <c r="G109" s="287">
        <f>STDEV(E109:E111)</f>
        <v>1.7521415467935193E-2</v>
      </c>
      <c r="H109" s="278">
        <f>(G109/F109)*100</f>
        <v>3.2149386179697599</v>
      </c>
      <c r="J109" s="299" t="s">
        <v>361</v>
      </c>
      <c r="K109" s="304">
        <v>0</v>
      </c>
      <c r="L109" s="304">
        <v>3</v>
      </c>
      <c r="M109" s="304">
        <f>D109/1000</f>
        <v>0.3</v>
      </c>
      <c r="N109" s="307">
        <f>SUM(K109:M111)</f>
        <v>3.3</v>
      </c>
      <c r="O109" s="307">
        <v>4.2</v>
      </c>
      <c r="T109" s="154"/>
    </row>
    <row r="110" spans="1:20" x14ac:dyDescent="0.3">
      <c r="A110" s="282"/>
      <c r="B110" s="329"/>
      <c r="C110" s="319"/>
      <c r="D110" s="311"/>
      <c r="E110" s="103">
        <v>0.52800000000000002</v>
      </c>
      <c r="F110" s="288"/>
      <c r="G110" s="288"/>
      <c r="H110" s="279"/>
      <c r="J110" s="300"/>
      <c r="K110" s="305"/>
      <c r="L110" s="305"/>
      <c r="M110" s="305"/>
      <c r="N110" s="308"/>
      <c r="O110" s="308"/>
      <c r="Q110" s="325" t="s">
        <v>359</v>
      </c>
      <c r="T110" s="154"/>
    </row>
    <row r="111" spans="1:20" ht="15" thickBot="1" x14ac:dyDescent="0.35">
      <c r="A111" s="282"/>
      <c r="B111" s="330"/>
      <c r="C111" s="319"/>
      <c r="D111" s="312"/>
      <c r="E111" s="104">
        <v>0.56299999999999994</v>
      </c>
      <c r="F111" s="289"/>
      <c r="G111" s="289"/>
      <c r="H111" s="280"/>
      <c r="J111" s="301"/>
      <c r="K111" s="306"/>
      <c r="L111" s="306"/>
      <c r="M111" s="306"/>
      <c r="N111" s="309"/>
      <c r="O111" s="309"/>
      <c r="Q111" s="326"/>
      <c r="T111" s="154"/>
    </row>
    <row r="112" spans="1:20" ht="15" thickBot="1" x14ac:dyDescent="0.35">
      <c r="A112" s="282"/>
      <c r="B112" s="315" t="s">
        <v>161</v>
      </c>
      <c r="C112" s="319"/>
      <c r="D112" s="310">
        <v>300</v>
      </c>
      <c r="E112" s="102">
        <v>0.58299999999999996</v>
      </c>
      <c r="F112" s="287">
        <f t="shared" ref="F112" si="88">AVERAGE(E112:E114)</f>
        <v>0.58333333333333337</v>
      </c>
      <c r="G112" s="287">
        <f t="shared" ref="G112" si="89">STDEV(E112:E114)</f>
        <v>5.7735026918962634E-4</v>
      </c>
      <c r="H112" s="278">
        <f t="shared" ref="H112" si="90">(G112/F112)*100</f>
        <v>9.897433186107879E-2</v>
      </c>
      <c r="J112" s="284" t="s">
        <v>161</v>
      </c>
      <c r="K112" s="304">
        <v>0</v>
      </c>
      <c r="L112" s="304">
        <v>3</v>
      </c>
      <c r="M112" s="304">
        <f>D112/1000</f>
        <v>0.3</v>
      </c>
      <c r="N112" s="307">
        <f>SUM(K112:M114)</f>
        <v>3.3</v>
      </c>
      <c r="O112" s="307">
        <v>4.2</v>
      </c>
      <c r="Q112" s="327"/>
      <c r="T112" s="154"/>
    </row>
    <row r="113" spans="1:20" x14ac:dyDescent="0.3">
      <c r="A113" s="282"/>
      <c r="B113" s="316"/>
      <c r="C113" s="319"/>
      <c r="D113" s="311"/>
      <c r="E113" s="103">
        <v>0.58299999999999996</v>
      </c>
      <c r="F113" s="288"/>
      <c r="G113" s="288"/>
      <c r="H113" s="279"/>
      <c r="J113" s="285"/>
      <c r="K113" s="305"/>
      <c r="L113" s="305"/>
      <c r="M113" s="305"/>
      <c r="N113" s="308"/>
      <c r="O113" s="308"/>
      <c r="T113" s="154"/>
    </row>
    <row r="114" spans="1:20" ht="15" thickBot="1" x14ac:dyDescent="0.35">
      <c r="A114" s="282"/>
      <c r="B114" s="317"/>
      <c r="C114" s="319"/>
      <c r="D114" s="312"/>
      <c r="E114" s="104">
        <v>0.58399999999999996</v>
      </c>
      <c r="F114" s="289"/>
      <c r="G114" s="289"/>
      <c r="H114" s="280"/>
      <c r="J114" s="286"/>
      <c r="K114" s="306"/>
      <c r="L114" s="306"/>
      <c r="M114" s="306"/>
      <c r="N114" s="309"/>
      <c r="O114" s="309"/>
      <c r="T114" s="154"/>
    </row>
    <row r="115" spans="1:20" x14ac:dyDescent="0.3">
      <c r="A115" s="281">
        <v>9.6</v>
      </c>
      <c r="B115" s="328" t="s">
        <v>362</v>
      </c>
      <c r="C115" s="318" t="s">
        <v>195</v>
      </c>
      <c r="D115" s="310">
        <v>300</v>
      </c>
      <c r="E115" s="102">
        <v>0.35799999999999998</v>
      </c>
      <c r="F115" s="287">
        <f t="shared" ref="F115" si="91">AVERAGE(E115:E117)</f>
        <v>0.36233333333333334</v>
      </c>
      <c r="G115" s="287">
        <f t="shared" ref="G115" si="92">STDEV(E115:E117)</f>
        <v>4.5092497528228985E-3</v>
      </c>
      <c r="H115" s="278">
        <f t="shared" ref="H115" si="93">(G115/F115)*100</f>
        <v>1.244503151653054</v>
      </c>
      <c r="J115" s="299" t="s">
        <v>362</v>
      </c>
      <c r="K115" s="304">
        <v>0</v>
      </c>
      <c r="L115" s="304">
        <v>3</v>
      </c>
      <c r="M115" s="304">
        <f>D115/1000</f>
        <v>0.3</v>
      </c>
      <c r="N115" s="307">
        <f>SUM(K115:M117)</f>
        <v>3.3</v>
      </c>
      <c r="O115" s="307">
        <v>4.4000000000000004</v>
      </c>
      <c r="T115" s="154"/>
    </row>
    <row r="116" spans="1:20" x14ac:dyDescent="0.3">
      <c r="A116" s="282"/>
      <c r="B116" s="329"/>
      <c r="C116" s="319"/>
      <c r="D116" s="311"/>
      <c r="E116" s="103">
        <v>0.36699999999999999</v>
      </c>
      <c r="F116" s="288"/>
      <c r="G116" s="288"/>
      <c r="H116" s="279"/>
      <c r="J116" s="300"/>
      <c r="K116" s="305"/>
      <c r="L116" s="305"/>
      <c r="M116" s="305"/>
      <c r="N116" s="308"/>
      <c r="O116" s="308"/>
      <c r="T116" s="154"/>
    </row>
    <row r="117" spans="1:20" ht="15" thickBot="1" x14ac:dyDescent="0.35">
      <c r="A117" s="282"/>
      <c r="B117" s="330"/>
      <c r="C117" s="319"/>
      <c r="D117" s="312"/>
      <c r="E117" s="104">
        <v>0.36199999999999999</v>
      </c>
      <c r="F117" s="289"/>
      <c r="G117" s="289"/>
      <c r="H117" s="280"/>
      <c r="J117" s="301"/>
      <c r="K117" s="306"/>
      <c r="L117" s="306"/>
      <c r="M117" s="306"/>
      <c r="N117" s="309"/>
      <c r="O117" s="309"/>
      <c r="T117" s="154"/>
    </row>
    <row r="118" spans="1:20" x14ac:dyDescent="0.3">
      <c r="A118" s="282"/>
      <c r="B118" s="315" t="s">
        <v>163</v>
      </c>
      <c r="C118" s="319"/>
      <c r="D118" s="310">
        <v>300</v>
      </c>
      <c r="E118" s="102">
        <v>0.38800000000000001</v>
      </c>
      <c r="F118" s="287">
        <f t="shared" ref="F118" si="94">AVERAGE(E118:E120)</f>
        <v>0.38800000000000007</v>
      </c>
      <c r="G118" s="287">
        <f t="shared" ref="G118" si="95">STDEV(E118:E120)</f>
        <v>6.7986997775525911E-17</v>
      </c>
      <c r="H118" s="278">
        <f>(G118/F118)*100</f>
        <v>1.7522422107094305E-14</v>
      </c>
      <c r="J118" s="284" t="s">
        <v>163</v>
      </c>
      <c r="K118" s="304">
        <v>0</v>
      </c>
      <c r="L118" s="304">
        <v>3</v>
      </c>
      <c r="M118" s="304">
        <f>D118/1000</f>
        <v>0.3</v>
      </c>
      <c r="N118" s="307">
        <f>SUM(K118:M120)</f>
        <v>3.3</v>
      </c>
      <c r="O118" s="307">
        <v>4.2</v>
      </c>
      <c r="T118" s="154"/>
    </row>
    <row r="119" spans="1:20" x14ac:dyDescent="0.3">
      <c r="A119" s="282"/>
      <c r="B119" s="316"/>
      <c r="C119" s="319"/>
      <c r="D119" s="311"/>
      <c r="E119" s="103">
        <v>0.38800000000000001</v>
      </c>
      <c r="F119" s="288"/>
      <c r="G119" s="288"/>
      <c r="H119" s="279"/>
      <c r="J119" s="285"/>
      <c r="K119" s="305"/>
      <c r="L119" s="305"/>
      <c r="M119" s="305"/>
      <c r="N119" s="308"/>
      <c r="O119" s="308"/>
      <c r="T119" s="154"/>
    </row>
    <row r="120" spans="1:20" ht="15" thickBot="1" x14ac:dyDescent="0.35">
      <c r="A120" s="282"/>
      <c r="B120" s="317"/>
      <c r="C120" s="319"/>
      <c r="D120" s="312"/>
      <c r="E120" s="104">
        <v>0.38800000000000001</v>
      </c>
      <c r="F120" s="289"/>
      <c r="G120" s="289"/>
      <c r="H120" s="280"/>
      <c r="J120" s="286"/>
      <c r="K120" s="306"/>
      <c r="L120" s="306"/>
      <c r="M120" s="306"/>
      <c r="N120" s="309"/>
      <c r="O120" s="309"/>
      <c r="T120" s="154"/>
    </row>
    <row r="121" spans="1:20" x14ac:dyDescent="0.3">
      <c r="A121" s="281">
        <v>14.183333333333366</v>
      </c>
      <c r="B121" s="328" t="s">
        <v>363</v>
      </c>
      <c r="C121" s="318" t="s">
        <v>195</v>
      </c>
      <c r="D121" s="310">
        <v>300</v>
      </c>
      <c r="E121" s="102">
        <v>0.40100000000000002</v>
      </c>
      <c r="F121" s="287">
        <f t="shared" ref="F121" si="96">AVERAGE(E121:E123)</f>
        <v>0.40500000000000003</v>
      </c>
      <c r="G121" s="287">
        <f t="shared" ref="G121" si="97">STDEV(E121:E123)</f>
        <v>3.6055512754639696E-3</v>
      </c>
      <c r="H121" s="278">
        <f t="shared" ref="H121" si="98">(G121/F121)*100</f>
        <v>0.89025957418863433</v>
      </c>
      <c r="J121" s="299" t="s">
        <v>363</v>
      </c>
      <c r="K121" s="304">
        <v>0</v>
      </c>
      <c r="L121" s="304">
        <v>3</v>
      </c>
      <c r="M121" s="304">
        <f>D121/1000</f>
        <v>0.3</v>
      </c>
      <c r="N121" s="307">
        <f>SUM(K121:M123)</f>
        <v>3.3</v>
      </c>
      <c r="O121" s="307">
        <v>4.4000000000000004</v>
      </c>
      <c r="T121" s="154"/>
    </row>
    <row r="122" spans="1:20" x14ac:dyDescent="0.3">
      <c r="A122" s="282"/>
      <c r="B122" s="329"/>
      <c r="C122" s="319"/>
      <c r="D122" s="311"/>
      <c r="E122" s="103">
        <v>0.40600000000000003</v>
      </c>
      <c r="F122" s="288"/>
      <c r="G122" s="288"/>
      <c r="H122" s="279"/>
      <c r="J122" s="300"/>
      <c r="K122" s="305"/>
      <c r="L122" s="305"/>
      <c r="M122" s="305"/>
      <c r="N122" s="308"/>
      <c r="O122" s="308"/>
      <c r="T122" s="154"/>
    </row>
    <row r="123" spans="1:20" ht="15" thickBot="1" x14ac:dyDescent="0.35">
      <c r="A123" s="282"/>
      <c r="B123" s="330"/>
      <c r="C123" s="319"/>
      <c r="D123" s="312"/>
      <c r="E123" s="104">
        <v>0.40799999999999997</v>
      </c>
      <c r="F123" s="289"/>
      <c r="G123" s="289"/>
      <c r="H123" s="280"/>
      <c r="J123" s="301"/>
      <c r="K123" s="306"/>
      <c r="L123" s="306"/>
      <c r="M123" s="306"/>
      <c r="N123" s="309"/>
      <c r="O123" s="309"/>
      <c r="T123" s="154"/>
    </row>
    <row r="124" spans="1:20" x14ac:dyDescent="0.3">
      <c r="A124" s="282"/>
      <c r="B124" s="315" t="s">
        <v>165</v>
      </c>
      <c r="C124" s="319"/>
      <c r="D124" s="310">
        <v>300</v>
      </c>
      <c r="E124" s="102">
        <v>0.437</v>
      </c>
      <c r="F124" s="287">
        <f t="shared" ref="F124" si="99">AVERAGE(E124:E126)</f>
        <v>0.438</v>
      </c>
      <c r="G124" s="287">
        <f t="shared" ref="G124" si="100">STDEV(E124:E126)</f>
        <v>1.7320508075688789E-3</v>
      </c>
      <c r="H124" s="278">
        <f t="shared" ref="H124" si="101">(G124/F124)*100</f>
        <v>0.39544538985590838</v>
      </c>
      <c r="J124" s="284" t="s">
        <v>165</v>
      </c>
      <c r="K124" s="304">
        <v>0</v>
      </c>
      <c r="L124" s="304">
        <v>3</v>
      </c>
      <c r="M124" s="304">
        <f>D124/1000</f>
        <v>0.3</v>
      </c>
      <c r="N124" s="307">
        <f>SUM(K124:M126)</f>
        <v>3.3</v>
      </c>
      <c r="O124" s="307">
        <v>4</v>
      </c>
      <c r="T124" s="154"/>
    </row>
    <row r="125" spans="1:20" x14ac:dyDescent="0.3">
      <c r="A125" s="282"/>
      <c r="B125" s="316"/>
      <c r="C125" s="319"/>
      <c r="D125" s="311"/>
      <c r="E125" s="103">
        <v>0.437</v>
      </c>
      <c r="F125" s="288"/>
      <c r="G125" s="288"/>
      <c r="H125" s="279"/>
      <c r="J125" s="285"/>
      <c r="K125" s="305"/>
      <c r="L125" s="305"/>
      <c r="M125" s="305"/>
      <c r="N125" s="308"/>
      <c r="O125" s="308"/>
      <c r="T125" s="154"/>
    </row>
    <row r="126" spans="1:20" ht="15" thickBot="1" x14ac:dyDescent="0.35">
      <c r="A126" s="282"/>
      <c r="B126" s="317"/>
      <c r="C126" s="319"/>
      <c r="D126" s="312"/>
      <c r="E126" s="104">
        <v>0.44</v>
      </c>
      <c r="F126" s="289"/>
      <c r="G126" s="289"/>
      <c r="H126" s="280"/>
      <c r="J126" s="286"/>
      <c r="K126" s="306"/>
      <c r="L126" s="306"/>
      <c r="M126" s="306"/>
      <c r="N126" s="309"/>
      <c r="O126" s="309"/>
      <c r="T126" s="154"/>
    </row>
    <row r="127" spans="1:20" x14ac:dyDescent="0.3">
      <c r="A127" s="281">
        <v>19.183333333333334</v>
      </c>
      <c r="B127" s="328" t="s">
        <v>364</v>
      </c>
      <c r="C127" s="318" t="s">
        <v>195</v>
      </c>
      <c r="D127" s="310">
        <v>300</v>
      </c>
      <c r="E127" s="102">
        <v>0.42299999999999999</v>
      </c>
      <c r="F127" s="287">
        <f t="shared" ref="F127" si="102">AVERAGE(E127:E129)</f>
        <v>0.42366666666666664</v>
      </c>
      <c r="G127" s="287">
        <f t="shared" ref="G127" si="103">STDEV(E127:E129)</f>
        <v>1.1547005383792527E-3</v>
      </c>
      <c r="H127" s="278">
        <f t="shared" ref="H127" si="104">(G127/F127)*100</f>
        <v>0.27254930095497704</v>
      </c>
      <c r="J127" s="299" t="s">
        <v>364</v>
      </c>
      <c r="K127" s="304">
        <v>0</v>
      </c>
      <c r="L127" s="304">
        <v>3</v>
      </c>
      <c r="M127" s="304">
        <f>D127/1000</f>
        <v>0.3</v>
      </c>
      <c r="N127" s="307">
        <f>SUM(K127:M129)</f>
        <v>3.3</v>
      </c>
      <c r="O127" s="307">
        <v>4</v>
      </c>
      <c r="T127" s="154"/>
    </row>
    <row r="128" spans="1:20" x14ac:dyDescent="0.3">
      <c r="A128" s="282"/>
      <c r="B128" s="329"/>
      <c r="C128" s="319"/>
      <c r="D128" s="311"/>
      <c r="E128" s="103">
        <v>0.42299999999999999</v>
      </c>
      <c r="F128" s="288"/>
      <c r="G128" s="288"/>
      <c r="H128" s="279"/>
      <c r="J128" s="300"/>
      <c r="K128" s="305"/>
      <c r="L128" s="305"/>
      <c r="M128" s="305"/>
      <c r="N128" s="308"/>
      <c r="O128" s="308"/>
      <c r="T128" s="154"/>
    </row>
    <row r="129" spans="1:20" ht="15" thickBot="1" x14ac:dyDescent="0.35">
      <c r="A129" s="282"/>
      <c r="B129" s="330"/>
      <c r="C129" s="319"/>
      <c r="D129" s="312"/>
      <c r="E129" s="104">
        <v>0.42499999999999999</v>
      </c>
      <c r="F129" s="289"/>
      <c r="G129" s="289"/>
      <c r="H129" s="280"/>
      <c r="J129" s="301"/>
      <c r="K129" s="306"/>
      <c r="L129" s="306"/>
      <c r="M129" s="306"/>
      <c r="N129" s="309"/>
      <c r="O129" s="309"/>
      <c r="T129" s="154"/>
    </row>
    <row r="130" spans="1:20" x14ac:dyDescent="0.3">
      <c r="A130" s="282"/>
      <c r="B130" s="315" t="s">
        <v>167</v>
      </c>
      <c r="C130" s="319"/>
      <c r="D130" s="310">
        <v>300</v>
      </c>
      <c r="E130" s="102">
        <v>0.46</v>
      </c>
      <c r="F130" s="287">
        <f t="shared" ref="F130" si="105">AVERAGE(E130:E132)</f>
        <v>0.45633333333333331</v>
      </c>
      <c r="G130" s="287">
        <f t="shared" ref="G130" si="106">STDEV(E130:E132)</f>
        <v>3.2145502536643214E-3</v>
      </c>
      <c r="H130" s="278">
        <f t="shared" ref="H130" si="107">(G130/F130)*100</f>
        <v>0.70443029663936918</v>
      </c>
      <c r="J130" s="284" t="s">
        <v>167</v>
      </c>
      <c r="K130" s="304">
        <v>0</v>
      </c>
      <c r="L130" s="304">
        <v>3</v>
      </c>
      <c r="M130" s="304">
        <f>D130/1000</f>
        <v>0.3</v>
      </c>
      <c r="N130" s="307">
        <f>SUM(K130:M132)</f>
        <v>3.3</v>
      </c>
      <c r="O130" s="307">
        <v>4</v>
      </c>
      <c r="T130" s="154"/>
    </row>
    <row r="131" spans="1:20" x14ac:dyDescent="0.3">
      <c r="A131" s="282"/>
      <c r="B131" s="316"/>
      <c r="C131" s="319"/>
      <c r="D131" s="311"/>
      <c r="E131" s="103">
        <v>0.45400000000000001</v>
      </c>
      <c r="F131" s="288"/>
      <c r="G131" s="288"/>
      <c r="H131" s="279"/>
      <c r="J131" s="285"/>
      <c r="K131" s="305"/>
      <c r="L131" s="305"/>
      <c r="M131" s="305"/>
      <c r="N131" s="308"/>
      <c r="O131" s="308"/>
      <c r="T131" s="154"/>
    </row>
    <row r="132" spans="1:20" ht="15" thickBot="1" x14ac:dyDescent="0.35">
      <c r="A132" s="282"/>
      <c r="B132" s="317"/>
      <c r="C132" s="319"/>
      <c r="D132" s="312"/>
      <c r="E132" s="104">
        <v>0.45500000000000002</v>
      </c>
      <c r="F132" s="289"/>
      <c r="G132" s="289"/>
      <c r="H132" s="280"/>
      <c r="J132" s="286"/>
      <c r="K132" s="306"/>
      <c r="L132" s="306"/>
      <c r="M132" s="306"/>
      <c r="N132" s="309"/>
      <c r="O132" s="309"/>
      <c r="T132" s="154"/>
    </row>
    <row r="133" spans="1:20" x14ac:dyDescent="0.3">
      <c r="A133" s="281">
        <v>24.09999999999993</v>
      </c>
      <c r="B133" s="328" t="s">
        <v>365</v>
      </c>
      <c r="C133" s="318" t="s">
        <v>195</v>
      </c>
      <c r="D133" s="310">
        <v>300</v>
      </c>
      <c r="E133" s="102">
        <v>0.45200000000000001</v>
      </c>
      <c r="F133" s="287">
        <f t="shared" ref="F133" si="108">AVERAGE(E133:E135)</f>
        <v>0.45100000000000001</v>
      </c>
      <c r="G133" s="287">
        <f t="shared" ref="G133" si="109">STDEV(E133:E135)</f>
        <v>1.0000000000000009E-3</v>
      </c>
      <c r="H133" s="278">
        <f t="shared" ref="H133" si="110">(G133/F133)*100</f>
        <v>0.22172949002217313</v>
      </c>
      <c r="J133" s="299" t="s">
        <v>365</v>
      </c>
      <c r="K133" s="304">
        <v>0</v>
      </c>
      <c r="L133" s="304">
        <v>3</v>
      </c>
      <c r="M133" s="304">
        <f>D133/1000</f>
        <v>0.3</v>
      </c>
      <c r="N133" s="307">
        <f>SUM(K133:M135)</f>
        <v>3.3</v>
      </c>
      <c r="O133" s="307">
        <v>4</v>
      </c>
      <c r="T133" s="154"/>
    </row>
    <row r="134" spans="1:20" x14ac:dyDescent="0.3">
      <c r="A134" s="282"/>
      <c r="B134" s="329"/>
      <c r="C134" s="319"/>
      <c r="D134" s="311"/>
      <c r="E134" s="103">
        <v>0.45100000000000001</v>
      </c>
      <c r="F134" s="288"/>
      <c r="G134" s="288"/>
      <c r="H134" s="279"/>
      <c r="J134" s="300"/>
      <c r="K134" s="305"/>
      <c r="L134" s="305"/>
      <c r="M134" s="305"/>
      <c r="N134" s="308"/>
      <c r="O134" s="308"/>
      <c r="T134" s="154"/>
    </row>
    <row r="135" spans="1:20" ht="15" thickBot="1" x14ac:dyDescent="0.35">
      <c r="A135" s="282"/>
      <c r="B135" s="330"/>
      <c r="C135" s="319"/>
      <c r="D135" s="312"/>
      <c r="E135" s="104">
        <v>0.45</v>
      </c>
      <c r="F135" s="289"/>
      <c r="G135" s="289"/>
      <c r="H135" s="280"/>
      <c r="J135" s="301"/>
      <c r="K135" s="306"/>
      <c r="L135" s="306"/>
      <c r="M135" s="306"/>
      <c r="N135" s="309"/>
      <c r="O135" s="309"/>
      <c r="T135" s="154"/>
    </row>
    <row r="136" spans="1:20" ht="15" thickBot="1" x14ac:dyDescent="0.35">
      <c r="A136" s="282"/>
      <c r="B136" s="315" t="s">
        <v>169</v>
      </c>
      <c r="C136" s="319"/>
      <c r="D136" s="310">
        <v>300</v>
      </c>
      <c r="E136" s="102">
        <v>0.47899999999999998</v>
      </c>
      <c r="F136" s="287">
        <f t="shared" ref="F136" si="111">AVERAGE(E136:E138)</f>
        <v>0.47899999999999993</v>
      </c>
      <c r="G136" s="287">
        <f t="shared" ref="G136" si="112">STDEV(E136:E138)</f>
        <v>4.0000000000000036E-3</v>
      </c>
      <c r="H136" s="278">
        <f t="shared" ref="H136" si="113">(G136/F136)*100</f>
        <v>0.83507306889352917</v>
      </c>
      <c r="J136" s="284" t="s">
        <v>169</v>
      </c>
      <c r="K136" s="304">
        <v>0</v>
      </c>
      <c r="L136" s="304">
        <v>3</v>
      </c>
      <c r="M136" s="304">
        <f>D136/1000</f>
        <v>0.3</v>
      </c>
      <c r="N136" s="307">
        <f>SUM(K136:M138)</f>
        <v>3.3</v>
      </c>
      <c r="O136" s="307">
        <v>4.2</v>
      </c>
      <c r="T136" s="154"/>
    </row>
    <row r="137" spans="1:20" ht="15" thickBot="1" x14ac:dyDescent="0.35">
      <c r="A137" s="282"/>
      <c r="B137" s="316"/>
      <c r="C137" s="319"/>
      <c r="D137" s="311"/>
      <c r="E137" s="103">
        <v>0.47499999999999998</v>
      </c>
      <c r="F137" s="288"/>
      <c r="G137" s="288"/>
      <c r="H137" s="279"/>
      <c r="J137" s="285"/>
      <c r="K137" s="305"/>
      <c r="L137" s="305"/>
      <c r="M137" s="305"/>
      <c r="N137" s="308"/>
      <c r="O137" s="308"/>
      <c r="R137" s="184" t="s">
        <v>99</v>
      </c>
      <c r="S137" s="106" t="s">
        <v>100</v>
      </c>
      <c r="T137" s="154"/>
    </row>
    <row r="138" spans="1:20" ht="15" thickBot="1" x14ac:dyDescent="0.35">
      <c r="A138" s="282"/>
      <c r="B138" s="317"/>
      <c r="C138" s="319"/>
      <c r="D138" s="312"/>
      <c r="E138" s="104">
        <v>0.48299999999999998</v>
      </c>
      <c r="F138" s="289"/>
      <c r="G138" s="289"/>
      <c r="H138" s="280"/>
      <c r="J138" s="286"/>
      <c r="K138" s="306"/>
      <c r="L138" s="306"/>
      <c r="M138" s="306"/>
      <c r="N138" s="309"/>
      <c r="O138" s="309"/>
      <c r="Q138" s="78" t="s">
        <v>118</v>
      </c>
      <c r="R138" s="302">
        <v>787.45</v>
      </c>
      <c r="S138" s="303"/>
      <c r="T138" s="154"/>
    </row>
    <row r="139" spans="1:20" ht="15" thickBot="1" x14ac:dyDescent="0.35">
      <c r="A139" s="281">
        <v>34.266666666666552</v>
      </c>
      <c r="B139" s="328" t="s">
        <v>366</v>
      </c>
      <c r="C139" s="318" t="s">
        <v>195</v>
      </c>
      <c r="D139" s="310">
        <v>300</v>
      </c>
      <c r="E139" s="102">
        <v>0.503</v>
      </c>
      <c r="F139" s="287">
        <f t="shared" ref="F139" si="114">AVERAGE(E139:E141)</f>
        <v>0.5006666666666667</v>
      </c>
      <c r="G139" s="287">
        <f t="shared" ref="G139" si="115">STDEV(E139:E141)</f>
        <v>2.5166114784235852E-3</v>
      </c>
      <c r="H139" s="278">
        <f t="shared" ref="H139" si="116">(G139/F139)*100</f>
        <v>0.50265209289419144</v>
      </c>
      <c r="J139" s="299" t="s">
        <v>366</v>
      </c>
      <c r="K139" s="304">
        <v>0</v>
      </c>
      <c r="L139" s="304">
        <v>3</v>
      </c>
      <c r="M139" s="304">
        <f>D139/1000</f>
        <v>0.3</v>
      </c>
      <c r="N139" s="307">
        <f>SUM(K139:M141)</f>
        <v>3.3</v>
      </c>
      <c r="O139" s="307">
        <v>4.3</v>
      </c>
      <c r="Q139" s="69" t="s">
        <v>117</v>
      </c>
      <c r="R139" s="2">
        <v>720</v>
      </c>
      <c r="S139" s="2">
        <v>730</v>
      </c>
      <c r="T139" s="154"/>
    </row>
    <row r="140" spans="1:20" ht="15" thickBot="1" x14ac:dyDescent="0.35">
      <c r="A140" s="282"/>
      <c r="B140" s="329"/>
      <c r="C140" s="319"/>
      <c r="D140" s="311"/>
      <c r="E140" s="103">
        <v>0.501</v>
      </c>
      <c r="F140" s="288"/>
      <c r="G140" s="288"/>
      <c r="H140" s="279"/>
      <c r="J140" s="300"/>
      <c r="K140" s="305"/>
      <c r="L140" s="305"/>
      <c r="M140" s="305"/>
      <c r="N140" s="308"/>
      <c r="O140" s="308"/>
      <c r="Q140" s="69" t="s">
        <v>116</v>
      </c>
      <c r="R140" s="66">
        <f>SUM(O109,O115,O121,O127,O133,O139,O145)</f>
        <v>35.299999999999997</v>
      </c>
      <c r="S140" s="66">
        <f>SUM(O112,O118,O124,O130,O136,O142,O148)</f>
        <v>34.9</v>
      </c>
      <c r="T140" s="154"/>
    </row>
    <row r="141" spans="1:20" ht="15" thickBot="1" x14ac:dyDescent="0.35">
      <c r="A141" s="282"/>
      <c r="B141" s="330"/>
      <c r="C141" s="319"/>
      <c r="D141" s="312"/>
      <c r="E141" s="104">
        <v>0.498</v>
      </c>
      <c r="F141" s="289"/>
      <c r="G141" s="289"/>
      <c r="H141" s="280"/>
      <c r="J141" s="301"/>
      <c r="K141" s="306"/>
      <c r="L141" s="306"/>
      <c r="M141" s="306"/>
      <c r="N141" s="309"/>
      <c r="O141" s="309"/>
      <c r="Q141" s="69" t="s">
        <v>142</v>
      </c>
      <c r="R141" s="107">
        <f>(((R139+R140)-$R$138)/$R$138)*100</f>
        <v>-4.0827989078671774</v>
      </c>
      <c r="S141" s="107">
        <f>(((S139+S140)-$R$138)/$R$138)*100</f>
        <v>-2.8636738840561389</v>
      </c>
      <c r="T141" s="154"/>
    </row>
    <row r="142" spans="1:20" x14ac:dyDescent="0.3">
      <c r="A142" s="282"/>
      <c r="B142" s="315" t="s">
        <v>171</v>
      </c>
      <c r="C142" s="319"/>
      <c r="D142" s="310">
        <v>300</v>
      </c>
      <c r="E142" s="102">
        <v>0.54100000000000004</v>
      </c>
      <c r="F142" s="287">
        <f t="shared" ref="F142" si="117">AVERAGE(E142:E144)</f>
        <v>0.53966666666666674</v>
      </c>
      <c r="G142" s="287">
        <f t="shared" ref="G142" si="118">STDEV(E142:E144)</f>
        <v>4.1633319989322695E-3</v>
      </c>
      <c r="H142" s="278">
        <f t="shared" ref="H142" si="119">(G142/F142)*100</f>
        <v>0.771463619320371</v>
      </c>
      <c r="J142" s="284" t="s">
        <v>171</v>
      </c>
      <c r="K142" s="304">
        <v>0</v>
      </c>
      <c r="L142" s="304">
        <v>3</v>
      </c>
      <c r="M142" s="304">
        <f>D142/1000</f>
        <v>0.3</v>
      </c>
      <c r="N142" s="307">
        <f>SUM(K142:M144)</f>
        <v>3.3</v>
      </c>
      <c r="O142" s="307">
        <v>4.3</v>
      </c>
      <c r="T142" s="154"/>
    </row>
    <row r="143" spans="1:20" x14ac:dyDescent="0.3">
      <c r="A143" s="282"/>
      <c r="B143" s="316"/>
      <c r="C143" s="319"/>
      <c r="D143" s="311"/>
      <c r="E143" s="103">
        <v>0.54300000000000004</v>
      </c>
      <c r="F143" s="288"/>
      <c r="G143" s="288"/>
      <c r="H143" s="279"/>
      <c r="J143" s="285"/>
      <c r="K143" s="305"/>
      <c r="L143" s="305"/>
      <c r="M143" s="305"/>
      <c r="N143" s="308"/>
      <c r="O143" s="308"/>
      <c r="T143" s="154"/>
    </row>
    <row r="144" spans="1:20" ht="15" thickBot="1" x14ac:dyDescent="0.35">
      <c r="A144" s="282"/>
      <c r="B144" s="317"/>
      <c r="C144" s="319"/>
      <c r="D144" s="312"/>
      <c r="E144" s="104">
        <v>0.53500000000000003</v>
      </c>
      <c r="F144" s="289"/>
      <c r="G144" s="289"/>
      <c r="H144" s="280"/>
      <c r="J144" s="286"/>
      <c r="K144" s="306"/>
      <c r="L144" s="306"/>
      <c r="M144" s="306"/>
      <c r="N144" s="309"/>
      <c r="O144" s="309"/>
      <c r="T144" s="154"/>
    </row>
    <row r="145" spans="1:20" x14ac:dyDescent="0.3">
      <c r="A145" s="281">
        <v>39.266666666666694</v>
      </c>
      <c r="B145" s="328" t="s">
        <v>353</v>
      </c>
      <c r="C145" s="318" t="s">
        <v>195</v>
      </c>
      <c r="D145" s="310">
        <v>300</v>
      </c>
      <c r="E145" s="102">
        <v>0.51500000000000001</v>
      </c>
      <c r="F145" s="287">
        <f t="shared" ref="F145" si="120">AVERAGE(E145:E147)</f>
        <v>0.51866666666666672</v>
      </c>
      <c r="G145" s="287">
        <f t="shared" ref="G145" si="121">STDEV(E145:E147)</f>
        <v>3.2145502536643214E-3</v>
      </c>
      <c r="H145" s="278">
        <f t="shared" ref="H145" si="122">(G145/F145)*100</f>
        <v>0.61977189980674574</v>
      </c>
      <c r="J145" s="299" t="s">
        <v>353</v>
      </c>
      <c r="K145" s="304">
        <v>6</v>
      </c>
      <c r="L145" s="304">
        <v>3</v>
      </c>
      <c r="M145" s="304">
        <f>D145/1000</f>
        <v>0.3</v>
      </c>
      <c r="N145" s="307">
        <f>SUM(K145:M147)</f>
        <v>9.3000000000000007</v>
      </c>
      <c r="O145" s="307">
        <v>10</v>
      </c>
      <c r="T145" s="154"/>
    </row>
    <row r="146" spans="1:20" x14ac:dyDescent="0.3">
      <c r="A146" s="282"/>
      <c r="B146" s="329"/>
      <c r="C146" s="319"/>
      <c r="D146" s="311"/>
      <c r="E146" s="103">
        <v>0.52100000000000002</v>
      </c>
      <c r="F146" s="288"/>
      <c r="G146" s="288"/>
      <c r="H146" s="279"/>
      <c r="J146" s="300"/>
      <c r="K146" s="305"/>
      <c r="L146" s="305"/>
      <c r="M146" s="305"/>
      <c r="N146" s="308"/>
      <c r="O146" s="308"/>
      <c r="Q146" s="177" t="s">
        <v>357</v>
      </c>
      <c r="T146" s="154"/>
    </row>
    <row r="147" spans="1:20" ht="15" thickBot="1" x14ac:dyDescent="0.35">
      <c r="A147" s="282"/>
      <c r="B147" s="330"/>
      <c r="C147" s="319"/>
      <c r="D147" s="312"/>
      <c r="E147" s="104">
        <v>0.52</v>
      </c>
      <c r="F147" s="289"/>
      <c r="G147" s="289"/>
      <c r="H147" s="280"/>
      <c r="J147" s="301"/>
      <c r="K147" s="306"/>
      <c r="L147" s="306"/>
      <c r="M147" s="306"/>
      <c r="N147" s="309"/>
      <c r="O147" s="309"/>
      <c r="Q147" s="173" t="s">
        <v>177</v>
      </c>
      <c r="T147" s="154"/>
    </row>
    <row r="148" spans="1:20" x14ac:dyDescent="0.3">
      <c r="A148" s="282"/>
      <c r="B148" s="315" t="s">
        <v>173</v>
      </c>
      <c r="C148" s="319"/>
      <c r="D148" s="310">
        <v>300</v>
      </c>
      <c r="E148" s="102">
        <v>0.58299999999999996</v>
      </c>
      <c r="F148" s="287">
        <f t="shared" ref="F148" si="123">AVERAGE(E148:E150)</f>
        <v>0.57933333333333337</v>
      </c>
      <c r="G148" s="287">
        <f t="shared" ref="G148" si="124">STDEV(E148:E150)</f>
        <v>4.7258156262526127E-3</v>
      </c>
      <c r="H148" s="278">
        <f t="shared" ref="H148" si="125">(G148/F148)*100</f>
        <v>0.81573342225304013</v>
      </c>
      <c r="J148" s="284" t="s">
        <v>173</v>
      </c>
      <c r="K148" s="304">
        <v>6</v>
      </c>
      <c r="L148" s="304">
        <v>3</v>
      </c>
      <c r="M148" s="304">
        <v>0.3</v>
      </c>
      <c r="N148" s="307">
        <v>9.3000000000000007</v>
      </c>
      <c r="O148" s="307">
        <v>10</v>
      </c>
      <c r="T148" s="154"/>
    </row>
    <row r="149" spans="1:20" x14ac:dyDescent="0.3">
      <c r="A149" s="282"/>
      <c r="B149" s="316"/>
      <c r="C149" s="319"/>
      <c r="D149" s="311"/>
      <c r="E149" s="103">
        <v>0.57399999999999995</v>
      </c>
      <c r="F149" s="288"/>
      <c r="G149" s="288"/>
      <c r="H149" s="279"/>
      <c r="J149" s="285"/>
      <c r="K149" s="305"/>
      <c r="L149" s="305"/>
      <c r="M149" s="305"/>
      <c r="N149" s="308"/>
      <c r="O149" s="308"/>
      <c r="T149" s="154"/>
    </row>
    <row r="150" spans="1:20" ht="15" thickBot="1" x14ac:dyDescent="0.35">
      <c r="A150" s="283"/>
      <c r="B150" s="317"/>
      <c r="C150" s="321"/>
      <c r="D150" s="312"/>
      <c r="E150" s="104">
        <v>0.58099999999999996</v>
      </c>
      <c r="F150" s="289"/>
      <c r="G150" s="289"/>
      <c r="H150" s="280"/>
      <c r="J150" s="286"/>
      <c r="K150" s="306"/>
      <c r="L150" s="306"/>
      <c r="M150" s="306"/>
      <c r="N150" s="309"/>
      <c r="O150" s="309"/>
      <c r="T150" s="154"/>
    </row>
    <row r="151" spans="1:20" x14ac:dyDescent="0.3">
      <c r="A151" s="153"/>
      <c r="T151" s="154"/>
    </row>
    <row r="152" spans="1:20" x14ac:dyDescent="0.3">
      <c r="A152" s="153"/>
      <c r="T152" s="154"/>
    </row>
    <row r="153" spans="1:20" x14ac:dyDescent="0.3">
      <c r="A153" s="153"/>
      <c r="T153" s="154"/>
    </row>
    <row r="154" spans="1:20" ht="15" thickBot="1" x14ac:dyDescent="0.35">
      <c r="A154" s="160"/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4"/>
    </row>
    <row r="155" spans="1:20" ht="15" thickTop="1" x14ac:dyDescent="0.3"/>
  </sheetData>
  <mergeCells count="462">
    <mergeCell ref="M148:M150"/>
    <mergeCell ref="N148:N150"/>
    <mergeCell ref="O148:O150"/>
    <mergeCell ref="R138:S138"/>
    <mergeCell ref="Q110:Q112"/>
    <mergeCell ref="M142:M144"/>
    <mergeCell ref="N142:N144"/>
    <mergeCell ref="O142:O144"/>
    <mergeCell ref="A145:A150"/>
    <mergeCell ref="B145:B147"/>
    <mergeCell ref="C145:C150"/>
    <mergeCell ref="D145:D147"/>
    <mergeCell ref="F145:F147"/>
    <mergeCell ref="G145:G147"/>
    <mergeCell ref="H145:H147"/>
    <mergeCell ref="J145:J147"/>
    <mergeCell ref="K145:K147"/>
    <mergeCell ref="L145:L147"/>
    <mergeCell ref="M145:M147"/>
    <mergeCell ref="N145:N147"/>
    <mergeCell ref="O145:O147"/>
    <mergeCell ref="B148:B150"/>
    <mergeCell ref="D148:D150"/>
    <mergeCell ref="F148:F150"/>
    <mergeCell ref="G148:G150"/>
    <mergeCell ref="H148:H150"/>
    <mergeCell ref="J148:J150"/>
    <mergeCell ref="K148:K150"/>
    <mergeCell ref="L148:L150"/>
    <mergeCell ref="M136:M138"/>
    <mergeCell ref="N136:N138"/>
    <mergeCell ref="O136:O138"/>
    <mergeCell ref="A139:A144"/>
    <mergeCell ref="B139:B141"/>
    <mergeCell ref="C139:C144"/>
    <mergeCell ref="D139:D141"/>
    <mergeCell ref="F139:F141"/>
    <mergeCell ref="G139:G141"/>
    <mergeCell ref="H139:H141"/>
    <mergeCell ref="J139:J141"/>
    <mergeCell ref="K139:K141"/>
    <mergeCell ref="L139:L141"/>
    <mergeCell ref="M139:M141"/>
    <mergeCell ref="N139:N141"/>
    <mergeCell ref="O139:O141"/>
    <mergeCell ref="B142:B144"/>
    <mergeCell ref="D142:D144"/>
    <mergeCell ref="F142:F144"/>
    <mergeCell ref="G142:G144"/>
    <mergeCell ref="H142:H144"/>
    <mergeCell ref="J142:J144"/>
    <mergeCell ref="K142:K144"/>
    <mergeCell ref="L142:L144"/>
    <mergeCell ref="M130:M132"/>
    <mergeCell ref="N130:N132"/>
    <mergeCell ref="O130:O132"/>
    <mergeCell ref="A133:A138"/>
    <mergeCell ref="B133:B135"/>
    <mergeCell ref="C133:C138"/>
    <mergeCell ref="D133:D135"/>
    <mergeCell ref="F133:F135"/>
    <mergeCell ref="G133:G135"/>
    <mergeCell ref="H133:H135"/>
    <mergeCell ref="J133:J135"/>
    <mergeCell ref="K133:K135"/>
    <mergeCell ref="L133:L135"/>
    <mergeCell ref="M133:M135"/>
    <mergeCell ref="N133:N135"/>
    <mergeCell ref="O133:O135"/>
    <mergeCell ref="B136:B138"/>
    <mergeCell ref="D136:D138"/>
    <mergeCell ref="F136:F138"/>
    <mergeCell ref="G136:G138"/>
    <mergeCell ref="H136:H138"/>
    <mergeCell ref="J136:J138"/>
    <mergeCell ref="K136:K138"/>
    <mergeCell ref="L136:L138"/>
    <mergeCell ref="M124:M126"/>
    <mergeCell ref="N124:N126"/>
    <mergeCell ref="O124:O126"/>
    <mergeCell ref="A127:A132"/>
    <mergeCell ref="B127:B129"/>
    <mergeCell ref="C127:C132"/>
    <mergeCell ref="D127:D129"/>
    <mergeCell ref="F127:F129"/>
    <mergeCell ref="G127:G129"/>
    <mergeCell ref="H127:H129"/>
    <mergeCell ref="J127:J129"/>
    <mergeCell ref="K127:K129"/>
    <mergeCell ref="L127:L129"/>
    <mergeCell ref="M127:M129"/>
    <mergeCell ref="N127:N129"/>
    <mergeCell ref="O127:O129"/>
    <mergeCell ref="B130:B132"/>
    <mergeCell ref="D130:D132"/>
    <mergeCell ref="F130:F132"/>
    <mergeCell ref="G130:G132"/>
    <mergeCell ref="H130:H132"/>
    <mergeCell ref="J130:J132"/>
    <mergeCell ref="K130:K132"/>
    <mergeCell ref="L130:L132"/>
    <mergeCell ref="M118:M120"/>
    <mergeCell ref="N118:N120"/>
    <mergeCell ref="O118:O120"/>
    <mergeCell ref="A121:A126"/>
    <mergeCell ref="B121:B123"/>
    <mergeCell ref="C121:C126"/>
    <mergeCell ref="D121:D123"/>
    <mergeCell ref="F121:F123"/>
    <mergeCell ref="G121:G123"/>
    <mergeCell ref="H121:H123"/>
    <mergeCell ref="J121:J123"/>
    <mergeCell ref="K121:K123"/>
    <mergeCell ref="L121:L123"/>
    <mergeCell ref="M121:M123"/>
    <mergeCell ref="N121:N123"/>
    <mergeCell ref="O121:O123"/>
    <mergeCell ref="B124:B126"/>
    <mergeCell ref="D124:D126"/>
    <mergeCell ref="F124:F126"/>
    <mergeCell ref="G124:G126"/>
    <mergeCell ref="H124:H126"/>
    <mergeCell ref="J124:J126"/>
    <mergeCell ref="K124:K126"/>
    <mergeCell ref="L124:L126"/>
    <mergeCell ref="M112:M114"/>
    <mergeCell ref="N112:N114"/>
    <mergeCell ref="O112:O114"/>
    <mergeCell ref="A115:A120"/>
    <mergeCell ref="B115:B117"/>
    <mergeCell ref="C115:C120"/>
    <mergeCell ref="D115:D117"/>
    <mergeCell ref="F115:F117"/>
    <mergeCell ref="G115:G117"/>
    <mergeCell ref="H115:H117"/>
    <mergeCell ref="J115:J117"/>
    <mergeCell ref="K115:K117"/>
    <mergeCell ref="L115:L117"/>
    <mergeCell ref="M115:M117"/>
    <mergeCell ref="N115:N117"/>
    <mergeCell ref="O115:O117"/>
    <mergeCell ref="B118:B120"/>
    <mergeCell ref="D118:D120"/>
    <mergeCell ref="F118:F120"/>
    <mergeCell ref="G118:G120"/>
    <mergeCell ref="H118:H120"/>
    <mergeCell ref="J118:J120"/>
    <mergeCell ref="K118:K120"/>
    <mergeCell ref="L118:L120"/>
    <mergeCell ref="R30:S30"/>
    <mergeCell ref="Q4:Q6"/>
    <mergeCell ref="Q56:Q58"/>
    <mergeCell ref="A109:A114"/>
    <mergeCell ref="B109:B111"/>
    <mergeCell ref="C109:C114"/>
    <mergeCell ref="D109:D111"/>
    <mergeCell ref="F109:F111"/>
    <mergeCell ref="G109:G111"/>
    <mergeCell ref="H109:H111"/>
    <mergeCell ref="J109:J111"/>
    <mergeCell ref="K109:K111"/>
    <mergeCell ref="L109:L111"/>
    <mergeCell ref="M109:M111"/>
    <mergeCell ref="N109:N111"/>
    <mergeCell ref="O109:O111"/>
    <mergeCell ref="B112:B114"/>
    <mergeCell ref="D112:D114"/>
    <mergeCell ref="F112:F114"/>
    <mergeCell ref="G112:G114"/>
    <mergeCell ref="H112:H114"/>
    <mergeCell ref="J112:J114"/>
    <mergeCell ref="K112:K114"/>
    <mergeCell ref="L112:L114"/>
    <mergeCell ref="L44:L46"/>
    <mergeCell ref="M44:M46"/>
    <mergeCell ref="N44:N46"/>
    <mergeCell ref="O44:O46"/>
    <mergeCell ref="J44:J46"/>
    <mergeCell ref="K44:K46"/>
    <mergeCell ref="H77:H79"/>
    <mergeCell ref="H86:H88"/>
    <mergeCell ref="H89:H91"/>
    <mergeCell ref="H92:H94"/>
    <mergeCell ref="H95:H97"/>
    <mergeCell ref="H80:H82"/>
    <mergeCell ref="H83:H85"/>
    <mergeCell ref="H98:H100"/>
    <mergeCell ref="H101:H103"/>
    <mergeCell ref="G77:G79"/>
    <mergeCell ref="G80:G82"/>
    <mergeCell ref="G83:G85"/>
    <mergeCell ref="G98:G100"/>
    <mergeCell ref="B47:B49"/>
    <mergeCell ref="D47:D49"/>
    <mergeCell ref="F47:F49"/>
    <mergeCell ref="G47:G49"/>
    <mergeCell ref="H47:H49"/>
    <mergeCell ref="A44:A49"/>
    <mergeCell ref="B44:B46"/>
    <mergeCell ref="C44:C49"/>
    <mergeCell ref="D44:D46"/>
    <mergeCell ref="F44:F46"/>
    <mergeCell ref="G44:G46"/>
    <mergeCell ref="H44:H46"/>
    <mergeCell ref="L38:L40"/>
    <mergeCell ref="M38:M40"/>
    <mergeCell ref="N38:N40"/>
    <mergeCell ref="O38:O40"/>
    <mergeCell ref="B41:B43"/>
    <mergeCell ref="D41:D43"/>
    <mergeCell ref="F41:F43"/>
    <mergeCell ref="G41:G43"/>
    <mergeCell ref="H41:H43"/>
    <mergeCell ref="A38:A43"/>
    <mergeCell ref="B38:B40"/>
    <mergeCell ref="C38:C43"/>
    <mergeCell ref="D38:D40"/>
    <mergeCell ref="F38:F40"/>
    <mergeCell ref="G38:G40"/>
    <mergeCell ref="H38:H40"/>
    <mergeCell ref="J38:J40"/>
    <mergeCell ref="K38:K40"/>
    <mergeCell ref="L32:L34"/>
    <mergeCell ref="M32:M34"/>
    <mergeCell ref="N32:N34"/>
    <mergeCell ref="O32:O34"/>
    <mergeCell ref="B35:B37"/>
    <mergeCell ref="D35:D37"/>
    <mergeCell ref="F35:F37"/>
    <mergeCell ref="G35:G37"/>
    <mergeCell ref="H35:H37"/>
    <mergeCell ref="A32:A37"/>
    <mergeCell ref="B32:B34"/>
    <mergeCell ref="C32:C37"/>
    <mergeCell ref="D32:D34"/>
    <mergeCell ref="F32:F34"/>
    <mergeCell ref="G32:G34"/>
    <mergeCell ref="H32:H34"/>
    <mergeCell ref="J32:J34"/>
    <mergeCell ref="K32:K34"/>
    <mergeCell ref="L26:L28"/>
    <mergeCell ref="M26:M28"/>
    <mergeCell ref="N26:N28"/>
    <mergeCell ref="O26:O28"/>
    <mergeCell ref="B29:B31"/>
    <mergeCell ref="D29:D31"/>
    <mergeCell ref="F29:F31"/>
    <mergeCell ref="G29:G31"/>
    <mergeCell ref="H29:H31"/>
    <mergeCell ref="A26:A31"/>
    <mergeCell ref="B26:B28"/>
    <mergeCell ref="C26:C31"/>
    <mergeCell ref="D26:D28"/>
    <mergeCell ref="F26:F28"/>
    <mergeCell ref="G26:G28"/>
    <mergeCell ref="H26:H28"/>
    <mergeCell ref="J26:J28"/>
    <mergeCell ref="K26:K28"/>
    <mergeCell ref="L20:L22"/>
    <mergeCell ref="M20:M22"/>
    <mergeCell ref="N20:N22"/>
    <mergeCell ref="O20:O22"/>
    <mergeCell ref="B23:B25"/>
    <mergeCell ref="D23:D25"/>
    <mergeCell ref="F23:F25"/>
    <mergeCell ref="G23:G25"/>
    <mergeCell ref="H23:H25"/>
    <mergeCell ref="A20:A25"/>
    <mergeCell ref="B20:B22"/>
    <mergeCell ref="C20:C25"/>
    <mergeCell ref="D20:D22"/>
    <mergeCell ref="F20:F22"/>
    <mergeCell ref="G20:G22"/>
    <mergeCell ref="H20:H22"/>
    <mergeCell ref="J20:J22"/>
    <mergeCell ref="K20:K22"/>
    <mergeCell ref="L14:L16"/>
    <mergeCell ref="M14:M16"/>
    <mergeCell ref="N14:N16"/>
    <mergeCell ref="O14:O16"/>
    <mergeCell ref="B17:B19"/>
    <mergeCell ref="D17:D19"/>
    <mergeCell ref="F17:F19"/>
    <mergeCell ref="G17:G19"/>
    <mergeCell ref="H17:H19"/>
    <mergeCell ref="A14:A19"/>
    <mergeCell ref="B14:B16"/>
    <mergeCell ref="C14:C19"/>
    <mergeCell ref="D14:D16"/>
    <mergeCell ref="F14:F16"/>
    <mergeCell ref="G14:G16"/>
    <mergeCell ref="H14:H16"/>
    <mergeCell ref="J14:J16"/>
    <mergeCell ref="K14:K16"/>
    <mergeCell ref="L8:L10"/>
    <mergeCell ref="M8:M10"/>
    <mergeCell ref="N8:N10"/>
    <mergeCell ref="O8:O10"/>
    <mergeCell ref="B11:B13"/>
    <mergeCell ref="D11:D13"/>
    <mergeCell ref="F11:F13"/>
    <mergeCell ref="G11:G13"/>
    <mergeCell ref="H11:H13"/>
    <mergeCell ref="A8:A13"/>
    <mergeCell ref="B8:B10"/>
    <mergeCell ref="C8:C13"/>
    <mergeCell ref="D8:D10"/>
    <mergeCell ref="F8:F10"/>
    <mergeCell ref="G8:G10"/>
    <mergeCell ref="H8:H10"/>
    <mergeCell ref="J8:J10"/>
    <mergeCell ref="K8:K10"/>
    <mergeCell ref="L2:L4"/>
    <mergeCell ref="M2:M4"/>
    <mergeCell ref="N2:N4"/>
    <mergeCell ref="O2:O4"/>
    <mergeCell ref="B5:B7"/>
    <mergeCell ref="D5:D7"/>
    <mergeCell ref="F5:F7"/>
    <mergeCell ref="G5:G7"/>
    <mergeCell ref="H5:H7"/>
    <mergeCell ref="A2:A7"/>
    <mergeCell ref="B2:B4"/>
    <mergeCell ref="C2:C7"/>
    <mergeCell ref="D2:D4"/>
    <mergeCell ref="F2:F4"/>
    <mergeCell ref="G2:G4"/>
    <mergeCell ref="H2:H4"/>
    <mergeCell ref="J2:J4"/>
    <mergeCell ref="K2:K4"/>
    <mergeCell ref="G101:G103"/>
    <mergeCell ref="G86:G88"/>
    <mergeCell ref="G89:G91"/>
    <mergeCell ref="G92:G94"/>
    <mergeCell ref="G95:G97"/>
    <mergeCell ref="F77:F79"/>
    <mergeCell ref="F80:F82"/>
    <mergeCell ref="F83:F85"/>
    <mergeCell ref="F86:F88"/>
    <mergeCell ref="F89:F91"/>
    <mergeCell ref="F92:F94"/>
    <mergeCell ref="F95:F97"/>
    <mergeCell ref="F98:F100"/>
    <mergeCell ref="F101:F103"/>
    <mergeCell ref="D86:D88"/>
    <mergeCell ref="D89:D91"/>
    <mergeCell ref="B71:B73"/>
    <mergeCell ref="A92:A97"/>
    <mergeCell ref="C92:C97"/>
    <mergeCell ref="A98:A103"/>
    <mergeCell ref="B98:B100"/>
    <mergeCell ref="C98:C103"/>
    <mergeCell ref="D98:D100"/>
    <mergeCell ref="B101:B103"/>
    <mergeCell ref="D101:D103"/>
    <mergeCell ref="B92:B94"/>
    <mergeCell ref="B95:B97"/>
    <mergeCell ref="D95:D97"/>
    <mergeCell ref="A68:A73"/>
    <mergeCell ref="A80:A85"/>
    <mergeCell ref="C80:C85"/>
    <mergeCell ref="C68:C73"/>
    <mergeCell ref="B80:B82"/>
    <mergeCell ref="B83:B85"/>
    <mergeCell ref="B68:B70"/>
    <mergeCell ref="A86:A91"/>
    <mergeCell ref="C86:C91"/>
    <mergeCell ref="F62:F64"/>
    <mergeCell ref="F65:F67"/>
    <mergeCell ref="H56:H58"/>
    <mergeCell ref="H59:H61"/>
    <mergeCell ref="H62:H64"/>
    <mergeCell ref="H65:H67"/>
    <mergeCell ref="N74:N76"/>
    <mergeCell ref="J74:J76"/>
    <mergeCell ref="K74:K76"/>
    <mergeCell ref="L74:L76"/>
    <mergeCell ref="F68:F70"/>
    <mergeCell ref="F71:F73"/>
    <mergeCell ref="F74:F76"/>
    <mergeCell ref="G56:G58"/>
    <mergeCell ref="G59:G61"/>
    <mergeCell ref="G62:G64"/>
    <mergeCell ref="G65:G67"/>
    <mergeCell ref="G68:G70"/>
    <mergeCell ref="G71:G73"/>
    <mergeCell ref="G74:G76"/>
    <mergeCell ref="H68:H70"/>
    <mergeCell ref="H71:H73"/>
    <mergeCell ref="H74:H76"/>
    <mergeCell ref="A56:A61"/>
    <mergeCell ref="A62:A67"/>
    <mergeCell ref="B86:B88"/>
    <mergeCell ref="B89:B91"/>
    <mergeCell ref="B74:B76"/>
    <mergeCell ref="B77:B79"/>
    <mergeCell ref="D65:D67"/>
    <mergeCell ref="D68:D70"/>
    <mergeCell ref="B56:B58"/>
    <mergeCell ref="B59:B61"/>
    <mergeCell ref="D56:D58"/>
    <mergeCell ref="D59:D61"/>
    <mergeCell ref="D62:D64"/>
    <mergeCell ref="D71:D73"/>
    <mergeCell ref="B62:B64"/>
    <mergeCell ref="B65:B67"/>
    <mergeCell ref="C56:C61"/>
    <mergeCell ref="C62:C67"/>
    <mergeCell ref="A74:A79"/>
    <mergeCell ref="C74:C79"/>
    <mergeCell ref="D74:D76"/>
    <mergeCell ref="D77:D79"/>
    <mergeCell ref="D80:D82"/>
    <mergeCell ref="D83:D85"/>
    <mergeCell ref="O56:O58"/>
    <mergeCell ref="O62:O64"/>
    <mergeCell ref="O68:O70"/>
    <mergeCell ref="O74:O76"/>
    <mergeCell ref="O86:O88"/>
    <mergeCell ref="O92:O94"/>
    <mergeCell ref="D92:D94"/>
    <mergeCell ref="M56:M58"/>
    <mergeCell ref="N56:N58"/>
    <mergeCell ref="J62:J64"/>
    <mergeCell ref="K62:K64"/>
    <mergeCell ref="L62:L64"/>
    <mergeCell ref="M62:M64"/>
    <mergeCell ref="N62:N64"/>
    <mergeCell ref="J68:J70"/>
    <mergeCell ref="K68:K70"/>
    <mergeCell ref="L68:L70"/>
    <mergeCell ref="M68:M70"/>
    <mergeCell ref="N68:N70"/>
    <mergeCell ref="J56:J58"/>
    <mergeCell ref="K56:K58"/>
    <mergeCell ref="L56:L58"/>
    <mergeCell ref="F56:F58"/>
    <mergeCell ref="F59:F61"/>
    <mergeCell ref="R84:S84"/>
    <mergeCell ref="M98:M100"/>
    <mergeCell ref="N98:N100"/>
    <mergeCell ref="O98:O100"/>
    <mergeCell ref="M74:M76"/>
    <mergeCell ref="J80:J82"/>
    <mergeCell ref="K80:K82"/>
    <mergeCell ref="L80:L82"/>
    <mergeCell ref="M80:M82"/>
    <mergeCell ref="N80:N82"/>
    <mergeCell ref="O80:O82"/>
    <mergeCell ref="J92:J94"/>
    <mergeCell ref="K92:K94"/>
    <mergeCell ref="L92:L94"/>
    <mergeCell ref="M92:M94"/>
    <mergeCell ref="N92:N94"/>
    <mergeCell ref="J86:J88"/>
    <mergeCell ref="K86:K88"/>
    <mergeCell ref="L86:L88"/>
    <mergeCell ref="M86:M88"/>
    <mergeCell ref="N86:N88"/>
    <mergeCell ref="J98:J100"/>
    <mergeCell ref="K98:K100"/>
    <mergeCell ref="L98:L100"/>
  </mergeCells>
  <pageMargins left="0.7" right="0.7" top="0.75" bottom="0.75" header="0.3" footer="0.3"/>
  <pageSetup paperSize="9" orientation="portrait" r:id="rId1"/>
  <ignoredErrors>
    <ignoredError sqref="F57:F58 F56 F59:F61 G57:G58 G56 G59:G61 F62:F67 G62:G67 F68:F73 G68:G73 F74:F79 G74:G79 F80:F85 G80:G85 F86:F91 G86:G91 F92:F97 G92:G97 F98:F103 G98:G103 F5:F49 G5:G49 F2:G4 F109:G15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7081-7C7A-49CC-A0CB-35F24D3B1AA5}">
  <dimension ref="A1:AK90"/>
  <sheetViews>
    <sheetView topLeftCell="A54" zoomScale="90" zoomScaleNormal="90" workbookViewId="0">
      <selection activeCell="D84" sqref="D84:E84"/>
    </sheetView>
  </sheetViews>
  <sheetFormatPr baseColWidth="10" defaultColWidth="8.88671875" defaultRowHeight="14.4" x14ac:dyDescent="0.3"/>
  <cols>
    <col min="2" max="2" width="17" customWidth="1"/>
    <col min="3" max="3" width="22.44140625" customWidth="1"/>
    <col min="4" max="4" width="15.88671875" customWidth="1"/>
    <col min="5" max="5" width="16.5546875" customWidth="1"/>
    <col min="6" max="6" width="17.5546875" customWidth="1"/>
    <col min="7" max="7" width="16.21875" customWidth="1"/>
    <col min="8" max="8" width="16.109375" bestFit="1" customWidth="1"/>
    <col min="9" max="9" width="12.88671875" bestFit="1" customWidth="1"/>
    <col min="10" max="10" width="26.33203125" bestFit="1" customWidth="1"/>
    <col min="11" max="11" width="15.5546875" bestFit="1" customWidth="1"/>
    <col min="12" max="12" width="20.44140625" bestFit="1" customWidth="1"/>
    <col min="13" max="13" width="20.109375" bestFit="1" customWidth="1"/>
    <col min="14" max="14" width="13.5546875" bestFit="1" customWidth="1"/>
    <col min="23" max="23" width="11.33203125" customWidth="1"/>
    <col min="26" max="26" width="12.109375" bestFit="1" customWidth="1"/>
    <col min="28" max="28" width="12.77734375" bestFit="1" customWidth="1"/>
  </cols>
  <sheetData>
    <row r="1" spans="1:37" ht="15.6" thickTop="1" thickBot="1" x14ac:dyDescent="0.35">
      <c r="A1" s="150"/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2"/>
    </row>
    <row r="2" spans="1:37" ht="14.4" customHeight="1" x14ac:dyDescent="0.3">
      <c r="A2" s="153"/>
      <c r="B2" s="343" t="s">
        <v>350</v>
      </c>
      <c r="C2" s="344"/>
      <c r="AK2" s="154"/>
    </row>
    <row r="3" spans="1:37" ht="14.4" customHeight="1" x14ac:dyDescent="0.3">
      <c r="A3" s="153"/>
      <c r="B3" s="345"/>
      <c r="C3" s="346"/>
      <c r="F3" s="84"/>
      <c r="G3" t="s">
        <v>143</v>
      </c>
      <c r="I3" s="85"/>
      <c r="J3" t="s">
        <v>290</v>
      </c>
      <c r="AK3" s="154"/>
    </row>
    <row r="4" spans="1:37" ht="20.399999999999999" customHeight="1" thickBot="1" x14ac:dyDescent="0.35">
      <c r="A4" s="153"/>
      <c r="B4" s="347"/>
      <c r="C4" s="348"/>
      <c r="AK4" s="154"/>
    </row>
    <row r="5" spans="1:37" ht="15" thickBot="1" x14ac:dyDescent="0.35">
      <c r="A5" s="153"/>
      <c r="AK5" s="154"/>
    </row>
    <row r="6" spans="1:37" ht="15" thickBot="1" x14ac:dyDescent="0.35">
      <c r="A6" s="153"/>
      <c r="B6" s="340" t="s">
        <v>367</v>
      </c>
      <c r="C6" s="341"/>
      <c r="D6" s="341"/>
      <c r="E6" s="341"/>
      <c r="F6" s="341"/>
      <c r="G6" s="341"/>
      <c r="H6" s="341"/>
      <c r="I6" s="341"/>
      <c r="J6" s="341"/>
      <c r="K6" s="341"/>
      <c r="L6" s="341"/>
      <c r="M6" s="341"/>
      <c r="N6" s="341"/>
      <c r="O6" s="341"/>
      <c r="P6" s="341"/>
      <c r="Q6" s="342"/>
      <c r="AB6" s="185" t="s">
        <v>370</v>
      </c>
      <c r="AK6" s="154"/>
    </row>
    <row r="7" spans="1:37" ht="15" thickBot="1" x14ac:dyDescent="0.35">
      <c r="A7" s="168" t="s">
        <v>1</v>
      </c>
      <c r="B7" s="74" t="s">
        <v>71</v>
      </c>
      <c r="C7" s="74" t="s">
        <v>8</v>
      </c>
      <c r="D7" s="74" t="s">
        <v>111</v>
      </c>
      <c r="E7" s="74" t="s">
        <v>114</v>
      </c>
      <c r="F7" s="74" t="s">
        <v>269</v>
      </c>
      <c r="G7" s="74" t="s">
        <v>114</v>
      </c>
      <c r="H7" s="74" t="s">
        <v>112</v>
      </c>
      <c r="I7" s="74" t="s">
        <v>134</v>
      </c>
      <c r="J7" s="74" t="s">
        <v>106</v>
      </c>
      <c r="K7" s="74" t="s">
        <v>107</v>
      </c>
      <c r="L7" s="1" t="s">
        <v>109</v>
      </c>
      <c r="M7" s="1" t="s">
        <v>129</v>
      </c>
      <c r="N7" s="1" t="s">
        <v>130</v>
      </c>
      <c r="O7" s="1" t="s">
        <v>132</v>
      </c>
      <c r="P7" s="1" t="s">
        <v>133</v>
      </c>
      <c r="Q7" s="75" t="s">
        <v>110</v>
      </c>
      <c r="U7" s="49" t="s">
        <v>1</v>
      </c>
      <c r="V7" s="49" t="s">
        <v>103</v>
      </c>
      <c r="W7" s="49" t="s">
        <v>104</v>
      </c>
      <c r="X7" s="49" t="s">
        <v>105</v>
      </c>
      <c r="Y7" s="49" t="s">
        <v>5</v>
      </c>
      <c r="Z7" s="49" t="s">
        <v>114</v>
      </c>
      <c r="AB7" s="69" t="s">
        <v>115</v>
      </c>
      <c r="AC7" s="191">
        <v>0.33889029970632656</v>
      </c>
      <c r="AE7" s="334" t="s">
        <v>368</v>
      </c>
      <c r="AF7" s="335"/>
      <c r="AG7" s="335"/>
      <c r="AH7" s="335"/>
      <c r="AI7" s="335"/>
      <c r="AJ7" s="336"/>
      <c r="AK7" s="154"/>
    </row>
    <row r="8" spans="1:37" ht="15" thickBot="1" x14ac:dyDescent="0.35">
      <c r="A8" s="199" t="s">
        <v>161</v>
      </c>
      <c r="B8" s="187">
        <v>0</v>
      </c>
      <c r="C8" s="46">
        <v>540</v>
      </c>
      <c r="D8" s="46">
        <f>AVERAGE('HPLC Data'!E11:E12)</f>
        <v>4.9651999999999994</v>
      </c>
      <c r="E8" s="46">
        <f>STDEV('HPLC Data'!E11:E12)</f>
        <v>1.2727922061359595E-3</v>
      </c>
      <c r="F8" s="46">
        <f>AVERAGE('HPLC Data'!V11:V12)</f>
        <v>0.44284999999999997</v>
      </c>
      <c r="G8" s="46">
        <f>STDEV('HPLC Data'!V11:V12)</f>
        <v>7.4246212024587557E-3</v>
      </c>
      <c r="H8" s="200">
        <f>$AC$7*Y8*100</f>
        <v>21.078976641733512</v>
      </c>
      <c r="I8" s="109">
        <f>H8*SQRT(($AC$8/$AC$7)^2+(Z8/Y8)^2)</f>
        <v>0.409514395365704</v>
      </c>
      <c r="J8" s="73">
        <f t="shared" ref="J8:J9" si="0">(C8/1000)*H8</f>
        <v>11.382647386536098</v>
      </c>
      <c r="K8" s="46">
        <f t="shared" ref="K8:K9" si="1">(C8/1000)*D8</f>
        <v>2.6812079999999998</v>
      </c>
      <c r="L8" s="46">
        <v>0</v>
      </c>
      <c r="M8" s="287">
        <f>SLOPE(J8:J9,L8:L9)</f>
        <v>0.21186775084649873</v>
      </c>
      <c r="N8" s="287">
        <f>SLOPE(K8:K9,L8:L9)</f>
        <v>0.20382154925053533</v>
      </c>
      <c r="O8" s="287">
        <f>SLOPE(K8:K9,J8:J9)</f>
        <v>0.96202252790330067</v>
      </c>
      <c r="P8" s="4">
        <f>LN((H8*C8)/($H$8*$C$8))</f>
        <v>0</v>
      </c>
      <c r="Q8" s="287">
        <f>SLOPE(P8:P9,B8:B9)</f>
        <v>2.1236242997138392E-2</v>
      </c>
      <c r="U8" s="59" t="s">
        <v>161</v>
      </c>
      <c r="V8" s="146">
        <v>0.61</v>
      </c>
      <c r="W8" s="146">
        <v>0.63200000000000001</v>
      </c>
      <c r="X8" s="146">
        <v>0.624</v>
      </c>
      <c r="Y8" s="95">
        <f>AVERAGE(V8:X8)</f>
        <v>0.622</v>
      </c>
      <c r="Z8" s="95">
        <f>STDEV(V8:X8)</f>
        <v>1.1135528725660053E-2</v>
      </c>
      <c r="AB8" s="69" t="s">
        <v>114</v>
      </c>
      <c r="AC8" s="198">
        <v>2.5568368964676395E-3</v>
      </c>
      <c r="AE8" s="337"/>
      <c r="AF8" s="338"/>
      <c r="AG8" s="338"/>
      <c r="AH8" s="338"/>
      <c r="AI8" s="338"/>
      <c r="AJ8" s="339"/>
      <c r="AK8" s="154"/>
    </row>
    <row r="9" spans="1:37" ht="15" thickBot="1" x14ac:dyDescent="0.35">
      <c r="A9" s="201" t="s">
        <v>175</v>
      </c>
      <c r="B9" s="190">
        <v>39.299999999999997</v>
      </c>
      <c r="C9" s="47">
        <f>SUM('Raw DO600'!R31:R32)</f>
        <v>689.5</v>
      </c>
      <c r="D9" s="47">
        <f>AVERAGE('HPLC Data'!E39:E40)</f>
        <v>24.595950000000002</v>
      </c>
      <c r="E9" s="47">
        <f>STDEV('HPLC Data'!E39:E40)</f>
        <v>3.6062445840530362E-3</v>
      </c>
      <c r="F9" s="47">
        <v>0</v>
      </c>
      <c r="G9" s="47">
        <v>0</v>
      </c>
      <c r="H9" s="134">
        <v>38.033333333333331</v>
      </c>
      <c r="I9" s="146">
        <v>0.95699181466370264</v>
      </c>
      <c r="J9" s="47">
        <f t="shared" si="0"/>
        <v>26.223983333333333</v>
      </c>
      <c r="K9" s="47">
        <f t="shared" si="1"/>
        <v>16.958907525000001</v>
      </c>
      <c r="L9" s="47">
        <v>70.05</v>
      </c>
      <c r="M9" s="289"/>
      <c r="N9" s="289"/>
      <c r="O9" s="289"/>
      <c r="P9" s="2">
        <f>LN((H9*C9)/($H$8*$C$8))</f>
        <v>0.8345843497875387</v>
      </c>
      <c r="Q9" s="289"/>
      <c r="AK9" s="154"/>
    </row>
    <row r="10" spans="1:37" ht="15" thickBot="1" x14ac:dyDescent="0.35">
      <c r="A10" s="153"/>
      <c r="AK10" s="154"/>
    </row>
    <row r="11" spans="1:37" ht="15" thickBot="1" x14ac:dyDescent="0.35">
      <c r="A11" s="153"/>
      <c r="B11" s="331" t="s">
        <v>369</v>
      </c>
      <c r="C11" s="332"/>
      <c r="D11" s="332"/>
      <c r="E11" s="332"/>
      <c r="F11" s="332"/>
      <c r="G11" s="332"/>
      <c r="H11" s="332"/>
      <c r="I11" s="332"/>
      <c r="J11" s="332"/>
      <c r="K11" s="332"/>
      <c r="L11" s="332"/>
      <c r="M11" s="332"/>
      <c r="N11" s="332"/>
      <c r="O11" s="332"/>
      <c r="P11" s="332"/>
      <c r="Q11" s="333"/>
      <c r="AB11" s="192" t="s">
        <v>371</v>
      </c>
      <c r="AK11" s="154"/>
    </row>
    <row r="12" spans="1:37" ht="15" thickBot="1" x14ac:dyDescent="0.35">
      <c r="A12" s="202" t="s">
        <v>1</v>
      </c>
      <c r="B12" s="74" t="s">
        <v>71</v>
      </c>
      <c r="C12" s="74" t="s">
        <v>8</v>
      </c>
      <c r="D12" s="74" t="s">
        <v>111</v>
      </c>
      <c r="E12" s="74" t="s">
        <v>114</v>
      </c>
      <c r="F12" s="74" t="s">
        <v>269</v>
      </c>
      <c r="G12" s="74" t="s">
        <v>114</v>
      </c>
      <c r="H12" s="74" t="s">
        <v>112</v>
      </c>
      <c r="I12" s="74" t="s">
        <v>134</v>
      </c>
      <c r="J12" s="74" t="s">
        <v>106</v>
      </c>
      <c r="K12" s="74" t="s">
        <v>107</v>
      </c>
      <c r="L12" s="1" t="s">
        <v>109</v>
      </c>
      <c r="M12" s="1" t="s">
        <v>129</v>
      </c>
      <c r="N12" s="1" t="s">
        <v>130</v>
      </c>
      <c r="O12" s="1" t="s">
        <v>132</v>
      </c>
      <c r="P12" s="1" t="s">
        <v>133</v>
      </c>
      <c r="Q12" s="75" t="s">
        <v>110</v>
      </c>
      <c r="U12" s="1" t="s">
        <v>1</v>
      </c>
      <c r="V12" s="1" t="s">
        <v>103</v>
      </c>
      <c r="W12" s="1" t="s">
        <v>104</v>
      </c>
      <c r="X12" s="1" t="s">
        <v>105</v>
      </c>
      <c r="Y12" s="1" t="s">
        <v>5</v>
      </c>
      <c r="Z12" s="1" t="s">
        <v>114</v>
      </c>
      <c r="AB12" s="69" t="s">
        <v>115</v>
      </c>
      <c r="AC12" s="186">
        <f>AA24</f>
        <v>0.3330498472398124</v>
      </c>
      <c r="AK12" s="154"/>
    </row>
    <row r="13" spans="1:37" ht="15" thickBot="1" x14ac:dyDescent="0.35">
      <c r="A13" s="199" t="s">
        <v>162</v>
      </c>
      <c r="B13" s="187">
        <v>0</v>
      </c>
      <c r="C13" s="46">
        <v>540</v>
      </c>
      <c r="D13" s="46">
        <f>AVERAGE('HPLC Data'!E13:E14)</f>
        <v>5.0658500000000002</v>
      </c>
      <c r="E13" s="46">
        <f>STDEV('HPLC Data'!E13:E14)</f>
        <v>1.1384419177103261E-2</v>
      </c>
      <c r="F13" s="46">
        <f>AVERAGE('HPLC Data'!V13:V14)</f>
        <v>0.21135000000000001</v>
      </c>
      <c r="G13" s="46">
        <f>STDEV('HPLC Data'!V13:V14)</f>
        <v>3.1819805153394665E-3</v>
      </c>
      <c r="H13" s="200">
        <f>AC12*Y13*100</f>
        <v>21.048750345556144</v>
      </c>
      <c r="I13" s="109">
        <f>H13*SQRT(($AC$13/$AC$12)^2+(Z13/Y13)^2)</f>
        <v>0.18215507391276567</v>
      </c>
      <c r="J13" s="73">
        <f t="shared" ref="J13:J14" si="2">(C13/1000)*H13</f>
        <v>11.366325186600319</v>
      </c>
      <c r="K13" s="46">
        <f t="shared" ref="K13:K14" si="3">(C13/1000)*D13</f>
        <v>2.7355590000000003</v>
      </c>
      <c r="L13" s="46">
        <v>0</v>
      </c>
      <c r="M13" s="287">
        <f>SLOPE(J13:J14,L13:L14)</f>
        <v>0.20964001637020718</v>
      </c>
      <c r="N13" s="287">
        <f>SLOPE(K13:K14,L13:L14)</f>
        <v>0.20273609921484653</v>
      </c>
      <c r="O13" s="287">
        <f>SLOPE(K13:K14,J13:J14)</f>
        <v>0.96706775130579625</v>
      </c>
      <c r="P13" s="4">
        <f>LN((H13*C13)/($H$8*$C$8))</f>
        <v>-1.4349837280927475E-3</v>
      </c>
      <c r="Q13" s="287">
        <f>SLOPE(P13:P14,B13:B14)</f>
        <v>2.1104947928782179E-2</v>
      </c>
      <c r="U13" s="59" t="s">
        <v>162</v>
      </c>
      <c r="V13" s="197">
        <v>0.63500000000000001</v>
      </c>
      <c r="W13" s="197">
        <v>0.63400000000000001</v>
      </c>
      <c r="X13" s="197">
        <v>0.627</v>
      </c>
      <c r="Y13" s="95">
        <f>AVERAGE(V13:X13)</f>
        <v>0.63200000000000001</v>
      </c>
      <c r="Z13" s="197">
        <f>STDEV(V13:X13)</f>
        <v>4.3588989435406778E-3</v>
      </c>
      <c r="AB13" s="69" t="s">
        <v>114</v>
      </c>
      <c r="AC13" s="193">
        <f>AA25</f>
        <v>1.7408840794287945E-3</v>
      </c>
      <c r="AK13" s="154"/>
    </row>
    <row r="14" spans="1:37" ht="15" thickBot="1" x14ac:dyDescent="0.35">
      <c r="A14" s="201" t="s">
        <v>176</v>
      </c>
      <c r="B14" s="190">
        <v>39.299999999999997</v>
      </c>
      <c r="C14" s="47">
        <f>SUM('Raw DO600'!S31:S32)</f>
        <v>689.5</v>
      </c>
      <c r="D14" s="47">
        <f>AVERAGE('HPLC Data'!E41:E42)</f>
        <v>24.564499999999999</v>
      </c>
      <c r="E14" s="47">
        <f>STDEV('HPLC Data'!E41:E42)</f>
        <v>0.31650099525909958</v>
      </c>
      <c r="F14" s="47">
        <f>AVERAGE('HPLC Data'!V41:V42)</f>
        <v>2.7259500000000001</v>
      </c>
      <c r="G14" s="47">
        <f>STDEV('HPLC Data'!V41:V42)</f>
        <v>1.8738329701443488E-2</v>
      </c>
      <c r="H14" s="134">
        <v>37.783333333333331</v>
      </c>
      <c r="I14" s="146">
        <v>1.2897028081435418</v>
      </c>
      <c r="J14" s="47">
        <f t="shared" si="2"/>
        <v>26.051608333333331</v>
      </c>
      <c r="K14" s="47">
        <f t="shared" si="3"/>
        <v>16.93722275</v>
      </c>
      <c r="L14" s="47">
        <v>70.05</v>
      </c>
      <c r="M14" s="289"/>
      <c r="N14" s="289"/>
      <c r="O14" s="289"/>
      <c r="P14" s="2">
        <f>LN((H14*C14)/($H$8*$C$8))</f>
        <v>0.82798946987304667</v>
      </c>
      <c r="Q14" s="289"/>
      <c r="AK14" s="154"/>
    </row>
    <row r="15" spans="1:37" x14ac:dyDescent="0.3">
      <c r="A15" s="203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76"/>
      <c r="N15" s="176"/>
      <c r="O15" s="176"/>
      <c r="Q15" s="176"/>
      <c r="AK15" s="154"/>
    </row>
    <row r="16" spans="1:37" ht="15" thickBot="1" x14ac:dyDescent="0.35">
      <c r="A16" s="166"/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5"/>
      <c r="N16" s="205"/>
      <c r="O16" s="205"/>
      <c r="P16" s="161"/>
      <c r="Q16" s="205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4"/>
    </row>
    <row r="17" spans="1:37" ht="15.6" thickTop="1" thickBot="1" x14ac:dyDescent="0.35">
      <c r="A17" s="165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207"/>
      <c r="N17" s="207"/>
      <c r="O17" s="207"/>
      <c r="P17" s="151"/>
      <c r="Q17" s="207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2"/>
    </row>
    <row r="18" spans="1:37" x14ac:dyDescent="0.3">
      <c r="A18" s="203"/>
      <c r="B18" s="343" t="s">
        <v>352</v>
      </c>
      <c r="C18" s="344"/>
      <c r="D18" s="194"/>
      <c r="E18" s="194"/>
      <c r="F18" s="194"/>
      <c r="G18" s="194"/>
      <c r="H18" s="194"/>
      <c r="I18" s="194"/>
      <c r="J18" s="194"/>
      <c r="K18" s="194"/>
      <c r="L18" s="194"/>
      <c r="M18" s="176"/>
      <c r="N18" s="176"/>
      <c r="O18" s="176"/>
      <c r="Q18" s="176"/>
      <c r="AK18" s="154"/>
    </row>
    <row r="19" spans="1:37" x14ac:dyDescent="0.3">
      <c r="A19" s="203"/>
      <c r="B19" s="345"/>
      <c r="C19" s="346"/>
      <c r="D19" s="194"/>
      <c r="E19" s="194"/>
      <c r="F19" s="194"/>
      <c r="G19" s="194"/>
      <c r="H19" s="194"/>
      <c r="I19" s="194"/>
      <c r="J19" s="194"/>
      <c r="K19" s="194"/>
      <c r="L19" s="194"/>
      <c r="M19" s="176"/>
      <c r="N19" s="176"/>
      <c r="O19" s="176"/>
      <c r="Q19" s="176"/>
      <c r="AK19" s="154"/>
    </row>
    <row r="20" spans="1:37" ht="15" thickBot="1" x14ac:dyDescent="0.35">
      <c r="A20" s="203"/>
      <c r="B20" s="347"/>
      <c r="C20" s="348"/>
      <c r="D20" s="194"/>
      <c r="E20" s="194"/>
      <c r="F20" s="194"/>
      <c r="G20" s="194"/>
      <c r="H20" s="194"/>
      <c r="I20" s="194"/>
      <c r="J20" s="194"/>
      <c r="K20" s="194"/>
      <c r="L20" s="194"/>
      <c r="M20" s="176"/>
      <c r="N20" s="176"/>
      <c r="O20" s="176"/>
      <c r="Q20" s="176"/>
      <c r="AK20" s="154"/>
    </row>
    <row r="21" spans="1:37" x14ac:dyDescent="0.3">
      <c r="A21" s="203"/>
      <c r="B21" s="194"/>
      <c r="C21" s="194"/>
      <c r="D21" s="194"/>
      <c r="E21" s="194"/>
      <c r="F21" s="194"/>
      <c r="G21" s="195"/>
      <c r="H21" s="195"/>
      <c r="I21" s="195"/>
      <c r="J21" s="194"/>
      <c r="K21" s="194"/>
      <c r="L21" s="194"/>
      <c r="M21" s="176"/>
      <c r="N21" s="176"/>
      <c r="O21" s="176"/>
      <c r="Q21" s="176"/>
      <c r="U21" s="8"/>
      <c r="V21" s="196"/>
      <c r="W21" s="196"/>
      <c r="X21" s="196"/>
      <c r="Y21" s="195"/>
      <c r="Z21" s="196"/>
      <c r="AK21" s="154"/>
    </row>
    <row r="22" spans="1:37" ht="15" thickBot="1" x14ac:dyDescent="0.35">
      <c r="A22" s="153"/>
      <c r="G22" s="195"/>
      <c r="H22" s="195"/>
      <c r="I22" s="195"/>
      <c r="AK22" s="154"/>
    </row>
    <row r="23" spans="1:37" ht="15" thickBot="1" x14ac:dyDescent="0.35">
      <c r="A23" s="153"/>
      <c r="B23" s="331" t="s">
        <v>291</v>
      </c>
      <c r="C23" s="332"/>
      <c r="D23" s="332"/>
      <c r="E23" s="332"/>
      <c r="F23" s="332"/>
      <c r="G23" s="332"/>
      <c r="H23" s="332"/>
      <c r="I23" s="332"/>
      <c r="J23" s="332"/>
      <c r="K23" s="332"/>
      <c r="L23" s="332"/>
      <c r="M23" s="332"/>
      <c r="N23" s="332"/>
      <c r="O23" s="333"/>
      <c r="Z23" s="192" t="s">
        <v>177</v>
      </c>
      <c r="AK23" s="154"/>
    </row>
    <row r="24" spans="1:37" ht="15" thickBot="1" x14ac:dyDescent="0.35">
      <c r="A24" s="168" t="s">
        <v>1</v>
      </c>
      <c r="B24" s="74" t="s">
        <v>71</v>
      </c>
      <c r="C24" s="74" t="s">
        <v>8</v>
      </c>
      <c r="D24" s="74" t="s">
        <v>111</v>
      </c>
      <c r="E24" s="74" t="s">
        <v>184</v>
      </c>
      <c r="F24" s="74" t="s">
        <v>112</v>
      </c>
      <c r="G24" s="74" t="s">
        <v>134</v>
      </c>
      <c r="H24" s="74" t="s">
        <v>106</v>
      </c>
      <c r="I24" s="74" t="s">
        <v>107</v>
      </c>
      <c r="J24" s="1" t="s">
        <v>129</v>
      </c>
      <c r="K24" s="1" t="s">
        <v>130</v>
      </c>
      <c r="L24" s="1" t="s">
        <v>131</v>
      </c>
      <c r="M24" s="1" t="s">
        <v>132</v>
      </c>
      <c r="N24" s="1" t="s">
        <v>133</v>
      </c>
      <c r="O24" s="75" t="s">
        <v>110</v>
      </c>
      <c r="S24" s="48" t="s">
        <v>1</v>
      </c>
      <c r="T24" s="1" t="s">
        <v>103</v>
      </c>
      <c r="U24" s="1" t="s">
        <v>104</v>
      </c>
      <c r="V24" s="1" t="s">
        <v>105</v>
      </c>
      <c r="W24" s="1" t="s">
        <v>5</v>
      </c>
      <c r="X24" s="1" t="s">
        <v>114</v>
      </c>
      <c r="Z24" s="69" t="s">
        <v>115</v>
      </c>
      <c r="AA24" s="77">
        <f>'Raw DCW'!R68</f>
        <v>0.3330498472398124</v>
      </c>
      <c r="AK24" s="154"/>
    </row>
    <row r="25" spans="1:37" ht="15" thickBot="1" x14ac:dyDescent="0.35">
      <c r="A25" s="199" t="s">
        <v>161</v>
      </c>
      <c r="B25" s="135">
        <f>'Process calc'!F3</f>
        <v>0</v>
      </c>
      <c r="C25" s="46">
        <f>'Process calc'!I3</f>
        <v>540</v>
      </c>
      <c r="D25" s="109">
        <f>AVERAGE('HPLC Data'!E58:E59)</f>
        <v>4.3306500000000003</v>
      </c>
      <c r="E25" s="46">
        <v>0</v>
      </c>
      <c r="F25" s="132">
        <f>$AA$24*W25*100</f>
        <v>20.882225421936241</v>
      </c>
      <c r="G25" s="109">
        <f>F25*SQRT(($AA$25/$AA$24)^2+(X25/W25)^2)</f>
        <v>0.29365344569666046</v>
      </c>
      <c r="H25" s="46">
        <f t="shared" ref="H25:H32" si="4">(C25/1000)*F25</f>
        <v>11.27640172784557</v>
      </c>
      <c r="I25" s="73">
        <f t="shared" ref="I25:I32" si="5">(C25/1000)*D25</f>
        <v>2.3385510000000003</v>
      </c>
      <c r="J25" s="287">
        <f>SLOPE(H25:H32,M49:M56)</f>
        <v>0.22197862309740102</v>
      </c>
      <c r="K25" s="287">
        <f>SLOPE(I25:I32,M49:M56)</f>
        <v>0.1995599079489071</v>
      </c>
      <c r="L25" s="287">
        <f>K25*(32.04/90.08)*3</f>
        <v>0.21294070106626276</v>
      </c>
      <c r="M25" s="287">
        <f>SLOPE(I25:I32,H25:H32)</f>
        <v>0.89624514422836943</v>
      </c>
      <c r="N25" s="83">
        <f t="shared" ref="N25:N32" si="6">LN((F25*C25)/($F$25*$C$25))</f>
        <v>0</v>
      </c>
      <c r="O25" s="287">
        <f>SLOPE(N25:N32,B25:B32)</f>
        <v>2.7185551023810189E-2</v>
      </c>
      <c r="S25" s="3" t="s">
        <v>161</v>
      </c>
      <c r="T25" s="130">
        <f>'Raw DO600'!E56</f>
        <v>0.63600000000000001</v>
      </c>
      <c r="U25" s="81">
        <f>'Raw DO600'!E57</f>
        <v>0.625</v>
      </c>
      <c r="V25" s="81">
        <f>'Raw DO600'!E58</f>
        <v>0.62</v>
      </c>
      <c r="W25" s="81">
        <f>AVERAGE(T25:V25)</f>
        <v>0.62700000000000011</v>
      </c>
      <c r="X25" s="81">
        <f>STDEV(T25:V25)</f>
        <v>8.1853527718724565E-3</v>
      </c>
      <c r="Z25" s="69" t="s">
        <v>114</v>
      </c>
      <c r="AA25" s="77">
        <f>'Raw DCW'!S68</f>
        <v>1.7408840794287945E-3</v>
      </c>
      <c r="AK25" s="154"/>
    </row>
    <row r="26" spans="1:37" x14ac:dyDescent="0.3">
      <c r="A26" s="208" t="s">
        <v>163</v>
      </c>
      <c r="B26" s="135">
        <f>'Process calc'!F120</f>
        <v>9.6833333333333336</v>
      </c>
      <c r="C26" s="46">
        <f>'Process calc'!I120</f>
        <v>577.10829278555047</v>
      </c>
      <c r="D26" s="109">
        <f>AVERAGE('HPLC Data'!E62:E63)</f>
        <v>8.6411499999999997</v>
      </c>
      <c r="E26" s="46">
        <v>0</v>
      </c>
      <c r="F26" s="132">
        <f>$AA$24*W26*200</f>
        <v>27.02144427272345</v>
      </c>
      <c r="G26" s="109">
        <f>F26*SQRT(($AA$25/$AA$24)^2+(X26/W26)^2)</f>
        <v>0.83946977912371223</v>
      </c>
      <c r="H26" s="46">
        <f t="shared" si="4"/>
        <v>15.59429957283132</v>
      </c>
      <c r="I26" s="46">
        <f t="shared" si="5"/>
        <v>4.9868793242038585</v>
      </c>
      <c r="J26" s="288"/>
      <c r="K26" s="288"/>
      <c r="L26" s="288"/>
      <c r="M26" s="288"/>
      <c r="N26" s="79">
        <f t="shared" si="6"/>
        <v>0.32419323605669476</v>
      </c>
      <c r="O26" s="288"/>
      <c r="S26" s="5" t="s">
        <v>163</v>
      </c>
      <c r="T26" s="130">
        <f>'Raw DO600'!E62</f>
        <v>0.42</v>
      </c>
      <c r="U26" s="81">
        <f>'Raw DO600'!E63</f>
        <v>0.39900000000000002</v>
      </c>
      <c r="V26" s="81">
        <f>'Raw DO600'!E64</f>
        <v>0.39800000000000002</v>
      </c>
      <c r="W26" s="81">
        <f t="shared" ref="W26:W32" si="7">AVERAGE(T26:V26)</f>
        <v>0.40566666666666668</v>
      </c>
      <c r="X26" s="81">
        <f t="shared" ref="X26:X32" si="8">STDEV(T26:V26)</f>
        <v>1.2423096769056129E-2</v>
      </c>
      <c r="AK26" s="154"/>
    </row>
    <row r="27" spans="1:37" x14ac:dyDescent="0.3">
      <c r="A27" s="208" t="s">
        <v>165</v>
      </c>
      <c r="B27" s="135">
        <f>'Process calc'!F174</f>
        <v>14.183333333333366</v>
      </c>
      <c r="C27" s="46">
        <f>'Process calc'!I174</f>
        <v>598.38279686560861</v>
      </c>
      <c r="D27" s="109">
        <f>AVERAGE('HPLC Data'!E66:E67)</f>
        <v>11.893049999999999</v>
      </c>
      <c r="E27" s="46">
        <v>0</v>
      </c>
      <c r="F27" s="133">
        <f>AVERAGE('Raw DCW'!G25:G27)</f>
        <v>27.650000000000002</v>
      </c>
      <c r="G27" s="109">
        <f>STDEV('Raw DCW'!G25:G27)</f>
        <v>0.45825756949558744</v>
      </c>
      <c r="H27" s="46">
        <f t="shared" si="4"/>
        <v>16.545284333334077</v>
      </c>
      <c r="I27" s="46">
        <f t="shared" si="5"/>
        <v>7.1165965222625251</v>
      </c>
      <c r="J27" s="288"/>
      <c r="K27" s="288"/>
      <c r="L27" s="288"/>
      <c r="M27" s="288"/>
      <c r="N27" s="79">
        <f t="shared" si="6"/>
        <v>0.3833889272581934</v>
      </c>
      <c r="O27" s="288"/>
      <c r="S27" s="5" t="s">
        <v>165</v>
      </c>
      <c r="T27" s="130">
        <f>'Raw DO600'!E68</f>
        <v>0.42499999999999999</v>
      </c>
      <c r="U27" s="81">
        <f>'Raw DO600'!E69</f>
        <v>0.42299999999999999</v>
      </c>
      <c r="V27" s="81">
        <f>'Raw DO600'!E70</f>
        <v>0.43</v>
      </c>
      <c r="W27" s="81">
        <f t="shared" si="7"/>
        <v>0.42599999999999999</v>
      </c>
      <c r="X27" s="81">
        <f t="shared" si="8"/>
        <v>3.6055512754639926E-3</v>
      </c>
      <c r="AK27" s="154"/>
    </row>
    <row r="28" spans="1:37" x14ac:dyDescent="0.3">
      <c r="A28" s="208" t="s">
        <v>167</v>
      </c>
      <c r="B28" s="135">
        <f>'Process calc'!F234</f>
        <v>19.183333333333334</v>
      </c>
      <c r="C28" s="46">
        <f>'Process calc'!I234</f>
        <v>625.64627323256582</v>
      </c>
      <c r="D28" s="109">
        <f>AVERAGE('HPLC Data'!E70:E71)</f>
        <v>15.295</v>
      </c>
      <c r="E28" s="46">
        <v>0</v>
      </c>
      <c r="F28" s="132">
        <f t="shared" ref="F28:F29" si="9">$AA$24*W28*200</f>
        <v>30.707195915510706</v>
      </c>
      <c r="G28" s="109">
        <f>F28*SQRT(($AA$25/$AA$24)^2+(X28/W28)^2)</f>
        <v>0.4358074811047139</v>
      </c>
      <c r="H28" s="46">
        <f t="shared" si="4"/>
        <v>19.211842685961539</v>
      </c>
      <c r="I28" s="46">
        <f t="shared" si="5"/>
        <v>9.5692597490920939</v>
      </c>
      <c r="J28" s="288"/>
      <c r="K28" s="288"/>
      <c r="L28" s="288"/>
      <c r="M28" s="288"/>
      <c r="N28" s="79">
        <f t="shared" si="6"/>
        <v>0.53281469602567966</v>
      </c>
      <c r="O28" s="288"/>
      <c r="S28" s="5" t="s">
        <v>167</v>
      </c>
      <c r="T28" s="130">
        <f>'Raw DO600'!E74</f>
        <v>0.46400000000000002</v>
      </c>
      <c r="U28" s="81">
        <f>'Raw DO600'!E75</f>
        <v>0.45400000000000001</v>
      </c>
      <c r="V28" s="81">
        <f>'Raw DO600'!E76</f>
        <v>0.46500000000000002</v>
      </c>
      <c r="W28" s="81">
        <f t="shared" si="7"/>
        <v>0.46100000000000002</v>
      </c>
      <c r="X28" s="81">
        <f t="shared" si="8"/>
        <v>6.0827625302982248E-3</v>
      </c>
      <c r="AK28" s="154"/>
    </row>
    <row r="29" spans="1:37" x14ac:dyDescent="0.3">
      <c r="A29" s="208" t="s">
        <v>169</v>
      </c>
      <c r="B29" s="135">
        <f>'Process calc'!F293</f>
        <v>24.09999999999993</v>
      </c>
      <c r="C29" s="46">
        <f>'Process calc'!I293</f>
        <v>656.75411231530768</v>
      </c>
      <c r="D29" s="109">
        <f>AVERAGE('HPLC Data'!E74:E75)</f>
        <v>18.659750000000003</v>
      </c>
      <c r="E29" s="46">
        <v>0</v>
      </c>
      <c r="F29" s="132">
        <f t="shared" si="9"/>
        <v>33.504814632325129</v>
      </c>
      <c r="G29" s="109">
        <f>F29*SQRT(($AA$25/$AA$24)^2+(X29/W29)^2)</f>
        <v>0.2484547490355398</v>
      </c>
      <c r="H29" s="46">
        <f t="shared" si="4"/>
        <v>22.00442479214162</v>
      </c>
      <c r="I29" s="46">
        <f t="shared" si="5"/>
        <v>12.254867547275564</v>
      </c>
      <c r="J29" s="288"/>
      <c r="K29" s="288"/>
      <c r="L29" s="288"/>
      <c r="M29" s="288"/>
      <c r="N29" s="79">
        <f t="shared" si="6"/>
        <v>0.66853136062896579</v>
      </c>
      <c r="O29" s="288"/>
      <c r="S29" s="5" t="s">
        <v>169</v>
      </c>
      <c r="T29" s="130">
        <f>'Raw DO600'!E80</f>
        <v>0.50600000000000001</v>
      </c>
      <c r="U29" s="81">
        <f>'Raw DO600'!E81</f>
        <v>0.502</v>
      </c>
      <c r="V29" s="81">
        <f>'Raw DO600'!E82</f>
        <v>0.501</v>
      </c>
      <c r="W29" s="81">
        <f t="shared" si="7"/>
        <v>0.503</v>
      </c>
      <c r="X29" s="81">
        <f t="shared" si="8"/>
        <v>2.6457513110645929E-3</v>
      </c>
      <c r="AK29" s="154"/>
    </row>
    <row r="30" spans="1:37" x14ac:dyDescent="0.3">
      <c r="A30" s="208" t="s">
        <v>171</v>
      </c>
      <c r="B30" s="135">
        <f>'Process calc'!F408</f>
        <v>33.683333333333202</v>
      </c>
      <c r="C30" s="46">
        <f>'Process calc'!I408</f>
        <v>732.31130039825086</v>
      </c>
      <c r="D30" s="109">
        <f>AVERAGE('HPLC Data'!E78:E79)</f>
        <v>24.98535</v>
      </c>
      <c r="E30" s="46">
        <v>0</v>
      </c>
      <c r="F30" s="133">
        <f>AVERAGE('Raw DCW'!G31:G33)</f>
        <v>38.6</v>
      </c>
      <c r="G30" s="109">
        <f>STDEV('Raw DCW'!G31:G33)</f>
        <v>0.31224989991991808</v>
      </c>
      <c r="H30" s="46">
        <f t="shared" si="4"/>
        <v>28.267216195372484</v>
      </c>
      <c r="I30" s="46">
        <f t="shared" si="5"/>
        <v>18.297054149405437</v>
      </c>
      <c r="J30" s="288"/>
      <c r="K30" s="288"/>
      <c r="L30" s="288"/>
      <c r="M30" s="288"/>
      <c r="N30" s="79">
        <f t="shared" si="6"/>
        <v>0.91899049539323108</v>
      </c>
      <c r="O30" s="288"/>
      <c r="S30" s="5" t="s">
        <v>171</v>
      </c>
      <c r="T30" s="130">
        <f>'Raw DO600'!E86</f>
        <v>0.57699999999999996</v>
      </c>
      <c r="U30" s="81">
        <f>'Raw DO600'!E87</f>
        <v>0.58599999999999997</v>
      </c>
      <c r="V30" s="81">
        <f>'Raw DO600'!E88</f>
        <v>0.58699999999999997</v>
      </c>
      <c r="W30" s="81">
        <f t="shared" si="7"/>
        <v>0.58333333333333326</v>
      </c>
      <c r="X30" s="81">
        <f t="shared" si="8"/>
        <v>5.5075705472861069E-3</v>
      </c>
      <c r="AK30" s="154"/>
    </row>
    <row r="31" spans="1:37" x14ac:dyDescent="0.3">
      <c r="A31" s="208" t="s">
        <v>173</v>
      </c>
      <c r="B31" s="135">
        <f>'Process calc'!F442</f>
        <v>36.516666666666616</v>
      </c>
      <c r="C31" s="46">
        <f>'Process calc'!I442</f>
        <v>759.13880375907229</v>
      </c>
      <c r="D31" s="109">
        <f>AVERAGE('HPLC Data'!E82:E83)</f>
        <v>26.237299999999998</v>
      </c>
      <c r="E31" s="46">
        <v>0</v>
      </c>
      <c r="F31" s="132">
        <f>$AA$24*W31*200</f>
        <v>41.631230904976555</v>
      </c>
      <c r="G31" s="109">
        <f>F31*SQRT(($AA$25/$AA$24)^2+(X31/W31)^2)</f>
        <v>0.56391888056062978</v>
      </c>
      <c r="H31" s="46">
        <f t="shared" si="4"/>
        <v>31.603882828221622</v>
      </c>
      <c r="I31" s="46">
        <f t="shared" si="5"/>
        <v>19.917752535867905</v>
      </c>
      <c r="J31" s="288"/>
      <c r="K31" s="288"/>
      <c r="L31" s="288"/>
      <c r="M31" s="288"/>
      <c r="N31" s="79">
        <f t="shared" si="6"/>
        <v>1.0305677879336759</v>
      </c>
      <c r="O31" s="288"/>
      <c r="S31" s="5" t="s">
        <v>173</v>
      </c>
      <c r="T31" s="130">
        <f>'Raw DO600'!E92</f>
        <v>0.61599999999999999</v>
      </c>
      <c r="U31" s="81">
        <f>'Raw DO600'!E93</f>
        <v>0.63</v>
      </c>
      <c r="V31" s="81">
        <f>'Raw DO600'!E94</f>
        <v>0.629</v>
      </c>
      <c r="W31" s="81">
        <f t="shared" si="7"/>
        <v>0.625</v>
      </c>
      <c r="X31" s="81">
        <f t="shared" si="8"/>
        <v>7.8102496759066614E-3</v>
      </c>
      <c r="AK31" s="154"/>
    </row>
    <row r="32" spans="1:37" ht="15" thickBot="1" x14ac:dyDescent="0.35">
      <c r="A32" s="201" t="s">
        <v>175</v>
      </c>
      <c r="B32" s="136">
        <f>'Process calc'!F475</f>
        <v>39.266666666666694</v>
      </c>
      <c r="C32" s="47">
        <f>'Process calc'!I476</f>
        <v>788.3463645249077</v>
      </c>
      <c r="D32" s="110">
        <f>AVERAGE('HPLC Data'!E86:E87)</f>
        <v>27.103299999999997</v>
      </c>
      <c r="E32" s="110">
        <f>AVERAGE('HPLC Data'!V86:V87)</f>
        <v>1.8971</v>
      </c>
      <c r="F32" s="134">
        <f>AVERAGE('Raw DCW'!G37:G39)</f>
        <v>41.983333333333327</v>
      </c>
      <c r="G32" s="110">
        <f>STDEV('Raw DCW'!G37:G39)</f>
        <v>0.1154700538379268</v>
      </c>
      <c r="H32" s="47">
        <f t="shared" si="4"/>
        <v>33.097408203970701</v>
      </c>
      <c r="I32" s="47">
        <f t="shared" si="5"/>
        <v>21.366788021627929</v>
      </c>
      <c r="J32" s="289"/>
      <c r="K32" s="289"/>
      <c r="L32" s="289"/>
      <c r="M32" s="289"/>
      <c r="N32" s="80">
        <f t="shared" si="6"/>
        <v>1.0767427779008416</v>
      </c>
      <c r="O32" s="289"/>
      <c r="S32" s="7" t="s">
        <v>175</v>
      </c>
      <c r="T32" s="131">
        <f>'Raw DO600'!E98</f>
        <v>0.63800000000000001</v>
      </c>
      <c r="U32" s="82">
        <f>'Raw DO600'!E99</f>
        <v>0.67300000000000004</v>
      </c>
      <c r="V32" s="82">
        <f>'Raw DO600'!E100</f>
        <v>0.65900000000000003</v>
      </c>
      <c r="W32" s="82">
        <f t="shared" si="7"/>
        <v>0.65666666666666662</v>
      </c>
      <c r="X32" s="82">
        <f t="shared" si="8"/>
        <v>1.7616280348965098E-2</v>
      </c>
      <c r="AK32" s="154"/>
    </row>
    <row r="33" spans="1:37" x14ac:dyDescent="0.3">
      <c r="A33" s="203"/>
      <c r="B33" s="8"/>
      <c r="C33" s="194"/>
      <c r="D33" s="194"/>
      <c r="E33" s="194"/>
      <c r="AK33" s="154"/>
    </row>
    <row r="34" spans="1:37" ht="15" thickBot="1" x14ac:dyDescent="0.35">
      <c r="A34" s="153"/>
      <c r="AK34" s="154"/>
    </row>
    <row r="35" spans="1:37" ht="15" thickBot="1" x14ac:dyDescent="0.35">
      <c r="A35" s="153"/>
      <c r="B35" s="331" t="s">
        <v>292</v>
      </c>
      <c r="C35" s="332"/>
      <c r="D35" s="332"/>
      <c r="E35" s="332"/>
      <c r="F35" s="332"/>
      <c r="G35" s="332"/>
      <c r="H35" s="332"/>
      <c r="I35" s="332"/>
      <c r="J35" s="332"/>
      <c r="K35" s="332"/>
      <c r="L35" s="332"/>
      <c r="M35" s="332"/>
      <c r="N35" s="332"/>
      <c r="O35" s="333"/>
      <c r="AK35" s="154"/>
    </row>
    <row r="36" spans="1:37" ht="15" thickBot="1" x14ac:dyDescent="0.35">
      <c r="A36" s="168" t="s">
        <v>1</v>
      </c>
      <c r="B36" s="74" t="s">
        <v>71</v>
      </c>
      <c r="C36" s="74" t="s">
        <v>8</v>
      </c>
      <c r="D36" s="74" t="s">
        <v>111</v>
      </c>
      <c r="E36" s="74" t="s">
        <v>184</v>
      </c>
      <c r="F36" s="74" t="s">
        <v>112</v>
      </c>
      <c r="G36" s="74" t="s">
        <v>134</v>
      </c>
      <c r="H36" s="74" t="s">
        <v>106</v>
      </c>
      <c r="I36" s="74" t="s">
        <v>107</v>
      </c>
      <c r="J36" s="1" t="s">
        <v>129</v>
      </c>
      <c r="K36" s="1" t="s">
        <v>130</v>
      </c>
      <c r="L36" s="1" t="s">
        <v>131</v>
      </c>
      <c r="M36" s="1" t="s">
        <v>132</v>
      </c>
      <c r="N36" s="1" t="s">
        <v>133</v>
      </c>
      <c r="O36" s="75" t="s">
        <v>110</v>
      </c>
      <c r="S36" s="48" t="s">
        <v>1</v>
      </c>
      <c r="T36" s="1" t="s">
        <v>103</v>
      </c>
      <c r="U36" s="1" t="s">
        <v>104</v>
      </c>
      <c r="V36" s="1" t="s">
        <v>105</v>
      </c>
      <c r="W36" s="1" t="s">
        <v>5</v>
      </c>
      <c r="X36" s="1" t="s">
        <v>114</v>
      </c>
      <c r="AK36" s="154"/>
    </row>
    <row r="37" spans="1:37" x14ac:dyDescent="0.3">
      <c r="A37" s="199" t="s">
        <v>162</v>
      </c>
      <c r="B37" s="135">
        <v>0</v>
      </c>
      <c r="C37" s="46">
        <v>540</v>
      </c>
      <c r="D37" s="109">
        <f>AVERAGE('HPLC Data'!E60:E61)</f>
        <v>5.7562499999999996</v>
      </c>
      <c r="E37" s="46">
        <v>0</v>
      </c>
      <c r="F37" s="132">
        <f>$AA$24*W37*100</f>
        <v>20.382650651076521</v>
      </c>
      <c r="G37" s="109">
        <f t="shared" ref="G37:G38" si="10">F37*SQRT(($AA$25/$AA$24)^2+(X37/W37)^2)</f>
        <v>0.12115645381523252</v>
      </c>
      <c r="H37" s="73">
        <f t="shared" ref="H37:H44" si="11">(C37/1000)*F37</f>
        <v>11.006631351581321</v>
      </c>
      <c r="I37" s="73">
        <f t="shared" ref="I37:I44" si="12">(C37/1000)*D37</f>
        <v>3.1083750000000001</v>
      </c>
      <c r="J37" s="287">
        <f>SLOPE(H37:H44,M49:M56)</f>
        <v>0.227371561725694</v>
      </c>
      <c r="K37" s="287">
        <f>SLOPE(I37:I44,M49:M56)</f>
        <v>0.19340355701590634</v>
      </c>
      <c r="L37" s="287">
        <f>K37*(32.04/90.08)*3</f>
        <v>0.20637155750853595</v>
      </c>
      <c r="M37" s="287">
        <f>SLOPE(I37:I44,H37:H44)</f>
        <v>0.84765098467335165</v>
      </c>
      <c r="N37" s="83">
        <f t="shared" ref="N37:N44" si="13">LN((F37*C37)/($F$37*$C$37))</f>
        <v>0</v>
      </c>
      <c r="O37" s="287">
        <f>SLOPE(N37:N44,B37:B44)</f>
        <v>2.7913125808582333E-2</v>
      </c>
      <c r="S37" s="3" t="s">
        <v>162</v>
      </c>
      <c r="T37" s="130">
        <f>'Raw DO600'!E59</f>
        <v>0.61299999999999999</v>
      </c>
      <c r="U37" s="81">
        <f>'Raw DO600'!E60</f>
        <v>0.61</v>
      </c>
      <c r="V37" s="81">
        <f>'Raw DO600'!E61</f>
        <v>0.61299999999999999</v>
      </c>
      <c r="W37" s="81">
        <f>AVERAGE(T37:V37)</f>
        <v>0.61199999999999999</v>
      </c>
      <c r="X37" s="81">
        <f>STDEV(T37:V37)</f>
        <v>1.7320508075688791E-3</v>
      </c>
      <c r="AK37" s="154"/>
    </row>
    <row r="38" spans="1:37" x14ac:dyDescent="0.3">
      <c r="A38" s="208" t="s">
        <v>164</v>
      </c>
      <c r="B38" s="135">
        <v>9.6833333333333336</v>
      </c>
      <c r="C38" s="46">
        <v>577.10829278555047</v>
      </c>
      <c r="D38" s="109">
        <f>AVERAGE('HPLC Data'!E64:E65)</f>
        <v>8.6370500000000003</v>
      </c>
      <c r="E38" s="46">
        <v>0</v>
      </c>
      <c r="F38" s="132">
        <f>$AA$24*W38*200</f>
        <v>26.755004394931596</v>
      </c>
      <c r="G38" s="109">
        <f t="shared" si="10"/>
        <v>0.87799279485125425</v>
      </c>
      <c r="H38" s="46">
        <f t="shared" si="11"/>
        <v>15.440534909828871</v>
      </c>
      <c r="I38" s="46">
        <f t="shared" si="12"/>
        <v>4.9845131802034386</v>
      </c>
      <c r="J38" s="288"/>
      <c r="K38" s="288"/>
      <c r="L38" s="288"/>
      <c r="M38" s="288"/>
      <c r="N38" s="79">
        <f t="shared" si="13"/>
        <v>0.33849824711451743</v>
      </c>
      <c r="O38" s="288"/>
      <c r="S38" s="5" t="s">
        <v>164</v>
      </c>
      <c r="T38" s="130">
        <f>'Raw DO600'!E65</f>
        <v>0.40100000000000002</v>
      </c>
      <c r="U38" s="81">
        <f>'Raw DO600'!E66</f>
        <v>0.41499999999999998</v>
      </c>
      <c r="V38" s="81">
        <f>'Raw DO600'!E67</f>
        <v>0.38900000000000001</v>
      </c>
      <c r="W38" s="81">
        <f t="shared" ref="W38:W44" si="14">AVERAGE(T38:V38)</f>
        <v>0.40166666666666667</v>
      </c>
      <c r="X38" s="81">
        <f t="shared" ref="X38:X44" si="15">STDEV(T38:V38)</f>
        <v>1.3012814197295407E-2</v>
      </c>
      <c r="AK38" s="154"/>
    </row>
    <row r="39" spans="1:37" x14ac:dyDescent="0.3">
      <c r="A39" s="208" t="s">
        <v>166</v>
      </c>
      <c r="B39" s="135">
        <v>14.183333333333366</v>
      </c>
      <c r="C39" s="46">
        <v>598.38279686560861</v>
      </c>
      <c r="D39" s="109">
        <f>AVERAGE('HPLC Data'!E68:E69)</f>
        <v>11.74335</v>
      </c>
      <c r="E39" s="46">
        <v>0</v>
      </c>
      <c r="F39" s="133">
        <f>AVERAGE('Raw DCW'!G28:G30)</f>
        <v>27.766666666666666</v>
      </c>
      <c r="G39" s="109">
        <f>STDEV('Raw DCW'!G28:G30)</f>
        <v>0.40722639076235517</v>
      </c>
      <c r="H39" s="46">
        <f t="shared" si="11"/>
        <v>16.615095659635063</v>
      </c>
      <c r="I39" s="46">
        <f t="shared" si="12"/>
        <v>7.027018617571744</v>
      </c>
      <c r="J39" s="288"/>
      <c r="K39" s="288"/>
      <c r="L39" s="288"/>
      <c r="M39" s="288"/>
      <c r="N39" s="79">
        <f t="shared" si="13"/>
        <v>0.41181371791513161</v>
      </c>
      <c r="O39" s="288"/>
      <c r="S39" s="5" t="s">
        <v>166</v>
      </c>
      <c r="T39" s="130">
        <f>'Raw DO600'!E71</f>
        <v>0.42399999999999999</v>
      </c>
      <c r="U39" s="81">
        <f>'Raw DO600'!E72</f>
        <v>0.42099999999999999</v>
      </c>
      <c r="V39" s="81">
        <f>'Raw DO600'!E73</f>
        <v>0.42599999999999999</v>
      </c>
      <c r="W39" s="81">
        <f t="shared" si="14"/>
        <v>0.42366666666666664</v>
      </c>
      <c r="X39" s="81">
        <f t="shared" si="15"/>
        <v>2.5166114784235852E-3</v>
      </c>
      <c r="AK39" s="154"/>
    </row>
    <row r="40" spans="1:37" x14ac:dyDescent="0.3">
      <c r="A40" s="208" t="s">
        <v>168</v>
      </c>
      <c r="B40" s="135">
        <v>19.183333333333334</v>
      </c>
      <c r="C40" s="46">
        <v>625.64627323256582</v>
      </c>
      <c r="D40" s="109">
        <f>AVERAGE('HPLC Data'!E72:E73)</f>
        <v>15.171150000000001</v>
      </c>
      <c r="E40" s="46">
        <v>0</v>
      </c>
      <c r="F40" s="132">
        <f t="shared" ref="F40:F41" si="16">$AA$24*W40*200</f>
        <v>30.995839116451872</v>
      </c>
      <c r="G40" s="109">
        <f t="shared" ref="G40:G41" si="17">F40*SQRT(($AA$25/$AA$24)^2+(X40/W40)^2)</f>
        <v>0.81919329191446677</v>
      </c>
      <c r="H40" s="46">
        <f t="shared" si="11"/>
        <v>19.392431228924298</v>
      </c>
      <c r="I40" s="46">
        <f t="shared" si="12"/>
        <v>9.4917734581522417</v>
      </c>
      <c r="J40" s="288"/>
      <c r="K40" s="288"/>
      <c r="L40" s="288"/>
      <c r="M40" s="288"/>
      <c r="N40" s="79">
        <f t="shared" si="13"/>
        <v>0.56638490580383372</v>
      </c>
      <c r="O40" s="288"/>
      <c r="S40" s="5" t="s">
        <v>168</v>
      </c>
      <c r="T40" s="130">
        <f>'Raw DO600'!E77</f>
        <v>0.47799999999999998</v>
      </c>
      <c r="U40" s="81">
        <f>'Raw DO600'!E78</f>
        <v>0.45400000000000001</v>
      </c>
      <c r="V40" s="81">
        <f>'Raw DO600'!E79</f>
        <v>0.46400000000000002</v>
      </c>
      <c r="W40" s="81">
        <f t="shared" si="14"/>
        <v>0.46533333333333332</v>
      </c>
      <c r="X40" s="81">
        <f t="shared" si="15"/>
        <v>1.2055427546683399E-2</v>
      </c>
      <c r="AK40" s="154"/>
    </row>
    <row r="41" spans="1:37" x14ac:dyDescent="0.3">
      <c r="A41" s="208" t="s">
        <v>170</v>
      </c>
      <c r="B41" s="135">
        <v>24.09999999999993</v>
      </c>
      <c r="C41" s="46">
        <v>656.75411231530768</v>
      </c>
      <c r="D41" s="109">
        <f>AVERAGE('HPLC Data'!E76:E77)</f>
        <v>18.529400000000003</v>
      </c>
      <c r="E41" s="46">
        <v>0</v>
      </c>
      <c r="F41" s="132">
        <f t="shared" si="16"/>
        <v>33.726847863818342</v>
      </c>
      <c r="G41" s="109">
        <f t="shared" si="17"/>
        <v>0.20354888030233387</v>
      </c>
      <c r="H41" s="46">
        <f t="shared" si="11"/>
        <v>22.150246029995447</v>
      </c>
      <c r="I41" s="46">
        <f t="shared" si="12"/>
        <v>12.169259648735263</v>
      </c>
      <c r="J41" s="288"/>
      <c r="K41" s="288"/>
      <c r="L41" s="288"/>
      <c r="M41" s="288"/>
      <c r="N41" s="79">
        <f t="shared" si="13"/>
        <v>0.69935066257748468</v>
      </c>
      <c r="O41" s="288"/>
      <c r="S41" s="5" t="s">
        <v>170</v>
      </c>
      <c r="T41" s="130">
        <f>'Raw DO600'!E83</f>
        <v>0.505</v>
      </c>
      <c r="U41" s="81">
        <f>'Raw DO600'!E84</f>
        <v>0.50600000000000001</v>
      </c>
      <c r="V41" s="81">
        <f>'Raw DO600'!E85</f>
        <v>0.50800000000000001</v>
      </c>
      <c r="W41" s="81">
        <f t="shared" si="14"/>
        <v>0.50633333333333341</v>
      </c>
      <c r="X41" s="81">
        <f t="shared" si="15"/>
        <v>1.5275252316519479E-3</v>
      </c>
      <c r="AK41" s="154"/>
    </row>
    <row r="42" spans="1:37" x14ac:dyDescent="0.3">
      <c r="A42" s="208" t="s">
        <v>172</v>
      </c>
      <c r="B42" s="135">
        <v>33.683333333333202</v>
      </c>
      <c r="C42" s="46">
        <v>732.31130039825086</v>
      </c>
      <c r="D42" s="109">
        <f>AVERAGE('HPLC Data'!E80:E81)</f>
        <v>24.867350000000002</v>
      </c>
      <c r="E42" s="46">
        <v>0</v>
      </c>
      <c r="F42" s="133">
        <f>AVERAGE('Raw DCW'!G34:G36)</f>
        <v>38.81666666666667</v>
      </c>
      <c r="G42" s="109">
        <f>STDEV('Raw DCW'!G34:G36)</f>
        <v>0.27537852736430579</v>
      </c>
      <c r="H42" s="46">
        <f t="shared" si="11"/>
        <v>28.425883643792108</v>
      </c>
      <c r="I42" s="46">
        <f t="shared" si="12"/>
        <v>18.210641415958445</v>
      </c>
      <c r="J42" s="288"/>
      <c r="K42" s="288"/>
      <c r="L42" s="288"/>
      <c r="M42" s="288"/>
      <c r="N42" s="79">
        <f t="shared" si="13"/>
        <v>0.94880218470528088</v>
      </c>
      <c r="O42" s="288"/>
      <c r="S42" s="5" t="s">
        <v>172</v>
      </c>
      <c r="T42" s="130">
        <f>'Raw DO600'!E89</f>
        <v>0.57999999999999996</v>
      </c>
      <c r="U42" s="81">
        <f>'Raw DO600'!E90</f>
        <v>0.58199999999999996</v>
      </c>
      <c r="V42" s="81">
        <f>'Raw DO600'!E91</f>
        <v>0.58899999999999997</v>
      </c>
      <c r="W42" s="81">
        <f t="shared" si="14"/>
        <v>0.58366666666666667</v>
      </c>
      <c r="X42" s="81">
        <f t="shared" si="15"/>
        <v>4.7258156262526127E-3</v>
      </c>
      <c r="AK42" s="154"/>
    </row>
    <row r="43" spans="1:37" x14ac:dyDescent="0.3">
      <c r="A43" s="208" t="s">
        <v>174</v>
      </c>
      <c r="B43" s="135">
        <v>36.516666666666616</v>
      </c>
      <c r="C43" s="46">
        <v>759.13880375907229</v>
      </c>
      <c r="D43" s="109">
        <f>AVERAGE('HPLC Data'!E84:E85)</f>
        <v>25.936150000000001</v>
      </c>
      <c r="E43" s="46">
        <v>0</v>
      </c>
      <c r="F43" s="132">
        <f>$AA$24*W43*200</f>
        <v>41.609027581827227</v>
      </c>
      <c r="G43" s="109">
        <f>F43*SQRT(($AA$25/$AA$24)^2+(X43/W43)^2)</f>
        <v>0.34608237078155879</v>
      </c>
      <c r="H43" s="46">
        <f t="shared" si="11"/>
        <v>31.587027424046564</v>
      </c>
      <c r="I43" s="46">
        <f t="shared" si="12"/>
        <v>19.689137885115862</v>
      </c>
      <c r="J43" s="288"/>
      <c r="K43" s="288"/>
      <c r="L43" s="288"/>
      <c r="M43" s="288"/>
      <c r="N43" s="79">
        <f t="shared" si="13"/>
        <v>1.0542485704481266</v>
      </c>
      <c r="O43" s="288"/>
      <c r="S43" s="5" t="s">
        <v>174</v>
      </c>
      <c r="T43" s="130">
        <f>'Raw DO600'!E95</f>
        <v>0.627</v>
      </c>
      <c r="U43" s="81">
        <f>'Raw DO600'!E96</f>
        <v>0.627</v>
      </c>
      <c r="V43" s="81">
        <f>'Raw DO600'!E97</f>
        <v>0.62</v>
      </c>
      <c r="W43" s="81">
        <f t="shared" si="14"/>
        <v>0.6246666666666667</v>
      </c>
      <c r="X43" s="81">
        <f t="shared" si="15"/>
        <v>4.0414518843273836E-3</v>
      </c>
      <c r="AK43" s="154"/>
    </row>
    <row r="44" spans="1:37" ht="15" thickBot="1" x14ac:dyDescent="0.35">
      <c r="A44" s="201" t="s">
        <v>176</v>
      </c>
      <c r="B44" s="136">
        <v>39.266666666666694</v>
      </c>
      <c r="C44" s="47">
        <v>788.3463645249077</v>
      </c>
      <c r="D44" s="110">
        <f>AVERAGE('HPLC Data'!E88:E89)</f>
        <v>26.824199999999998</v>
      </c>
      <c r="E44" s="110">
        <f>AVERAGE('HPLC Data'!V88:V89)</f>
        <v>1.4237000000000002</v>
      </c>
      <c r="F44" s="134">
        <f>AVERAGE('Raw DCW'!G40:G42)</f>
        <v>42.766666666666659</v>
      </c>
      <c r="G44" s="110">
        <f>STDEV('Raw DCW'!G40:G42)</f>
        <v>0.18929694486000648</v>
      </c>
      <c r="H44" s="47">
        <f t="shared" si="11"/>
        <v>33.71494618951521</v>
      </c>
      <c r="I44" s="47">
        <f t="shared" si="12"/>
        <v>21.146760551289027</v>
      </c>
      <c r="J44" s="289"/>
      <c r="K44" s="289"/>
      <c r="L44" s="289"/>
      <c r="M44" s="289"/>
      <c r="N44" s="80">
        <f t="shared" si="13"/>
        <v>1.1194433048444075</v>
      </c>
      <c r="O44" s="289"/>
      <c r="S44" s="7" t="s">
        <v>176</v>
      </c>
      <c r="T44" s="131">
        <f>'Raw DO600'!E101</f>
        <v>0.63800000000000001</v>
      </c>
      <c r="U44" s="82">
        <f>'Raw DO600'!E102</f>
        <v>0.64600000000000002</v>
      </c>
      <c r="V44" s="82">
        <f>'Raw DO600'!E103</f>
        <v>0.64100000000000001</v>
      </c>
      <c r="W44" s="82">
        <f t="shared" si="14"/>
        <v>0.64166666666666672</v>
      </c>
      <c r="X44" s="82">
        <f t="shared" si="15"/>
        <v>4.0414518843273836E-3</v>
      </c>
      <c r="AK44" s="154"/>
    </row>
    <row r="45" spans="1:37" x14ac:dyDescent="0.3">
      <c r="A45" s="153"/>
      <c r="AK45" s="154"/>
    </row>
    <row r="46" spans="1:37" ht="15" thickBot="1" x14ac:dyDescent="0.35">
      <c r="A46" s="153"/>
      <c r="AK46" s="154"/>
    </row>
    <row r="47" spans="1:37" ht="15" thickBot="1" x14ac:dyDescent="0.35">
      <c r="A47" s="153"/>
      <c r="B47" s="331" t="s">
        <v>183</v>
      </c>
      <c r="C47" s="332"/>
      <c r="D47" s="332"/>
      <c r="E47" s="332"/>
      <c r="F47" s="332"/>
      <c r="G47" s="332"/>
      <c r="H47" s="332"/>
      <c r="I47" s="332"/>
      <c r="J47" s="332"/>
      <c r="K47" s="332"/>
      <c r="L47" s="332"/>
      <c r="M47" s="333"/>
      <c r="AK47" s="154"/>
    </row>
    <row r="48" spans="1:37" ht="15" thickBot="1" x14ac:dyDescent="0.35">
      <c r="A48" s="168" t="s">
        <v>1</v>
      </c>
      <c r="B48" s="1" t="s">
        <v>71</v>
      </c>
      <c r="C48" s="1" t="s">
        <v>8</v>
      </c>
      <c r="D48" s="1" t="s">
        <v>111</v>
      </c>
      <c r="E48" s="1" t="s">
        <v>114</v>
      </c>
      <c r="F48" s="1" t="s">
        <v>269</v>
      </c>
      <c r="G48" s="1" t="s">
        <v>114</v>
      </c>
      <c r="H48" s="1" t="s">
        <v>113</v>
      </c>
      <c r="I48" s="1" t="s">
        <v>114</v>
      </c>
      <c r="J48" s="48" t="s">
        <v>270</v>
      </c>
      <c r="K48" s="1" t="s">
        <v>106</v>
      </c>
      <c r="L48" s="1" t="s">
        <v>107</v>
      </c>
      <c r="M48" s="1" t="s">
        <v>109</v>
      </c>
      <c r="AK48" s="154"/>
    </row>
    <row r="49" spans="1:37" x14ac:dyDescent="0.3">
      <c r="A49" s="209" t="s">
        <v>186</v>
      </c>
      <c r="B49" s="135">
        <v>0</v>
      </c>
      <c r="C49" s="46">
        <v>540</v>
      </c>
      <c r="D49" s="137">
        <f>AVERAGE('HPLC Data'!E58:E61)</f>
        <v>5.04345</v>
      </c>
      <c r="E49" s="46">
        <f>STDEV('HPLC Data'!E58:E61)</f>
        <v>0.82342548944435201</v>
      </c>
      <c r="F49" s="46">
        <v>0</v>
      </c>
      <c r="G49" s="46">
        <v>0</v>
      </c>
      <c r="H49" s="73">
        <f t="shared" ref="H49:H56" si="18">AVERAGE(F25,F37)</f>
        <v>20.632438036506379</v>
      </c>
      <c r="I49" s="73">
        <f t="shared" ref="I49:I56" si="19">H49*SQRT((G25/F25)^2+(G37/F37)^2)</f>
        <v>0.31499615424077987</v>
      </c>
      <c r="J49" s="73">
        <v>0</v>
      </c>
      <c r="K49" s="73">
        <f>(C49/1000)*H49</f>
        <v>11.141516539713445</v>
      </c>
      <c r="L49" s="73">
        <f>(C49/1000)*D49</f>
        <v>2.7234630000000002</v>
      </c>
      <c r="M49" s="73">
        <f>(C49/1000)*J49</f>
        <v>0</v>
      </c>
      <c r="AK49" s="154"/>
    </row>
    <row r="50" spans="1:37" x14ac:dyDescent="0.3">
      <c r="A50" s="210" t="s">
        <v>185</v>
      </c>
      <c r="B50" s="135">
        <v>9.6833333333333336</v>
      </c>
      <c r="C50" s="46">
        <v>577.10829278555047</v>
      </c>
      <c r="D50" s="109">
        <f>AVERAGE('HPLC Data'!E62:E65)</f>
        <v>8.6391000000000009</v>
      </c>
      <c r="E50" s="46">
        <f>STDEV('HPLC Data'!E62:E65)</f>
        <v>6.6293438589350898E-2</v>
      </c>
      <c r="F50" s="46">
        <v>0</v>
      </c>
      <c r="G50" s="46">
        <v>0</v>
      </c>
      <c r="H50" s="46">
        <f t="shared" si="18"/>
        <v>26.888224333827523</v>
      </c>
      <c r="I50" s="46">
        <f t="shared" si="19"/>
        <v>1.2150494518086736</v>
      </c>
      <c r="J50" s="46">
        <f>(C50-$C$49)*396/C50</f>
        <v>25.462957519029288</v>
      </c>
      <c r="K50" s="46">
        <f t="shared" ref="K50:K56" si="20">(C50/1000)*H50</f>
        <v>15.517417241330095</v>
      </c>
      <c r="L50" s="46">
        <f t="shared" ref="L50:L56" si="21">(C50/1000)*D50</f>
        <v>4.985696252203649</v>
      </c>
      <c r="M50" s="46">
        <f t="shared" ref="M50:M56" si="22">(C50/1000)*J50</f>
        <v>14.694883943077986</v>
      </c>
      <c r="AK50" s="154"/>
    </row>
    <row r="51" spans="1:37" x14ac:dyDescent="0.3">
      <c r="A51" s="210" t="s">
        <v>187</v>
      </c>
      <c r="B51" s="135">
        <v>14.183333333333366</v>
      </c>
      <c r="C51" s="46">
        <v>598.38279686560861</v>
      </c>
      <c r="D51" s="109">
        <f>AVERAGE('HPLC Data'!E66:E69)</f>
        <v>11.818199999999999</v>
      </c>
      <c r="E51" s="46">
        <f>STDEV('HPLC Data'!E66:E69)</f>
        <v>8.6926213921156639E-2</v>
      </c>
      <c r="F51" s="46">
        <v>0</v>
      </c>
      <c r="G51" s="46">
        <v>0</v>
      </c>
      <c r="H51" s="46">
        <f t="shared" si="18"/>
        <v>27.708333333333336</v>
      </c>
      <c r="I51" s="46">
        <f t="shared" si="19"/>
        <v>0.61320820050037061</v>
      </c>
      <c r="J51" s="46">
        <f t="shared" ref="J51:J56" si="23">(C51-$C$49)*396/C51</f>
        <v>38.636785148042051</v>
      </c>
      <c r="K51" s="46">
        <f t="shared" si="20"/>
        <v>16.580189996484574</v>
      </c>
      <c r="L51" s="46">
        <f t="shared" si="21"/>
        <v>7.0718075699171346</v>
      </c>
      <c r="M51" s="46">
        <f t="shared" si="22"/>
        <v>23.11958755878101</v>
      </c>
      <c r="AK51" s="154"/>
    </row>
    <row r="52" spans="1:37" x14ac:dyDescent="0.3">
      <c r="A52" s="210" t="s">
        <v>188</v>
      </c>
      <c r="B52" s="135">
        <v>19.183333333333334</v>
      </c>
      <c r="C52" s="46">
        <v>625.64627323256582</v>
      </c>
      <c r="D52" s="109">
        <f>AVERAGE('HPLC Data'!E70:E73)</f>
        <v>15.233074999999999</v>
      </c>
      <c r="E52" s="46">
        <f>STDEV('HPLC Data'!E70:E73)</f>
        <v>0.13078143025674593</v>
      </c>
      <c r="F52" s="46">
        <v>0</v>
      </c>
      <c r="G52" s="46">
        <v>0</v>
      </c>
      <c r="H52" s="46">
        <f t="shared" si="18"/>
        <v>30.851517515981289</v>
      </c>
      <c r="I52" s="46">
        <f t="shared" si="19"/>
        <v>0.92550557056611504</v>
      </c>
      <c r="J52" s="46">
        <f t="shared" si="23"/>
        <v>54.209424160493334</v>
      </c>
      <c r="K52" s="46">
        <f t="shared" si="20"/>
        <v>19.302136957442919</v>
      </c>
      <c r="L52" s="46">
        <f t="shared" si="21"/>
        <v>9.5305166036221678</v>
      </c>
      <c r="M52" s="46">
        <f t="shared" si="22"/>
        <v>33.915924200096072</v>
      </c>
      <c r="AK52" s="154"/>
    </row>
    <row r="53" spans="1:37" x14ac:dyDescent="0.3">
      <c r="A53" s="210" t="s">
        <v>189</v>
      </c>
      <c r="B53" s="135">
        <v>24.09999999999993</v>
      </c>
      <c r="C53" s="46">
        <v>656.75411231530768</v>
      </c>
      <c r="D53" s="109">
        <f>AVERAGE('HPLC Data'!E74:E77)</f>
        <v>18.594575000000003</v>
      </c>
      <c r="E53" s="46">
        <f>STDEV('HPLC Data'!E74:E77)</f>
        <v>9.3245317129958885E-2</v>
      </c>
      <c r="F53" s="46">
        <v>0</v>
      </c>
      <c r="G53" s="46">
        <v>0</v>
      </c>
      <c r="H53" s="46">
        <f t="shared" si="18"/>
        <v>33.615831248071736</v>
      </c>
      <c r="I53" s="46">
        <f t="shared" si="19"/>
        <v>0.32140216794269666</v>
      </c>
      <c r="J53" s="46">
        <f t="shared" si="23"/>
        <v>70.398688961180952</v>
      </c>
      <c r="K53" s="46">
        <f t="shared" si="20"/>
        <v>22.077335411068535</v>
      </c>
      <c r="L53" s="46">
        <f t="shared" si="21"/>
        <v>12.212063598005415</v>
      </c>
      <c r="M53" s="46">
        <f t="shared" si="22"/>
        <v>46.234628476861843</v>
      </c>
      <c r="AK53" s="154"/>
    </row>
    <row r="54" spans="1:37" x14ac:dyDescent="0.3">
      <c r="A54" s="210" t="s">
        <v>190</v>
      </c>
      <c r="B54" s="135">
        <v>33.683333333333202</v>
      </c>
      <c r="C54" s="46">
        <v>732.31130039825086</v>
      </c>
      <c r="D54" s="109">
        <f>AVERAGE('HPLC Data'!E78:E81)</f>
        <v>24.926349999999999</v>
      </c>
      <c r="E54" s="46">
        <f>STDEV('HPLC Data'!E78:E81)</f>
        <v>6.9940570010068787E-2</v>
      </c>
      <c r="F54" s="46">
        <v>0</v>
      </c>
      <c r="G54" s="46">
        <v>0</v>
      </c>
      <c r="H54" s="46">
        <f t="shared" si="18"/>
        <v>38.708333333333336</v>
      </c>
      <c r="I54" s="46">
        <f t="shared" si="19"/>
        <v>0.41648371599016154</v>
      </c>
      <c r="J54" s="46">
        <f t="shared" si="23"/>
        <v>103.99303536118045</v>
      </c>
      <c r="K54" s="46">
        <f t="shared" si="20"/>
        <v>28.346549919582294</v>
      </c>
      <c r="L54" s="46">
        <f t="shared" si="21"/>
        <v>18.253847782681941</v>
      </c>
      <c r="M54" s="46">
        <f t="shared" si="22"/>
        <v>76.155274957707334</v>
      </c>
      <c r="AK54" s="154"/>
    </row>
    <row r="55" spans="1:37" x14ac:dyDescent="0.3">
      <c r="A55" s="210" t="s">
        <v>191</v>
      </c>
      <c r="B55" s="135">
        <v>36.516666666666616</v>
      </c>
      <c r="C55" s="46">
        <v>759.13880375907229</v>
      </c>
      <c r="D55" s="109">
        <f>AVERAGE('HPLC Data'!E82:E85)</f>
        <v>26.086725000000001</v>
      </c>
      <c r="E55" s="46">
        <f>STDEV('HPLC Data'!E82:E85)</f>
        <v>0.31766309590507974</v>
      </c>
      <c r="F55" s="46">
        <v>0</v>
      </c>
      <c r="G55" s="46">
        <v>0</v>
      </c>
      <c r="H55" s="46">
        <f t="shared" si="18"/>
        <v>41.620129243401891</v>
      </c>
      <c r="I55" s="46">
        <f t="shared" si="19"/>
        <v>0.66156772365391958</v>
      </c>
      <c r="J55" s="46">
        <f t="shared" si="23"/>
        <v>114.31238379448411</v>
      </c>
      <c r="K55" s="46">
        <f t="shared" si="20"/>
        <v>31.595455126134095</v>
      </c>
      <c r="L55" s="46">
        <f t="shared" si="21"/>
        <v>19.803445210491887</v>
      </c>
      <c r="M55" s="46">
        <f t="shared" si="22"/>
        <v>86.778966288592628</v>
      </c>
      <c r="AK55" s="154"/>
    </row>
    <row r="56" spans="1:37" ht="15" thickBot="1" x14ac:dyDescent="0.35">
      <c r="A56" s="211" t="s">
        <v>192</v>
      </c>
      <c r="B56" s="136">
        <v>39.266666666666694</v>
      </c>
      <c r="C56" s="47">
        <v>788.3463645249077</v>
      </c>
      <c r="D56" s="110">
        <f>AVERAGE('HPLC Data'!E86:E89)</f>
        <v>26.963749999999997</v>
      </c>
      <c r="E56" s="47">
        <f>STDEV('HPLC Data'!E86:E89)</f>
        <v>0.38661872260234137</v>
      </c>
      <c r="F56" s="47">
        <f>AVERAGE('HPLC Data'!V86:V89)</f>
        <v>1.6603999999999999</v>
      </c>
      <c r="G56" s="47">
        <f>STDEV('HPLC Data'!V86:V89)</f>
        <v>0.27444706836352611</v>
      </c>
      <c r="H56" s="47">
        <f t="shared" si="18"/>
        <v>42.374999999999993</v>
      </c>
      <c r="I56" s="47">
        <f t="shared" si="19"/>
        <v>0.22082406844750532</v>
      </c>
      <c r="J56" s="47">
        <f t="shared" si="23"/>
        <v>124.74866984530408</v>
      </c>
      <c r="K56" s="47">
        <f t="shared" si="20"/>
        <v>33.406177196742959</v>
      </c>
      <c r="L56" s="47">
        <f t="shared" si="21"/>
        <v>21.256774286458477</v>
      </c>
      <c r="M56" s="47">
        <f t="shared" si="22"/>
        <v>98.345160351863456</v>
      </c>
      <c r="AK56" s="154"/>
    </row>
    <row r="57" spans="1:37" x14ac:dyDescent="0.3">
      <c r="A57" s="153"/>
      <c r="AK57" s="154"/>
    </row>
    <row r="58" spans="1:37" ht="15" thickBot="1" x14ac:dyDescent="0.35">
      <c r="A58" s="160"/>
      <c r="B58" s="161"/>
      <c r="C58" s="161"/>
      <c r="D58" s="212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4"/>
    </row>
    <row r="59" spans="1:37" ht="15.6" thickTop="1" thickBot="1" x14ac:dyDescent="0.35">
      <c r="A59" s="150"/>
      <c r="B59" s="151"/>
      <c r="C59" s="151"/>
      <c r="D59" s="151"/>
      <c r="E59" s="151"/>
      <c r="F59" s="22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1"/>
      <c r="AK59" s="152"/>
    </row>
    <row r="60" spans="1:37" x14ac:dyDescent="0.3">
      <c r="A60" s="153"/>
      <c r="B60" s="343" t="s">
        <v>359</v>
      </c>
      <c r="C60" s="344"/>
      <c r="AK60" s="154"/>
    </row>
    <row r="61" spans="1:37" x14ac:dyDescent="0.3">
      <c r="A61" s="153"/>
      <c r="B61" s="345"/>
      <c r="C61" s="346"/>
      <c r="AK61" s="154"/>
    </row>
    <row r="62" spans="1:37" ht="15" thickBot="1" x14ac:dyDescent="0.35">
      <c r="A62" s="153"/>
      <c r="B62" s="347"/>
      <c r="C62" s="348"/>
      <c r="AK62" s="154"/>
    </row>
    <row r="63" spans="1:37" x14ac:dyDescent="0.3">
      <c r="A63" s="153"/>
      <c r="AK63" s="154"/>
    </row>
    <row r="64" spans="1:37" ht="15" thickBot="1" x14ac:dyDescent="0.35">
      <c r="A64" s="153"/>
      <c r="AK64" s="154"/>
    </row>
    <row r="65" spans="1:37" ht="15" thickBot="1" x14ac:dyDescent="0.35">
      <c r="A65" s="153"/>
      <c r="B65" s="349" t="s">
        <v>372</v>
      </c>
      <c r="C65" s="350"/>
      <c r="D65" s="350"/>
      <c r="E65" s="350"/>
      <c r="F65" s="350"/>
      <c r="G65" s="350"/>
      <c r="H65" s="350"/>
      <c r="I65" s="350"/>
      <c r="J65" s="350"/>
      <c r="K65" s="350"/>
      <c r="L65" s="350"/>
      <c r="M65" s="350"/>
      <c r="N65" s="350"/>
      <c r="O65" s="350"/>
      <c r="P65" s="350"/>
      <c r="Q65" s="350"/>
      <c r="R65" s="350"/>
      <c r="S65" s="351"/>
      <c r="AA65" s="147" t="s">
        <v>373</v>
      </c>
      <c r="AK65" s="154"/>
    </row>
    <row r="66" spans="1:37" ht="15" thickBot="1" x14ac:dyDescent="0.35">
      <c r="A66" s="168" t="s">
        <v>1</v>
      </c>
      <c r="B66" s="74" t="s">
        <v>71</v>
      </c>
      <c r="C66" s="74" t="s">
        <v>8</v>
      </c>
      <c r="D66" s="74" t="s">
        <v>111</v>
      </c>
      <c r="E66" s="74" t="s">
        <v>114</v>
      </c>
      <c r="F66" s="74" t="s">
        <v>269</v>
      </c>
      <c r="G66" s="74" t="s">
        <v>114</v>
      </c>
      <c r="H66" s="74" t="s">
        <v>112</v>
      </c>
      <c r="I66" s="74" t="s">
        <v>134</v>
      </c>
      <c r="J66" s="1" t="s">
        <v>374</v>
      </c>
      <c r="K66" s="1" t="s">
        <v>375</v>
      </c>
      <c r="L66" s="1" t="s">
        <v>106</v>
      </c>
      <c r="M66" s="1" t="s">
        <v>107</v>
      </c>
      <c r="N66" s="1" t="s">
        <v>376</v>
      </c>
      <c r="O66" s="1" t="s">
        <v>129</v>
      </c>
      <c r="P66" s="1" t="s">
        <v>130</v>
      </c>
      <c r="Q66" s="1" t="s">
        <v>132</v>
      </c>
      <c r="R66" s="1" t="s">
        <v>133</v>
      </c>
      <c r="S66" s="75" t="s">
        <v>110</v>
      </c>
      <c r="W66" s="49" t="s">
        <v>1</v>
      </c>
      <c r="X66" s="49" t="s">
        <v>5</v>
      </c>
      <c r="Y66" s="49" t="s">
        <v>114</v>
      </c>
      <c r="AA66" s="69" t="s">
        <v>115</v>
      </c>
      <c r="AB66" s="217">
        <v>0.35290863020414126</v>
      </c>
      <c r="AK66" s="154"/>
    </row>
    <row r="67" spans="1:37" ht="15" thickBot="1" x14ac:dyDescent="0.35">
      <c r="A67" s="209" t="s">
        <v>377</v>
      </c>
      <c r="B67" s="213">
        <v>0</v>
      </c>
      <c r="C67" s="73">
        <v>540</v>
      </c>
      <c r="D67" s="73">
        <f>AVERAGE('HPLC Data'!E104:E106)</f>
        <v>3.3954</v>
      </c>
      <c r="E67" s="73">
        <f>STDEV('HPLC Data'!E104:E106)</f>
        <v>1.3859653675326829E-2</v>
      </c>
      <c r="F67" s="73">
        <v>0</v>
      </c>
      <c r="G67" s="73">
        <v>0</v>
      </c>
      <c r="H67" s="214">
        <f>$AB$66*X67*100</f>
        <v>19.233520346125697</v>
      </c>
      <c r="I67" s="137">
        <f>H67*SQRT(($AB$67/$AB$66)^2+(Y67/X67)^2)</f>
        <v>0.71370764987619062</v>
      </c>
      <c r="J67" s="73">
        <v>0</v>
      </c>
      <c r="K67" s="73">
        <f>J67-F67</f>
        <v>0</v>
      </c>
      <c r="L67" s="73">
        <f>(C67/1000)*H67</f>
        <v>10.386100986907877</v>
      </c>
      <c r="M67" s="73">
        <f>(C67/1000)*D67</f>
        <v>1.8335160000000001</v>
      </c>
      <c r="N67" s="73">
        <f>(C67/1000)*K67</f>
        <v>0</v>
      </c>
      <c r="O67" s="287">
        <f>SLOPE(L67:L73,N67:N73)</f>
        <v>0.20996356079704687</v>
      </c>
      <c r="P67" s="287">
        <f>SLOPE(M67:M73,N67:N73)</f>
        <v>0.12155944720350256</v>
      </c>
      <c r="Q67" s="287">
        <f>SLOPE(M67:M73,L67:L73)</f>
        <v>0.56884050463344338</v>
      </c>
      <c r="R67" s="218">
        <f>LN((H67*C67)/($H$67*$C$67))</f>
        <v>0</v>
      </c>
      <c r="S67" s="287">
        <f>SLOPE(R67:R73,B67:B73)</f>
        <v>2.6217610274570625E-2</v>
      </c>
      <c r="W67" s="73" t="s">
        <v>377</v>
      </c>
      <c r="X67" s="188">
        <v>0.54500000000000004</v>
      </c>
      <c r="Y67" s="188">
        <v>1.7521415467935193E-2</v>
      </c>
      <c r="AA67" s="69" t="s">
        <v>114</v>
      </c>
      <c r="AB67" s="217">
        <v>6.539604776445663E-3</v>
      </c>
      <c r="AK67" s="154"/>
    </row>
    <row r="68" spans="1:37" x14ac:dyDescent="0.3">
      <c r="A68" s="210" t="s">
        <v>378</v>
      </c>
      <c r="B68" s="187">
        <v>9.6</v>
      </c>
      <c r="C68" s="46">
        <v>576.74077504270701</v>
      </c>
      <c r="D68" s="46">
        <f>AVERAGE('HPLC Data'!E110:E112)</f>
        <v>4.9956666666666667</v>
      </c>
      <c r="E68" s="46">
        <f>STDEV('HPLC Data'!E110:E112)</f>
        <v>2.6967820329669549E-2</v>
      </c>
      <c r="F68" s="46">
        <v>0</v>
      </c>
      <c r="G68" s="46">
        <v>0</v>
      </c>
      <c r="H68" s="215">
        <f>$AB$66*X68*200</f>
        <v>25.574112068793436</v>
      </c>
      <c r="I68" s="109">
        <f t="shared" ref="I68:I72" si="24">H68*SQRT(($AB$67/$AB$66)^2+(Y68/X68)^2)</f>
        <v>0.57085951729118012</v>
      </c>
      <c r="J68" s="46">
        <f>(C68-$C$67)*396/C68</f>
        <v>25.226839416433865</v>
      </c>
      <c r="K68" s="46">
        <f t="shared" ref="K68:K73" si="25">J68-F68</f>
        <v>25.226839416433865</v>
      </c>
      <c r="L68" s="46">
        <f t="shared" ref="L68:L73" si="26">(C68/1000)*H68</f>
        <v>14.749633215584975</v>
      </c>
      <c r="M68" s="46">
        <f t="shared" ref="M68:M73" si="27">(C68/1000)*D68</f>
        <v>2.8812046651883501</v>
      </c>
      <c r="N68" s="46">
        <f t="shared" ref="N68:N73" si="28">(C68/1000)*K68</f>
        <v>14.549346916911979</v>
      </c>
      <c r="O68" s="288"/>
      <c r="P68" s="288"/>
      <c r="Q68" s="288"/>
      <c r="R68" s="219">
        <f t="shared" ref="R68:R73" si="29">LN((H68*C68)/($H$67*$C$67))</f>
        <v>0.35074974699303518</v>
      </c>
      <c r="S68" s="288"/>
      <c r="W68" s="46" t="s">
        <v>378</v>
      </c>
      <c r="X68" s="189">
        <v>0.36233333333333334</v>
      </c>
      <c r="Y68" s="189">
        <v>4.5092497528228985E-3</v>
      </c>
      <c r="AK68" s="154"/>
    </row>
    <row r="69" spans="1:37" ht="15" thickBot="1" x14ac:dyDescent="0.35">
      <c r="A69" s="210" t="s">
        <v>379</v>
      </c>
      <c r="B69" s="187">
        <v>14.183333333333366</v>
      </c>
      <c r="C69" s="46">
        <v>598.38279686560861</v>
      </c>
      <c r="D69" s="46">
        <f>AVERAGE('HPLC Data'!E116:E118)</f>
        <v>6.9579333333333331</v>
      </c>
      <c r="E69" s="46">
        <f>STDEV('HPLC Data'!E116:E118)</f>
        <v>4.2815573490651133E-2</v>
      </c>
      <c r="F69" s="46">
        <v>0</v>
      </c>
      <c r="G69" s="46">
        <v>0</v>
      </c>
      <c r="H69" s="215">
        <f t="shared" ref="H69:H72" si="30">$AB$66*X69*200</f>
        <v>28.585599046535442</v>
      </c>
      <c r="I69" s="109">
        <f t="shared" si="24"/>
        <v>0.58766801175409578</v>
      </c>
      <c r="J69" s="46">
        <f t="shared" ref="J69:J73" si="31">(C69-$C$67)*396/C69</f>
        <v>38.636785148042051</v>
      </c>
      <c r="K69" s="46">
        <f t="shared" si="25"/>
        <v>38.636785148042051</v>
      </c>
      <c r="L69" s="46">
        <f t="shared" si="26"/>
        <v>17.105130707544753</v>
      </c>
      <c r="M69" s="46">
        <f t="shared" si="27"/>
        <v>4.1635076084044469</v>
      </c>
      <c r="N69" s="46">
        <f t="shared" si="28"/>
        <v>23.11958755878101</v>
      </c>
      <c r="O69" s="288"/>
      <c r="P69" s="288"/>
      <c r="Q69" s="288"/>
      <c r="R69" s="219">
        <f t="shared" si="29"/>
        <v>0.49890999113847856</v>
      </c>
      <c r="S69" s="288"/>
      <c r="W69" s="46" t="s">
        <v>379</v>
      </c>
      <c r="X69" s="189">
        <v>0.40500000000000003</v>
      </c>
      <c r="Y69" s="189">
        <v>3.6055512754639696E-3</v>
      </c>
      <c r="AK69" s="154"/>
    </row>
    <row r="70" spans="1:37" ht="14.4" customHeight="1" x14ac:dyDescent="0.3">
      <c r="A70" s="210" t="s">
        <v>380</v>
      </c>
      <c r="B70" s="187">
        <v>19.183333333333334</v>
      </c>
      <c r="C70" s="46">
        <v>625.64627323256582</v>
      </c>
      <c r="D70" s="46">
        <f>AVERAGE('HPLC Data'!E122:E124)</f>
        <v>8.871599999999999</v>
      </c>
      <c r="E70" s="46">
        <f>STDEV('HPLC Data'!E122:E124)</f>
        <v>1.4727864746798882E-2</v>
      </c>
      <c r="F70" s="46">
        <v>0</v>
      </c>
      <c r="G70" s="46">
        <v>0</v>
      </c>
      <c r="H70" s="215">
        <f t="shared" si="30"/>
        <v>29.903124599297566</v>
      </c>
      <c r="I70" s="109">
        <f t="shared" si="24"/>
        <v>0.56008403925775552</v>
      </c>
      <c r="J70" s="46">
        <f t="shared" si="31"/>
        <v>54.209424160493334</v>
      </c>
      <c r="K70" s="46">
        <f t="shared" si="25"/>
        <v>54.209424160493334</v>
      </c>
      <c r="L70" s="46">
        <f t="shared" si="26"/>
        <v>18.708778463559586</v>
      </c>
      <c r="M70" s="46">
        <f t="shared" si="27"/>
        <v>5.5504834776100305</v>
      </c>
      <c r="N70" s="46">
        <f t="shared" si="28"/>
        <v>33.915924200096072</v>
      </c>
      <c r="O70" s="288"/>
      <c r="P70" s="288"/>
      <c r="Q70" s="288"/>
      <c r="R70" s="219">
        <f t="shared" si="29"/>
        <v>0.58852438152005215</v>
      </c>
      <c r="S70" s="288"/>
      <c r="W70" s="46" t="s">
        <v>380</v>
      </c>
      <c r="X70" s="189">
        <v>0.42366666666666664</v>
      </c>
      <c r="Y70" s="189">
        <v>1.1547005383792527E-3</v>
      </c>
      <c r="AA70" s="334" t="s">
        <v>384</v>
      </c>
      <c r="AB70" s="335"/>
      <c r="AC70" s="335"/>
      <c r="AD70" s="335"/>
      <c r="AE70" s="335"/>
      <c r="AF70" s="336"/>
      <c r="AK70" s="154"/>
    </row>
    <row r="71" spans="1:37" ht="15" thickBot="1" x14ac:dyDescent="0.35">
      <c r="A71" s="210" t="s">
        <v>381</v>
      </c>
      <c r="B71" s="187">
        <v>24.09999999999993</v>
      </c>
      <c r="C71" s="46">
        <v>656.75411231530768</v>
      </c>
      <c r="D71" s="46">
        <f>AVERAGE('HPLC Data'!E129:E131)</f>
        <v>10.9899</v>
      </c>
      <c r="E71" s="46">
        <f>STDEV('HPLC Data'!E129:E131)</f>
        <v>7.3042521862268853E-2</v>
      </c>
      <c r="F71" s="46">
        <v>0</v>
      </c>
      <c r="G71" s="46">
        <v>0</v>
      </c>
      <c r="H71" s="215">
        <f t="shared" si="30"/>
        <v>31.832358444413543</v>
      </c>
      <c r="I71" s="109">
        <f t="shared" si="24"/>
        <v>0.59408010430495184</v>
      </c>
      <c r="J71" s="46">
        <f t="shared" si="31"/>
        <v>70.398688961180952</v>
      </c>
      <c r="K71" s="46">
        <f t="shared" si="25"/>
        <v>70.398688961180952</v>
      </c>
      <c r="L71" s="46">
        <f t="shared" si="26"/>
        <v>20.906032313063506</v>
      </c>
      <c r="M71" s="46">
        <f t="shared" si="27"/>
        <v>7.2176620189339999</v>
      </c>
      <c r="N71" s="46">
        <f t="shared" si="28"/>
        <v>46.234628476861843</v>
      </c>
      <c r="O71" s="288"/>
      <c r="P71" s="288"/>
      <c r="Q71" s="288"/>
      <c r="R71" s="219">
        <f t="shared" si="29"/>
        <v>0.69956927600158192</v>
      </c>
      <c r="S71" s="288"/>
      <c r="W71" s="46" t="s">
        <v>381</v>
      </c>
      <c r="X71" s="189">
        <v>0.45100000000000001</v>
      </c>
      <c r="Y71" s="189">
        <v>1.0000000000000009E-3</v>
      </c>
      <c r="AA71" s="337"/>
      <c r="AB71" s="338"/>
      <c r="AC71" s="338"/>
      <c r="AD71" s="338"/>
      <c r="AE71" s="338"/>
      <c r="AF71" s="339"/>
      <c r="AK71" s="154"/>
    </row>
    <row r="72" spans="1:37" x14ac:dyDescent="0.3">
      <c r="A72" s="210" t="s">
        <v>382</v>
      </c>
      <c r="B72" s="187">
        <v>34.266666666666552</v>
      </c>
      <c r="C72" s="46">
        <v>737.64976971658018</v>
      </c>
      <c r="D72" s="46">
        <f>AVERAGE('HPLC Data'!E135:E137)</f>
        <v>14.727399999999998</v>
      </c>
      <c r="E72" s="46">
        <f>STDEV('HPLC Data'!E135:E137)</f>
        <v>0.27050454709671701</v>
      </c>
      <c r="F72" s="46">
        <f>AVERAGE('HPLC Data'!V136:V138)</f>
        <v>3.7665666666666664</v>
      </c>
      <c r="G72" s="46">
        <f>STDEV('HPLC Data'!V136:V138)</f>
        <v>0.14744223727729222</v>
      </c>
      <c r="H72" s="215">
        <f t="shared" si="30"/>
        <v>35.337917504441343</v>
      </c>
      <c r="I72" s="109">
        <f t="shared" si="24"/>
        <v>0.67849596787240762</v>
      </c>
      <c r="J72" s="46">
        <f t="shared" si="31"/>
        <v>106.10632853290035</v>
      </c>
      <c r="K72" s="46">
        <f t="shared" si="25"/>
        <v>102.33976186623369</v>
      </c>
      <c r="L72" s="46">
        <f t="shared" si="26"/>
        <v>26.067006709414663</v>
      </c>
      <c r="M72" s="46">
        <f t="shared" si="27"/>
        <v>10.863663218523961</v>
      </c>
      <c r="N72" s="46">
        <f t="shared" si="28"/>
        <v>75.490901773476935</v>
      </c>
      <c r="O72" s="288"/>
      <c r="P72" s="288"/>
      <c r="Q72" s="288"/>
      <c r="R72" s="219">
        <f t="shared" si="29"/>
        <v>0.92020193517266913</v>
      </c>
      <c r="S72" s="288"/>
      <c r="W72" s="46" t="s">
        <v>382</v>
      </c>
      <c r="X72" s="189">
        <v>0.5006666666666667</v>
      </c>
      <c r="Y72" s="189">
        <v>2.5166114784235852E-3</v>
      </c>
      <c r="AK72" s="154"/>
    </row>
    <row r="73" spans="1:37" ht="15" thickBot="1" x14ac:dyDescent="0.35">
      <c r="A73" s="211" t="s">
        <v>383</v>
      </c>
      <c r="B73" s="190">
        <v>39.266666666666694</v>
      </c>
      <c r="C73" s="47">
        <v>787.45141117193452</v>
      </c>
      <c r="D73" s="47">
        <f>AVERAGE('HPLC Data'!E141:E143)</f>
        <v>15.853500000000002</v>
      </c>
      <c r="E73" s="47">
        <f>STDEV('HPLC Data'!E141:E143)</f>
        <v>7.1818382048051757E-2</v>
      </c>
      <c r="F73" s="47">
        <f>AVERAGE('HPLC Data'!V142:V144)</f>
        <v>8.3190666666666662</v>
      </c>
      <c r="G73" s="47">
        <f>STDEV('HPLC Data'!V142:V144)</f>
        <v>0.13496608215893802</v>
      </c>
      <c r="H73" s="216">
        <v>39.483333333333327</v>
      </c>
      <c r="I73" s="110">
        <v>0.64291005073285956</v>
      </c>
      <c r="J73" s="47">
        <f t="shared" si="31"/>
        <v>124.440387602138</v>
      </c>
      <c r="K73" s="47">
        <f t="shared" si="25"/>
        <v>116.12132093547133</v>
      </c>
      <c r="L73" s="47">
        <f t="shared" si="26"/>
        <v>31.091206551105209</v>
      </c>
      <c r="M73" s="47">
        <f t="shared" si="27"/>
        <v>12.483860947014266</v>
      </c>
      <c r="N73" s="47">
        <f t="shared" si="28"/>
        <v>91.439898037786008</v>
      </c>
      <c r="O73" s="289"/>
      <c r="P73" s="289"/>
      <c r="Q73" s="289"/>
      <c r="R73" s="220">
        <f t="shared" si="29"/>
        <v>1.0964565629080663</v>
      </c>
      <c r="S73" s="289"/>
      <c r="W73" s="47" t="s">
        <v>383</v>
      </c>
      <c r="X73" s="146">
        <v>0.51866666666666672</v>
      </c>
      <c r="Y73" s="146">
        <v>3.2145502536643214E-3</v>
      </c>
      <c r="AK73" s="154"/>
    </row>
    <row r="74" spans="1:37" x14ac:dyDescent="0.3">
      <c r="A74" s="153"/>
      <c r="AK74" s="154"/>
    </row>
    <row r="75" spans="1:37" ht="15" thickBot="1" x14ac:dyDescent="0.35">
      <c r="A75" s="153"/>
      <c r="AK75" s="154"/>
    </row>
    <row r="76" spans="1:37" ht="15" thickBot="1" x14ac:dyDescent="0.35">
      <c r="A76" s="153"/>
      <c r="B76" s="331" t="s">
        <v>385</v>
      </c>
      <c r="C76" s="332"/>
      <c r="D76" s="332"/>
      <c r="E76" s="332"/>
      <c r="F76" s="332"/>
      <c r="G76" s="332"/>
      <c r="H76" s="332"/>
      <c r="I76" s="332"/>
      <c r="J76" s="332"/>
      <c r="K76" s="332"/>
      <c r="L76" s="332"/>
      <c r="M76" s="332"/>
      <c r="N76" s="332"/>
      <c r="O76" s="332"/>
      <c r="P76" s="332"/>
      <c r="Q76" s="333"/>
      <c r="AK76" s="154"/>
    </row>
    <row r="77" spans="1:37" ht="15" thickBot="1" x14ac:dyDescent="0.35">
      <c r="A77" s="168" t="s">
        <v>1</v>
      </c>
      <c r="B77" s="1" t="s">
        <v>71</v>
      </c>
      <c r="C77" s="1" t="s">
        <v>8</v>
      </c>
      <c r="D77" s="1" t="s">
        <v>111</v>
      </c>
      <c r="E77" s="1" t="s">
        <v>114</v>
      </c>
      <c r="F77" s="1" t="s">
        <v>269</v>
      </c>
      <c r="G77" s="1" t="s">
        <v>114</v>
      </c>
      <c r="H77" s="1" t="s">
        <v>112</v>
      </c>
      <c r="I77" s="1" t="s">
        <v>134</v>
      </c>
      <c r="J77" s="1" t="s">
        <v>374</v>
      </c>
      <c r="K77" s="1" t="s">
        <v>106</v>
      </c>
      <c r="L77" s="1" t="s">
        <v>107</v>
      </c>
      <c r="M77" s="1" t="s">
        <v>109</v>
      </c>
      <c r="N77" s="1" t="s">
        <v>129</v>
      </c>
      <c r="O77" s="1" t="s">
        <v>130</v>
      </c>
      <c r="P77" s="1" t="s">
        <v>132</v>
      </c>
      <c r="Q77" s="1" t="s">
        <v>133</v>
      </c>
      <c r="R77" s="75" t="s">
        <v>110</v>
      </c>
      <c r="AK77" s="154"/>
    </row>
    <row r="78" spans="1:37" ht="15" thickBot="1" x14ac:dyDescent="0.35">
      <c r="A78" s="210" t="s">
        <v>387</v>
      </c>
      <c r="B78" s="213">
        <v>0</v>
      </c>
      <c r="C78" s="73">
        <v>540</v>
      </c>
      <c r="D78" s="46">
        <f>AVERAGE('HPLC Data'!E107:E109)</f>
        <v>4.0095000000000001</v>
      </c>
      <c r="E78" s="46">
        <f>STDEV('HPLC Data'!E107:E109)</f>
        <v>1.0513324878457455E-2</v>
      </c>
      <c r="F78" s="46">
        <v>0</v>
      </c>
      <c r="G78" s="46">
        <v>0</v>
      </c>
      <c r="H78" s="214">
        <f>$AB$79*X80*100</f>
        <v>19.427907755655724</v>
      </c>
      <c r="I78" s="109">
        <f>H78*SQRT(($AB$80/$AB$79)^2+(Y80/X80)^2)</f>
        <v>0.10335599790363646</v>
      </c>
      <c r="J78" s="73">
        <v>0</v>
      </c>
      <c r="K78" s="73">
        <f>(C78/1000)*H78</f>
        <v>10.491070188054092</v>
      </c>
      <c r="L78" s="73">
        <f>(C78/1000)*D78</f>
        <v>2.16513</v>
      </c>
      <c r="M78" s="73">
        <f>(C78/1000)*J78</f>
        <v>0</v>
      </c>
      <c r="N78" s="287">
        <f>SLOPE(K78:K84,M78:M84)</f>
        <v>0.21794865556613036</v>
      </c>
      <c r="O78" s="287">
        <f>SLOPE(L78:L84,M78:M84)</f>
        <v>0.17949355778936638</v>
      </c>
      <c r="P78" s="287">
        <f>SLOPE(L78:L84,K78:K84)</f>
        <v>0.80100640784826416</v>
      </c>
      <c r="Q78" s="218">
        <f>LN((H78*C78)/($H$78*$C$78))</f>
        <v>0</v>
      </c>
      <c r="R78" s="287">
        <f>SLOPE(Q78:Q84,B78:B84)</f>
        <v>2.7514059016131055E-2</v>
      </c>
      <c r="AA78" s="192" t="s">
        <v>386</v>
      </c>
      <c r="AK78" s="154"/>
    </row>
    <row r="79" spans="1:37" ht="15" thickBot="1" x14ac:dyDescent="0.35">
      <c r="A79" s="210" t="s">
        <v>388</v>
      </c>
      <c r="B79" s="187">
        <v>9.6</v>
      </c>
      <c r="C79" s="46">
        <v>576.74077504270701</v>
      </c>
      <c r="D79" s="46">
        <f>AVERAGE('HPLC Data'!E113:E115)</f>
        <v>6.9143000000000008</v>
      </c>
      <c r="E79" s="46">
        <f>STDEV('HPLC Data'!E113:E115)</f>
        <v>2.9074215380642584E-2</v>
      </c>
      <c r="F79" s="46">
        <v>0</v>
      </c>
      <c r="G79" s="46">
        <v>0</v>
      </c>
      <c r="H79" s="215">
        <f>$AB$79*X81*200</f>
        <v>25.844668145809447</v>
      </c>
      <c r="I79" s="109">
        <f t="shared" ref="I79:I83" si="32">H79*SQRT(($AB$80/$AB$79)^2+(Y81/X81)^2)</f>
        <v>0.13509260456367447</v>
      </c>
      <c r="J79" s="46">
        <f>(C79-$C$78)*396/C79</f>
        <v>25.226839416433865</v>
      </c>
      <c r="K79" s="46">
        <f t="shared" ref="K79:K84" si="33">(C79/1000)*H79</f>
        <v>14.905673937135703</v>
      </c>
      <c r="L79" s="46">
        <f t="shared" ref="L79:L84" si="34">(C79/1000)*D79</f>
        <v>3.9877587408777897</v>
      </c>
      <c r="M79" s="46">
        <f t="shared" ref="M79:M84" si="35">(C79/1000)*J79</f>
        <v>14.549346916911979</v>
      </c>
      <c r="N79" s="288"/>
      <c r="O79" s="288"/>
      <c r="P79" s="288"/>
      <c r="Q79" s="219">
        <f t="shared" ref="Q79:Q84" si="36">LN((H79*C79)/($H$78*$C$78))</f>
        <v>0.35121750457700296</v>
      </c>
      <c r="R79" s="288"/>
      <c r="W79" s="1" t="s">
        <v>1</v>
      </c>
      <c r="X79" s="1" t="s">
        <v>5</v>
      </c>
      <c r="Y79" s="1" t="s">
        <v>114</v>
      </c>
      <c r="AA79" s="69" t="s">
        <v>115</v>
      </c>
      <c r="AB79" s="217">
        <f>AA24</f>
        <v>0.3330498472398124</v>
      </c>
      <c r="AK79" s="154"/>
    </row>
    <row r="80" spans="1:37" ht="15" thickBot="1" x14ac:dyDescent="0.35">
      <c r="A80" s="210" t="s">
        <v>389</v>
      </c>
      <c r="B80" s="187">
        <v>14.183333333333366</v>
      </c>
      <c r="C80" s="46">
        <v>598.38279686560861</v>
      </c>
      <c r="D80" s="46">
        <f>AVERAGE('HPLC Data'!E119:E121)</f>
        <v>9.9185333333333343</v>
      </c>
      <c r="E80" s="46">
        <f>STDEV('HPLC Data'!E119:E121)</f>
        <v>0.10326477295444622</v>
      </c>
      <c r="F80" s="46">
        <v>0</v>
      </c>
      <c r="G80" s="46">
        <v>0</v>
      </c>
      <c r="H80" s="215">
        <f t="shared" ref="H80:H83" si="37">$AB$79*X82*200</f>
        <v>29.175166618207566</v>
      </c>
      <c r="I80" s="109">
        <f t="shared" si="32"/>
        <v>0.19122592639556776</v>
      </c>
      <c r="J80" s="46">
        <f t="shared" ref="J80:J84" si="38">(C80-$C$78)*396/C80</f>
        <v>38.636785148042051</v>
      </c>
      <c r="K80" s="46">
        <f t="shared" si="33"/>
        <v>17.457917800023182</v>
      </c>
      <c r="L80" s="46">
        <f t="shared" si="34"/>
        <v>5.9350797168047684</v>
      </c>
      <c r="M80" s="46">
        <f t="shared" si="35"/>
        <v>23.11958755878101</v>
      </c>
      <c r="N80" s="288"/>
      <c r="O80" s="288"/>
      <c r="P80" s="288"/>
      <c r="Q80" s="219">
        <f t="shared" si="36"/>
        <v>0.50926885082217965</v>
      </c>
      <c r="R80" s="288"/>
      <c r="W80" s="73" t="s">
        <v>387</v>
      </c>
      <c r="X80" s="188">
        <v>0.58333333333333337</v>
      </c>
      <c r="Y80" s="188">
        <v>5.7735026918962634E-4</v>
      </c>
      <c r="AA80" s="69" t="s">
        <v>114</v>
      </c>
      <c r="AB80" s="217">
        <f>AA25</f>
        <v>1.7408840794287945E-3</v>
      </c>
      <c r="AK80" s="154"/>
    </row>
    <row r="81" spans="1:37" x14ac:dyDescent="0.3">
      <c r="A81" s="210" t="s">
        <v>390</v>
      </c>
      <c r="B81" s="187">
        <v>19.183333333333334</v>
      </c>
      <c r="C81" s="46">
        <v>625.64627323256582</v>
      </c>
      <c r="D81" s="46">
        <f>AVERAGE('HPLC Data'!E125:E127)</f>
        <v>12.8743</v>
      </c>
      <c r="E81" s="46">
        <f>STDEV('HPLC Data'!E125:E127)</f>
        <v>4.4315121572663985E-2</v>
      </c>
      <c r="F81" s="46">
        <v>0</v>
      </c>
      <c r="G81" s="46">
        <v>0</v>
      </c>
      <c r="H81" s="215">
        <f t="shared" si="37"/>
        <v>30.396349391420213</v>
      </c>
      <c r="I81" s="109">
        <f t="shared" si="32"/>
        <v>0.26663118109617739</v>
      </c>
      <c r="J81" s="46">
        <f t="shared" si="38"/>
        <v>54.209424160493334</v>
      </c>
      <c r="K81" s="46">
        <f t="shared" si="33"/>
        <v>19.017362716617026</v>
      </c>
      <c r="L81" s="46">
        <f t="shared" si="34"/>
        <v>8.0547578154780215</v>
      </c>
      <c r="M81" s="46">
        <f t="shared" si="35"/>
        <v>33.915924200096072</v>
      </c>
      <c r="N81" s="288"/>
      <c r="O81" s="288"/>
      <c r="P81" s="288"/>
      <c r="Q81" s="219">
        <f t="shared" si="36"/>
        <v>0.59482795203284111</v>
      </c>
      <c r="R81" s="288"/>
      <c r="W81" s="46" t="s">
        <v>388</v>
      </c>
      <c r="X81" s="189">
        <v>0.38800000000000007</v>
      </c>
      <c r="Y81" s="189">
        <v>6.7986997775525911E-17</v>
      </c>
      <c r="AK81" s="154"/>
    </row>
    <row r="82" spans="1:37" x14ac:dyDescent="0.3">
      <c r="A82" s="210" t="s">
        <v>391</v>
      </c>
      <c r="B82" s="187">
        <v>24.09999999999993</v>
      </c>
      <c r="C82" s="46">
        <v>656.75411231530768</v>
      </c>
      <c r="D82" s="46">
        <f>AVERAGE('HPLC Data'!E132:E134)</f>
        <v>16.243399999999998</v>
      </c>
      <c r="E82" s="46">
        <f>STDEV('HPLC Data'!E132:E134)</f>
        <v>0.10145033267564953</v>
      </c>
      <c r="F82" s="46">
        <v>0</v>
      </c>
      <c r="G82" s="46">
        <v>0</v>
      </c>
      <c r="H82" s="215">
        <f t="shared" si="37"/>
        <v>31.906175365574025</v>
      </c>
      <c r="I82" s="109">
        <f t="shared" si="32"/>
        <v>0.31433210846053145</v>
      </c>
      <c r="J82" s="46">
        <f t="shared" si="38"/>
        <v>70.398688961180952</v>
      </c>
      <c r="K82" s="46">
        <f t="shared" si="33"/>
        <v>20.954511879594108</v>
      </c>
      <c r="L82" s="46">
        <f t="shared" si="34"/>
        <v>10.667919747982467</v>
      </c>
      <c r="M82" s="46">
        <f t="shared" si="35"/>
        <v>46.234628476861843</v>
      </c>
      <c r="N82" s="288"/>
      <c r="O82" s="288"/>
      <c r="P82" s="288"/>
      <c r="Q82" s="219">
        <f t="shared" si="36"/>
        <v>0.6918295503236126</v>
      </c>
      <c r="R82" s="288"/>
      <c r="W82" s="46" t="s">
        <v>389</v>
      </c>
      <c r="X82" s="189">
        <v>0.438</v>
      </c>
      <c r="Y82" s="189">
        <v>1.7320508075688789E-3</v>
      </c>
      <c r="AK82" s="154"/>
    </row>
    <row r="83" spans="1:37" x14ac:dyDescent="0.3">
      <c r="A83" s="210" t="s">
        <v>392</v>
      </c>
      <c r="B83" s="187">
        <v>34.266666666666552</v>
      </c>
      <c r="C83" s="46">
        <v>737.64976971658018</v>
      </c>
      <c r="D83" s="46">
        <f>AVERAGE('HPLC Data'!E138:E140)</f>
        <v>22.206</v>
      </c>
      <c r="E83" s="46">
        <f>STDEV('HPLC Data'!E138:E140)</f>
        <v>0.11209620867808144</v>
      </c>
      <c r="F83" s="46">
        <v>0</v>
      </c>
      <c r="G83" s="46">
        <v>0</v>
      </c>
      <c r="H83" s="215">
        <f t="shared" si="37"/>
        <v>35.947180178750422</v>
      </c>
      <c r="I83" s="109">
        <f t="shared" si="32"/>
        <v>0.33498097235028257</v>
      </c>
      <c r="J83" s="46">
        <f t="shared" si="38"/>
        <v>106.10632853290035</v>
      </c>
      <c r="K83" s="46">
        <f t="shared" si="33"/>
        <v>26.516429180815663</v>
      </c>
      <c r="L83" s="46">
        <f t="shared" si="34"/>
        <v>16.380250786326378</v>
      </c>
      <c r="M83" s="46">
        <f t="shared" si="35"/>
        <v>78.269308807765739</v>
      </c>
      <c r="N83" s="288"/>
      <c r="O83" s="288"/>
      <c r="P83" s="288"/>
      <c r="Q83" s="219">
        <f t="shared" si="36"/>
        <v>0.92724007294001831</v>
      </c>
      <c r="R83" s="288"/>
      <c r="W83" s="46" t="s">
        <v>390</v>
      </c>
      <c r="X83" s="189">
        <v>0.45633333333333331</v>
      </c>
      <c r="Y83" s="189">
        <v>3.2145502536643214E-3</v>
      </c>
      <c r="AK83" s="154"/>
    </row>
    <row r="84" spans="1:37" ht="15" thickBot="1" x14ac:dyDescent="0.35">
      <c r="A84" s="211" t="s">
        <v>393</v>
      </c>
      <c r="B84" s="190">
        <v>39.266666666666694</v>
      </c>
      <c r="C84" s="47">
        <v>787.45141117193452</v>
      </c>
      <c r="D84" s="47">
        <f>AVERAGE('HPLC Data'!E144:E146)</f>
        <v>24.238833333333332</v>
      </c>
      <c r="E84" s="47">
        <f>STDEV('HPLC Data'!E144:E146)</f>
        <v>0.1315194789121879</v>
      </c>
      <c r="F84" s="47">
        <f>AVERAGE('HPLC Data'!V145:V147)</f>
        <v>1.8107</v>
      </c>
      <c r="G84" s="47">
        <f>STDEV('HPLC Data'!V145:V147)</f>
        <v>1.6498181717995386E-2</v>
      </c>
      <c r="H84" s="216">
        <v>43.066666666666663</v>
      </c>
      <c r="I84" s="110">
        <v>0.70945988845975416</v>
      </c>
      <c r="J84" s="47">
        <f t="shared" si="38"/>
        <v>124.440387602138</v>
      </c>
      <c r="K84" s="47">
        <f t="shared" si="33"/>
        <v>33.912907441137975</v>
      </c>
      <c r="L84" s="47">
        <f t="shared" si="34"/>
        <v>19.086903513494658</v>
      </c>
      <c r="M84" s="47">
        <f t="shared" si="35"/>
        <v>97.990758824086072</v>
      </c>
      <c r="N84" s="289"/>
      <c r="O84" s="289"/>
      <c r="P84" s="289"/>
      <c r="Q84" s="220">
        <f t="shared" si="36"/>
        <v>1.1732712553572817</v>
      </c>
      <c r="R84" s="289"/>
      <c r="W84" s="46" t="s">
        <v>391</v>
      </c>
      <c r="X84" s="189">
        <v>0.47899999999999993</v>
      </c>
      <c r="Y84" s="189">
        <v>4.0000000000000036E-3</v>
      </c>
      <c r="AK84" s="154"/>
    </row>
    <row r="85" spans="1:37" x14ac:dyDescent="0.3">
      <c r="A85" s="203"/>
      <c r="B85" s="8"/>
      <c r="C85" s="194"/>
      <c r="D85" s="194"/>
      <c r="E85" s="194"/>
      <c r="F85" s="194"/>
      <c r="G85" s="194"/>
      <c r="W85" s="46" t="s">
        <v>392</v>
      </c>
      <c r="X85" s="189">
        <v>0.53966666666666674</v>
      </c>
      <c r="Y85" s="189">
        <v>4.1633319989322695E-3</v>
      </c>
      <c r="AK85" s="154"/>
    </row>
    <row r="86" spans="1:37" ht="15" thickBot="1" x14ac:dyDescent="0.35">
      <c r="A86" s="153"/>
      <c r="W86" s="47" t="s">
        <v>393</v>
      </c>
      <c r="X86" s="146">
        <v>0.57933333333333337</v>
      </c>
      <c r="Y86" s="146">
        <v>4.7258156262526127E-3</v>
      </c>
      <c r="AK86" s="154"/>
    </row>
    <row r="87" spans="1:37" x14ac:dyDescent="0.3">
      <c r="A87" s="153"/>
      <c r="AK87" s="154"/>
    </row>
    <row r="88" spans="1:37" x14ac:dyDescent="0.3">
      <c r="A88" s="153"/>
      <c r="W88" s="222"/>
      <c r="AK88" s="154"/>
    </row>
    <row r="89" spans="1:37" ht="15" thickBot="1" x14ac:dyDescent="0.35">
      <c r="A89" s="160"/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  <c r="Y89" s="161"/>
      <c r="Z89" s="161"/>
      <c r="AA89" s="161"/>
      <c r="AB89" s="161"/>
      <c r="AC89" s="161"/>
      <c r="AD89" s="161"/>
      <c r="AE89" s="161"/>
      <c r="AF89" s="161"/>
      <c r="AG89" s="161"/>
      <c r="AH89" s="161"/>
      <c r="AI89" s="161"/>
      <c r="AJ89" s="161"/>
      <c r="AK89" s="164"/>
    </row>
    <row r="90" spans="1:37" ht="15" thickTop="1" x14ac:dyDescent="0.3"/>
  </sheetData>
  <mergeCells count="38">
    <mergeCell ref="AA70:AF71"/>
    <mergeCell ref="B60:C62"/>
    <mergeCell ref="B76:Q76"/>
    <mergeCell ref="N78:N84"/>
    <mergeCell ref="O78:O84"/>
    <mergeCell ref="P78:P84"/>
    <mergeCell ref="R78:R84"/>
    <mergeCell ref="B2:C4"/>
    <mergeCell ref="B18:C20"/>
    <mergeCell ref="B65:S65"/>
    <mergeCell ref="O67:O73"/>
    <mergeCell ref="P67:P73"/>
    <mergeCell ref="Q67:Q73"/>
    <mergeCell ref="S67:S73"/>
    <mergeCell ref="B11:Q11"/>
    <mergeCell ref="M13:M14"/>
    <mergeCell ref="N13:N14"/>
    <mergeCell ref="O13:O14"/>
    <mergeCell ref="Q13:Q14"/>
    <mergeCell ref="B47:M47"/>
    <mergeCell ref="B23:O23"/>
    <mergeCell ref="J37:J44"/>
    <mergeCell ref="K37:K44"/>
    <mergeCell ref="AE7:AJ8"/>
    <mergeCell ref="B6:Q6"/>
    <mergeCell ref="M8:M9"/>
    <mergeCell ref="N8:N9"/>
    <mergeCell ref="O8:O9"/>
    <mergeCell ref="Q8:Q9"/>
    <mergeCell ref="L37:L44"/>
    <mergeCell ref="M37:M44"/>
    <mergeCell ref="O37:O44"/>
    <mergeCell ref="B35:O35"/>
    <mergeCell ref="J25:J32"/>
    <mergeCell ref="K25:K32"/>
    <mergeCell ref="L25:L32"/>
    <mergeCell ref="M25:M32"/>
    <mergeCell ref="O25:O32"/>
  </mergeCells>
  <phoneticPr fontId="18" type="noConversion"/>
  <pageMargins left="0.7" right="0.7" top="0.75" bottom="0.75" header="0.3" footer="0.3"/>
  <ignoredErrors>
    <ignoredError sqref="F27:G27 F30:G30 F39:G39 F42:G42" formula="1"/>
    <ignoredError sqref="D25:D32 D37:D44 E32 E44 D49:D56 E49:E56 F56:G56 D8:D9 F8:F9 D13:D14 F13:F14 E8:E9 G8 E13:E14 G13:G14 D67:D73 E67:E73 F73:G73 D78:D84 E78:E84 F84:G84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F483-E009-470C-B455-7BA27BF09FD3}">
  <dimension ref="A1:R93"/>
  <sheetViews>
    <sheetView tabSelected="1" zoomScale="70" zoomScaleNormal="70" workbookViewId="0">
      <selection activeCell="Q11" sqref="Q11"/>
    </sheetView>
  </sheetViews>
  <sheetFormatPr baseColWidth="10" defaultColWidth="8.88671875" defaultRowHeight="14.4" x14ac:dyDescent="0.3"/>
  <cols>
    <col min="2" max="2" width="27.33203125" bestFit="1" customWidth="1"/>
    <col min="3" max="4" width="15" customWidth="1"/>
    <col min="5" max="6" width="14.5546875" customWidth="1"/>
    <col min="7" max="7" width="21" bestFit="1" customWidth="1"/>
    <col min="8" max="8" width="14.5546875" customWidth="1"/>
    <col min="9" max="9" width="16" customWidth="1"/>
    <col min="10" max="10" width="13.88671875" customWidth="1"/>
    <col min="11" max="11" width="17.6640625" bestFit="1" customWidth="1"/>
    <col min="12" max="12" width="17.6640625" customWidth="1"/>
    <col min="13" max="13" width="36.109375" customWidth="1"/>
    <col min="14" max="14" width="12.33203125" customWidth="1"/>
    <col min="15" max="15" width="10.88671875" customWidth="1"/>
    <col min="16" max="16" width="20.33203125" customWidth="1"/>
    <col min="17" max="17" width="22.88671875" customWidth="1"/>
  </cols>
  <sheetData>
    <row r="1" spans="1:18" ht="15.6" thickTop="1" thickBot="1" x14ac:dyDescent="0.35">
      <c r="A1" s="150"/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2"/>
    </row>
    <row r="2" spans="1:18" ht="14.4" customHeight="1" x14ac:dyDescent="0.3">
      <c r="A2" s="153"/>
      <c r="B2" s="343" t="s">
        <v>352</v>
      </c>
      <c r="C2" s="344"/>
      <c r="N2" s="154"/>
      <c r="P2" s="343" t="s">
        <v>359</v>
      </c>
      <c r="Q2" s="344"/>
    </row>
    <row r="3" spans="1:18" ht="14.4" customHeight="1" x14ac:dyDescent="0.3">
      <c r="A3" s="153"/>
      <c r="B3" s="345"/>
      <c r="C3" s="346"/>
      <c r="N3" s="154"/>
      <c r="P3" s="345"/>
      <c r="Q3" s="346"/>
    </row>
    <row r="4" spans="1:18" ht="15" customHeight="1" thickBot="1" x14ac:dyDescent="0.35">
      <c r="A4" s="153"/>
      <c r="B4" s="347"/>
      <c r="C4" s="348"/>
      <c r="N4" s="154"/>
      <c r="P4" s="347"/>
      <c r="Q4" s="348"/>
    </row>
    <row r="5" spans="1:18" x14ac:dyDescent="0.3">
      <c r="A5" s="153"/>
      <c r="M5" s="89" t="s">
        <v>276</v>
      </c>
      <c r="N5" s="154"/>
    </row>
    <row r="6" spans="1:18" ht="15" thickBot="1" x14ac:dyDescent="0.35">
      <c r="A6" s="153"/>
      <c r="M6" s="2">
        <v>44.009</v>
      </c>
      <c r="N6" s="154"/>
    </row>
    <row r="7" spans="1:18" ht="15" thickBot="1" x14ac:dyDescent="0.35">
      <c r="A7" s="153"/>
      <c r="C7" s="359" t="s">
        <v>268</v>
      </c>
      <c r="D7" s="361"/>
      <c r="E7" s="361"/>
      <c r="F7" s="361"/>
      <c r="G7" s="361"/>
      <c r="H7" s="361"/>
      <c r="I7" s="361"/>
      <c r="J7" s="361"/>
      <c r="K7" s="360"/>
      <c r="N7" s="154"/>
      <c r="Q7" s="357" t="s">
        <v>358</v>
      </c>
      <c r="R7" s="358"/>
    </row>
    <row r="8" spans="1:18" ht="15" thickBot="1" x14ac:dyDescent="0.35">
      <c r="A8" s="153"/>
      <c r="C8" s="7" t="s">
        <v>99</v>
      </c>
      <c r="D8" s="7" t="s">
        <v>159</v>
      </c>
      <c r="E8" s="7" t="s">
        <v>100</v>
      </c>
      <c r="F8" s="59" t="s">
        <v>159</v>
      </c>
      <c r="G8" s="140" t="s">
        <v>98</v>
      </c>
      <c r="H8" s="141" t="s">
        <v>114</v>
      </c>
      <c r="I8" s="3"/>
      <c r="J8" s="143" t="s">
        <v>98</v>
      </c>
      <c r="K8" s="143" t="s">
        <v>114</v>
      </c>
      <c r="M8" s="89" t="s">
        <v>275</v>
      </c>
      <c r="N8" s="154"/>
      <c r="Q8" s="225" t="s">
        <v>98</v>
      </c>
      <c r="R8" s="225" t="s">
        <v>114</v>
      </c>
    </row>
    <row r="9" spans="1:18" ht="15" thickBot="1" x14ac:dyDescent="0.35">
      <c r="A9" s="153"/>
      <c r="B9" s="88" t="s">
        <v>144</v>
      </c>
      <c r="C9" s="91">
        <f>Summary!D32</f>
        <v>27.103299999999997</v>
      </c>
      <c r="D9" s="90" t="s">
        <v>160</v>
      </c>
      <c r="E9" s="91">
        <f>Summary!D44</f>
        <v>26.824199999999998</v>
      </c>
      <c r="F9" s="138" t="s">
        <v>160</v>
      </c>
      <c r="G9" s="93">
        <f>Summary!D56</f>
        <v>26.963749999999997</v>
      </c>
      <c r="H9" s="93">
        <f>Summary!E56</f>
        <v>0.38661872260234137</v>
      </c>
      <c r="I9" s="98" t="s">
        <v>153</v>
      </c>
      <c r="J9" s="144">
        <f>G9</f>
        <v>26.963749999999997</v>
      </c>
      <c r="K9" s="144">
        <f>H9</f>
        <v>0.38661872260234137</v>
      </c>
      <c r="M9" s="2">
        <v>32.04</v>
      </c>
      <c r="N9" s="154"/>
      <c r="P9" s="88" t="s">
        <v>144</v>
      </c>
      <c r="Q9" s="144">
        <f>Summary!D73</f>
        <v>15.853500000000002</v>
      </c>
      <c r="R9" s="226">
        <f>Summary!E73</f>
        <v>7.1818382048051757E-2</v>
      </c>
    </row>
    <row r="10" spans="1:18" ht="15" thickBot="1" x14ac:dyDescent="0.35">
      <c r="A10" s="153"/>
      <c r="B10" s="88" t="s">
        <v>145</v>
      </c>
      <c r="C10" s="92">
        <f>(Summary!D32-Summary!D25)/Summary!B32</f>
        <v>0.57994864176570415</v>
      </c>
      <c r="D10" s="90" t="s">
        <v>160</v>
      </c>
      <c r="E10" s="92">
        <f>(Summary!D44-Summary!D37)/Summary!B44</f>
        <v>0.53653522920203689</v>
      </c>
      <c r="F10" s="138" t="s">
        <v>160</v>
      </c>
      <c r="G10" s="94">
        <f>AVERAGE(C10,E10)</f>
        <v>0.55824193548387058</v>
      </c>
      <c r="H10" s="94">
        <f>STDEV(C10,E10)</f>
        <v>3.0697918418218381E-2</v>
      </c>
      <c r="I10" s="98" t="s">
        <v>154</v>
      </c>
      <c r="J10" s="99">
        <f>G10</f>
        <v>0.55824193548387058</v>
      </c>
      <c r="K10" s="99">
        <f>H10</f>
        <v>3.0697918418218381E-2</v>
      </c>
      <c r="N10" s="154"/>
      <c r="P10" s="88" t="s">
        <v>145</v>
      </c>
      <c r="Q10" s="99">
        <f>(Summary!D73-Summary!D67)/Summary!B73</f>
        <v>0.31726910016977911</v>
      </c>
      <c r="R10" s="99" t="s">
        <v>160</v>
      </c>
    </row>
    <row r="11" spans="1:18" ht="15" thickBot="1" x14ac:dyDescent="0.35">
      <c r="A11" s="153"/>
      <c r="B11" s="88" t="s">
        <v>148</v>
      </c>
      <c r="C11" s="95">
        <v>0.30184076271583682</v>
      </c>
      <c r="D11" s="95">
        <f>C11*SQRT((D17/C17)^2+(D15/C15)^2)</f>
        <v>3.9355220525705706E-3</v>
      </c>
      <c r="E11" s="95">
        <v>0.30722965642776651</v>
      </c>
      <c r="F11" s="139">
        <f>E11*SQRT((F17/E17)^2+(F15/E15)^2)</f>
        <v>4.5672971936702219E-3</v>
      </c>
      <c r="G11" s="94">
        <f t="shared" ref="G11:G18" si="0">AVERAGE(C11,E11)</f>
        <v>0.30453520957180169</v>
      </c>
      <c r="H11" s="94">
        <f>G11*SQRT((D11/C11)^2+(F11/E11)^2)</f>
        <v>6.0217939438971177E-3</v>
      </c>
      <c r="I11" s="142" t="s">
        <v>152</v>
      </c>
      <c r="J11" s="99">
        <f>G11*($M$12/$M$9)</f>
        <v>0.25461370164302299</v>
      </c>
      <c r="K11" s="99">
        <f>H11*($M$12/$M$9)</f>
        <v>5.0346600274661724E-3</v>
      </c>
      <c r="M11" s="89" t="s">
        <v>277</v>
      </c>
      <c r="N11" s="154"/>
      <c r="P11" s="88" t="s">
        <v>129</v>
      </c>
      <c r="Q11" s="99">
        <v>0.24479999999999999</v>
      </c>
      <c r="R11" s="99">
        <v>1.37E-2</v>
      </c>
    </row>
    <row r="12" spans="1:18" ht="15" thickBot="1" x14ac:dyDescent="0.35">
      <c r="A12" s="153"/>
      <c r="B12" s="88" t="s">
        <v>147</v>
      </c>
      <c r="C12" s="95">
        <v>0.20832670668970252</v>
      </c>
      <c r="D12" s="95">
        <f>C12*SQRT((D16/C16)^2+(D15/C15)^2)</f>
        <v>3.2608287438078451E-3</v>
      </c>
      <c r="E12" s="95">
        <v>0.19114750530802063</v>
      </c>
      <c r="F12" s="139">
        <f>E12*SQRT((F16/E16)^2+(F15/E15)^2)</f>
        <v>4.2741881559823598E-3</v>
      </c>
      <c r="G12" s="96">
        <f>AVERAGE(C12,E12)</f>
        <v>0.19973710599886157</v>
      </c>
      <c r="H12" s="94">
        <f>G12*SQRT((D12/C12)^2+(F12/E12)^2)</f>
        <v>5.4517620158106997E-3</v>
      </c>
      <c r="I12" s="142" t="s">
        <v>152</v>
      </c>
      <c r="J12" s="99">
        <f>G12*($M$15/$M$9)</f>
        <v>0.18718600195981536</v>
      </c>
      <c r="K12" s="99">
        <f>H12*($M$15/$M$9)</f>
        <v>5.1091835454039518E-3</v>
      </c>
      <c r="M12" s="60">
        <v>26.787782641333788</v>
      </c>
      <c r="N12" s="154"/>
      <c r="P12" s="88" t="s">
        <v>394</v>
      </c>
      <c r="Q12" s="99">
        <v>0.1116</v>
      </c>
      <c r="R12" s="99">
        <v>2E-3</v>
      </c>
    </row>
    <row r="13" spans="1:18" ht="15" thickBot="1" x14ac:dyDescent="0.35">
      <c r="A13" s="153"/>
      <c r="B13" s="88" t="s">
        <v>146</v>
      </c>
      <c r="C13" s="95">
        <v>0.6901874512085977</v>
      </c>
      <c r="D13" s="95">
        <f>C13*SQRT((D16/C16)^2+(D17/C17)^2)</f>
        <v>1.2288438206071799E-2</v>
      </c>
      <c r="E13" s="95">
        <v>0.62216488971324868</v>
      </c>
      <c r="F13" s="139">
        <f>E13*SQRT((F16/E16)^2+(F17/E17)^2)</f>
        <v>1.4201177667566142E-2</v>
      </c>
      <c r="G13" s="94">
        <f t="shared" si="0"/>
        <v>0.65617617046092325</v>
      </c>
      <c r="H13" s="94">
        <f t="shared" ref="H13:H18" si="1">G13*SQRT((D13/C13)^2+(F13/E13)^2)</f>
        <v>1.8995138474843479E-2</v>
      </c>
      <c r="I13" s="142" t="s">
        <v>152</v>
      </c>
      <c r="J13" s="99">
        <f>G13*($M$15/$M$12)</f>
        <v>0.73551377539693852</v>
      </c>
      <c r="K13" s="99">
        <f>H13*($M$15/$M$12)</f>
        <v>2.1291821682591545E-2</v>
      </c>
      <c r="N13" s="154"/>
      <c r="P13" s="88" t="s">
        <v>395</v>
      </c>
      <c r="Q13" s="99">
        <v>0.44840000000000002</v>
      </c>
      <c r="R13" s="99">
        <v>2.3199999999999998E-2</v>
      </c>
    </row>
    <row r="14" spans="1:18" ht="15" thickBot="1" x14ac:dyDescent="0.35">
      <c r="A14" s="153"/>
      <c r="B14" s="88" t="s">
        <v>272</v>
      </c>
      <c r="C14" s="95">
        <v>0.48983253059446058</v>
      </c>
      <c r="D14" s="139">
        <f>C14*SQRT((D18/C18)^2+(D15/C15)^2)</f>
        <v>7.2322906433735738E-3</v>
      </c>
      <c r="E14" s="95">
        <v>0.50162283826421294</v>
      </c>
      <c r="F14" s="139">
        <f>E14*SQRT((F18/E18)^2+(F15/E15)^2)</f>
        <v>1.1216627654251628E-2</v>
      </c>
      <c r="G14" s="94">
        <f t="shared" si="0"/>
        <v>0.49572768442933679</v>
      </c>
      <c r="H14" s="94">
        <f t="shared" si="1"/>
        <v>1.3283282081050021E-2</v>
      </c>
      <c r="I14" s="142" t="s">
        <v>152</v>
      </c>
      <c r="J14" s="99">
        <f>G14*($M$6/$M$9)</f>
        <v>0.68091384719259307</v>
      </c>
      <c r="K14" s="99">
        <f>H14*($M$6/$M$9)</f>
        <v>1.8245441982051511E-2</v>
      </c>
      <c r="M14" s="89" t="s">
        <v>278</v>
      </c>
      <c r="N14" s="154"/>
      <c r="P14" s="227" t="s">
        <v>396</v>
      </c>
      <c r="Q14" s="100">
        <v>0.1099</v>
      </c>
      <c r="R14" s="100">
        <v>3.0000000000000001E-3</v>
      </c>
    </row>
    <row r="15" spans="1:18" ht="15" thickBot="1" x14ac:dyDescent="0.35">
      <c r="A15" s="153"/>
      <c r="B15" s="88" t="s">
        <v>150</v>
      </c>
      <c r="C15" s="95">
        <v>9.0717154391977903E-2</v>
      </c>
      <c r="D15" s="95">
        <f>0.007*C15</f>
        <v>6.3502008074384534E-4</v>
      </c>
      <c r="E15" s="95">
        <v>9.16475510040652E-2</v>
      </c>
      <c r="F15" s="139">
        <f>0.01*E15</f>
        <v>9.16475510040652E-4</v>
      </c>
      <c r="G15" s="96">
        <f t="shared" si="0"/>
        <v>9.1182352698021552E-2</v>
      </c>
      <c r="H15" s="96">
        <f t="shared" si="1"/>
        <v>1.1130224593818463E-3</v>
      </c>
      <c r="I15" s="142" t="s">
        <v>158</v>
      </c>
      <c r="J15" s="100">
        <f>G15*($M$9/$M$12)</f>
        <v>0.10906026152148691</v>
      </c>
      <c r="K15" s="100">
        <f>H15*($M$9/$M$12)</f>
        <v>1.3312501477284926E-3</v>
      </c>
      <c r="M15" s="60">
        <v>30.026666666666667</v>
      </c>
      <c r="N15" s="154"/>
      <c r="P15" s="227" t="s">
        <v>397</v>
      </c>
      <c r="Q15" s="100">
        <f>0.0123/M18*1000</f>
        <v>0.13654529307282418</v>
      </c>
      <c r="R15" s="100">
        <f>0.0003/M18*1000</f>
        <v>3.3303730017761987E-3</v>
      </c>
    </row>
    <row r="16" spans="1:18" ht="15" thickBot="1" x14ac:dyDescent="0.35">
      <c r="A16" s="153"/>
      <c r="B16" s="88" t="s">
        <v>151</v>
      </c>
      <c r="C16" s="95">
        <v>1.8898806014742031E-2</v>
      </c>
      <c r="D16" s="95">
        <f>0.014*C16</f>
        <v>2.6458328420638844E-4</v>
      </c>
      <c r="E16" s="95">
        <v>1.7518200742016647E-2</v>
      </c>
      <c r="F16" s="139">
        <f>0.02*E16</f>
        <v>3.5036401484033294E-4</v>
      </c>
      <c r="G16" s="96">
        <f t="shared" si="0"/>
        <v>1.8208503378379339E-2</v>
      </c>
      <c r="H16" s="96">
        <f t="shared" si="1"/>
        <v>4.4452621833492489E-4</v>
      </c>
      <c r="I16" s="142" t="s">
        <v>156</v>
      </c>
      <c r="J16" s="100">
        <f>G16*($M$15/$M$18)*(1000/$M$12)</f>
        <v>0.22657721273134238</v>
      </c>
      <c r="K16" s="100">
        <f>H16*($M$15/$M$18)*(1000/$M$12)</f>
        <v>5.5314546969261148E-3</v>
      </c>
      <c r="N16" s="154"/>
      <c r="P16" s="88" t="s">
        <v>149</v>
      </c>
      <c r="Q16" s="228">
        <v>2.7099999999999999E-2</v>
      </c>
      <c r="R16" s="228">
        <v>8.0000000000000004E-4</v>
      </c>
    </row>
    <row r="17" spans="1:18" ht="15" thickBot="1" x14ac:dyDescent="0.35">
      <c r="A17" s="153"/>
      <c r="B17" s="88" t="s">
        <v>149</v>
      </c>
      <c r="C17" s="95">
        <v>2.7382135073084922E-2</v>
      </c>
      <c r="D17" s="95">
        <f>0.011*C17</f>
        <v>3.0120348580393413E-4</v>
      </c>
      <c r="E17" s="95">
        <v>2.8156845607425162E-2</v>
      </c>
      <c r="F17" s="139">
        <f>0.011*E17</f>
        <v>3.0972530168167677E-4</v>
      </c>
      <c r="G17" s="96">
        <f t="shared" si="0"/>
        <v>2.776949034025504E-2</v>
      </c>
      <c r="H17" s="96">
        <f t="shared" si="1"/>
        <v>4.3199188845315063E-4</v>
      </c>
      <c r="I17" s="98" t="s">
        <v>155</v>
      </c>
      <c r="J17" s="100">
        <f>G17</f>
        <v>2.776949034025504E-2</v>
      </c>
      <c r="K17" s="100">
        <f>H17</f>
        <v>4.3199188845315063E-4</v>
      </c>
      <c r="M17" s="89" t="s">
        <v>157</v>
      </c>
      <c r="N17" s="154"/>
    </row>
    <row r="18" spans="1:18" ht="15" thickBot="1" x14ac:dyDescent="0.35">
      <c r="A18" s="153"/>
      <c r="B18" s="88" t="s">
        <v>271</v>
      </c>
      <c r="C18" s="95">
        <v>4.4436213304150901E-2</v>
      </c>
      <c r="D18" s="95">
        <f>0.013*C18</f>
        <v>5.7767077295396165E-4</v>
      </c>
      <c r="E18" s="95">
        <v>4.5972504654623408E-2</v>
      </c>
      <c r="F18" s="139">
        <f>0.02*E18</f>
        <v>9.1945009309246824E-4</v>
      </c>
      <c r="G18" s="97">
        <f t="shared" si="0"/>
        <v>4.5204358979387155E-2</v>
      </c>
      <c r="H18" s="97">
        <f t="shared" si="1"/>
        <v>1.0782921618232807E-3</v>
      </c>
      <c r="I18" s="101" t="s">
        <v>273</v>
      </c>
      <c r="J18" s="145">
        <f>G18*($M$6/$M$21)*(1000/$M$12)</f>
        <v>1.6874607520251996</v>
      </c>
      <c r="K18" s="145">
        <f>H18*($M$6/$M$21)*(1000/$M$12)</f>
        <v>4.025221778109727E-2</v>
      </c>
      <c r="M18" s="60">
        <v>90.08</v>
      </c>
      <c r="N18" s="154"/>
      <c r="R18" s="15"/>
    </row>
    <row r="19" spans="1:18" ht="15" thickBot="1" x14ac:dyDescent="0.35">
      <c r="A19" s="153"/>
      <c r="D19" s="70"/>
      <c r="N19" s="154"/>
      <c r="Q19" s="15"/>
      <c r="R19" s="15"/>
    </row>
    <row r="20" spans="1:18" ht="15" thickBot="1" x14ac:dyDescent="0.35">
      <c r="A20" s="153"/>
      <c r="M20" s="89" t="s">
        <v>274</v>
      </c>
      <c r="N20" s="154"/>
      <c r="Q20" s="15"/>
      <c r="R20" s="15"/>
    </row>
    <row r="21" spans="1:18" ht="15" thickBot="1" x14ac:dyDescent="0.35">
      <c r="A21" s="153"/>
      <c r="M21" s="60">
        <v>44.01</v>
      </c>
      <c r="N21" s="154"/>
      <c r="Q21" s="359" t="s">
        <v>177</v>
      </c>
      <c r="R21" s="360"/>
    </row>
    <row r="22" spans="1:18" ht="15" thickBot="1" x14ac:dyDescent="0.35">
      <c r="A22" s="153"/>
      <c r="J22" s="175"/>
      <c r="L22" s="175"/>
      <c r="N22" s="154"/>
      <c r="Q22" s="225" t="s">
        <v>98</v>
      </c>
      <c r="R22" s="225" t="s">
        <v>114</v>
      </c>
    </row>
    <row r="23" spans="1:18" ht="15" thickBot="1" x14ac:dyDescent="0.35">
      <c r="A23" s="153"/>
      <c r="J23" s="175"/>
      <c r="L23" s="175"/>
      <c r="N23" s="154"/>
      <c r="P23" s="88" t="s">
        <v>144</v>
      </c>
      <c r="Q23" s="144">
        <f>Summary!D84</f>
        <v>24.238833333333332</v>
      </c>
      <c r="R23" s="226">
        <f>Summary!E84</f>
        <v>0.1315194789121879</v>
      </c>
    </row>
    <row r="24" spans="1:18" ht="15" thickBot="1" x14ac:dyDescent="0.35">
      <c r="A24" s="153"/>
      <c r="N24" s="154"/>
      <c r="P24" s="88" t="s">
        <v>145</v>
      </c>
      <c r="Q24" s="99">
        <f>(Summary!D84-Summary!D78)/Summary!B84</f>
        <v>0.515178268251273</v>
      </c>
      <c r="R24" s="99" t="s">
        <v>160</v>
      </c>
    </row>
    <row r="25" spans="1:18" ht="15" thickBot="1" x14ac:dyDescent="0.35">
      <c r="A25" s="153"/>
      <c r="C25" s="357" t="s">
        <v>279</v>
      </c>
      <c r="D25" s="358"/>
      <c r="E25" s="355" t="s">
        <v>177</v>
      </c>
      <c r="F25" s="356"/>
      <c r="N25" s="154"/>
      <c r="P25" s="88" t="s">
        <v>129</v>
      </c>
      <c r="Q25" s="99">
        <v>0.25280000000000002</v>
      </c>
      <c r="R25" s="99">
        <v>1.44E-2</v>
      </c>
    </row>
    <row r="26" spans="1:18" ht="15" thickBot="1" x14ac:dyDescent="0.35">
      <c r="A26" s="153"/>
      <c r="C26" s="59" t="s">
        <v>99</v>
      </c>
      <c r="D26" s="59" t="s">
        <v>100</v>
      </c>
      <c r="E26" s="59" t="s">
        <v>99</v>
      </c>
      <c r="F26" s="59" t="s">
        <v>100</v>
      </c>
      <c r="N26" s="154"/>
      <c r="P26" s="88" t="s">
        <v>394</v>
      </c>
      <c r="Q26" s="99">
        <v>0.1694</v>
      </c>
      <c r="R26" s="99">
        <v>4.5999999999999999E-3</v>
      </c>
    </row>
    <row r="27" spans="1:18" ht="15" thickBot="1" x14ac:dyDescent="0.35">
      <c r="A27" s="153"/>
      <c r="B27" s="88" t="s">
        <v>398</v>
      </c>
      <c r="C27" s="146">
        <v>0.82561198134577829</v>
      </c>
      <c r="D27" s="146">
        <v>0.80402016802176568</v>
      </c>
      <c r="E27" s="95">
        <v>0.67281647437364589</v>
      </c>
      <c r="F27" s="95">
        <v>0.68901122001154014</v>
      </c>
      <c r="N27" s="154"/>
      <c r="P27" s="88" t="s">
        <v>395</v>
      </c>
      <c r="Q27" s="99">
        <v>0.65920000000000001</v>
      </c>
      <c r="R27" s="99">
        <v>3.6499999999999998E-2</v>
      </c>
    </row>
    <row r="28" spans="1:18" ht="15" thickBot="1" x14ac:dyDescent="0.35">
      <c r="A28" s="153"/>
      <c r="B28" s="88" t="s">
        <v>399</v>
      </c>
      <c r="C28" s="95">
        <v>2.3753649592611583</v>
      </c>
      <c r="D28" s="95">
        <v>2.2316940871964959</v>
      </c>
      <c r="E28" s="95">
        <v>1.6587861793055612</v>
      </c>
      <c r="F28" s="95">
        <v>1.7161353247448379</v>
      </c>
      <c r="N28" s="154"/>
      <c r="P28" s="227" t="s">
        <v>396</v>
      </c>
      <c r="Q28" s="100">
        <v>0.11210000000000001</v>
      </c>
      <c r="R28" s="100">
        <v>3.5999999999999999E-3</v>
      </c>
    </row>
    <row r="29" spans="1:18" ht="15" thickBot="1" x14ac:dyDescent="0.35">
      <c r="A29" s="153"/>
      <c r="B29" s="88" t="s">
        <v>396</v>
      </c>
      <c r="C29" s="95">
        <v>0.1266209965687263</v>
      </c>
      <c r="D29" s="95">
        <v>0.12215720535863306</v>
      </c>
      <c r="E29" s="95">
        <v>0.10850385288083146</v>
      </c>
      <c r="F29" s="95">
        <v>0.10961667016214238</v>
      </c>
      <c r="N29" s="154"/>
      <c r="P29" s="227" t="s">
        <v>397</v>
      </c>
      <c r="Q29" s="100">
        <f>0.0191/M18*1000</f>
        <v>0.21203374777975131</v>
      </c>
      <c r="R29" s="100">
        <f>0.0004/M18*1000</f>
        <v>4.4404973357015983E-3</v>
      </c>
    </row>
    <row r="30" spans="1:18" ht="15" thickBot="1" x14ac:dyDescent="0.35">
      <c r="A30" s="153"/>
      <c r="B30" s="88" t="s">
        <v>397</v>
      </c>
      <c r="C30" s="95">
        <v>0.20093095857290752</v>
      </c>
      <c r="D30" s="95">
        <v>0.20148713407786845</v>
      </c>
      <c r="E30" s="95">
        <v>0.23516698224935079</v>
      </c>
      <c r="F30" s="95">
        <v>0.21798744321333396</v>
      </c>
      <c r="N30" s="154"/>
      <c r="P30" s="88" t="s">
        <v>149</v>
      </c>
      <c r="Q30" s="228">
        <v>2.86E-2</v>
      </c>
      <c r="R30" s="228">
        <v>1E-3</v>
      </c>
    </row>
    <row r="31" spans="1:18" ht="15" thickBot="1" x14ac:dyDescent="0.35">
      <c r="A31" s="153"/>
      <c r="B31" s="88" t="s">
        <v>129</v>
      </c>
      <c r="C31" s="95">
        <v>0.20600628067011206</v>
      </c>
      <c r="D31" s="95">
        <v>0.21412310532328685</v>
      </c>
      <c r="E31" s="95">
        <v>0.2523609470638653</v>
      </c>
      <c r="F31" s="95">
        <v>0.25686645622218063</v>
      </c>
      <c r="N31" s="154"/>
    </row>
    <row r="32" spans="1:18" ht="15" thickBot="1" x14ac:dyDescent="0.35">
      <c r="A32" s="153"/>
      <c r="B32" s="88" t="s">
        <v>394</v>
      </c>
      <c r="C32" s="95">
        <v>0.14294517685637811</v>
      </c>
      <c r="D32" s="95">
        <v>0.14857871858192151</v>
      </c>
      <c r="E32" s="95">
        <v>0.19523584830012905</v>
      </c>
      <c r="F32" s="95">
        <v>0.17913615561950166</v>
      </c>
      <c r="N32" s="154"/>
    </row>
    <row r="33" spans="1:14" ht="15" thickBot="1" x14ac:dyDescent="0.35">
      <c r="A33" s="153"/>
      <c r="B33" s="88" t="s">
        <v>395</v>
      </c>
      <c r="C33" s="95">
        <v>0.69388746979653115</v>
      </c>
      <c r="D33" s="95">
        <v>0.69389390910240512</v>
      </c>
      <c r="E33" s="95">
        <v>0.77363732610624758</v>
      </c>
      <c r="F33" s="95">
        <v>0.69739022468762935</v>
      </c>
      <c r="N33" s="154"/>
    </row>
    <row r="34" spans="1:14" x14ac:dyDescent="0.3">
      <c r="A34" s="153"/>
      <c r="N34" s="154"/>
    </row>
    <row r="35" spans="1:14" x14ac:dyDescent="0.3">
      <c r="A35" s="153"/>
      <c r="N35" s="154"/>
    </row>
    <row r="36" spans="1:14" ht="15" thickBot="1" x14ac:dyDescent="0.35">
      <c r="A36" s="153"/>
      <c r="N36" s="154"/>
    </row>
    <row r="37" spans="1:14" ht="15" thickBot="1" x14ac:dyDescent="0.35">
      <c r="A37" s="153"/>
      <c r="B37" s="352" t="s">
        <v>396</v>
      </c>
      <c r="C37" s="353"/>
      <c r="D37" s="354"/>
      <c r="F37" s="352" t="s">
        <v>397</v>
      </c>
      <c r="G37" s="353"/>
      <c r="H37" s="354"/>
      <c r="N37" s="154"/>
    </row>
    <row r="38" spans="1:14" x14ac:dyDescent="0.3">
      <c r="A38" s="153"/>
      <c r="N38" s="154"/>
    </row>
    <row r="39" spans="1:14" x14ac:dyDescent="0.3">
      <c r="A39" s="153"/>
      <c r="B39" t="s">
        <v>280</v>
      </c>
      <c r="F39" t="s">
        <v>280</v>
      </c>
      <c r="N39" s="154"/>
    </row>
    <row r="40" spans="1:14" ht="15" thickBot="1" x14ac:dyDescent="0.35">
      <c r="A40" s="153"/>
      <c r="N40" s="154"/>
    </row>
    <row r="41" spans="1:14" ht="15" thickBot="1" x14ac:dyDescent="0.35">
      <c r="A41" s="153"/>
      <c r="B41" s="129"/>
      <c r="C41" s="147" t="s">
        <v>279</v>
      </c>
      <c r="D41" s="148" t="s">
        <v>289</v>
      </c>
      <c r="F41" s="129"/>
      <c r="G41" s="147" t="s">
        <v>279</v>
      </c>
      <c r="H41" s="148" t="s">
        <v>289</v>
      </c>
      <c r="N41" s="154"/>
    </row>
    <row r="42" spans="1:14" x14ac:dyDescent="0.3">
      <c r="A42" s="153"/>
      <c r="B42" t="s">
        <v>281</v>
      </c>
      <c r="C42">
        <v>0.12438910096367968</v>
      </c>
      <c r="D42">
        <v>0.10906026152148693</v>
      </c>
      <c r="F42" t="s">
        <v>281</v>
      </c>
      <c r="G42">
        <v>0.201209046325388</v>
      </c>
      <c r="H42">
        <v>0.22657721273134238</v>
      </c>
      <c r="N42" s="154"/>
    </row>
    <row r="43" spans="1:14" x14ac:dyDescent="0.3">
      <c r="A43" s="153"/>
      <c r="B43" t="s">
        <v>282</v>
      </c>
      <c r="C43">
        <v>9.9627159836528494E-6</v>
      </c>
      <c r="D43">
        <v>6.1918115079211478E-7</v>
      </c>
      <c r="F43" t="s">
        <v>282</v>
      </c>
      <c r="G43">
        <v>1.5466559615927066E-7</v>
      </c>
      <c r="H43">
        <v>1.475682807450129E-4</v>
      </c>
      <c r="N43" s="154"/>
    </row>
    <row r="44" spans="1:14" x14ac:dyDescent="0.3">
      <c r="A44" s="153"/>
      <c r="B44" t="s">
        <v>252</v>
      </c>
      <c r="C44">
        <v>2</v>
      </c>
      <c r="D44">
        <v>2</v>
      </c>
      <c r="F44" t="s">
        <v>252</v>
      </c>
      <c r="G44">
        <v>2</v>
      </c>
      <c r="H44">
        <v>2</v>
      </c>
      <c r="N44" s="154"/>
    </row>
    <row r="45" spans="1:14" x14ac:dyDescent="0.3">
      <c r="A45" s="153"/>
      <c r="B45" t="s">
        <v>283</v>
      </c>
      <c r="C45">
        <v>5.2909485672224818E-6</v>
      </c>
      <c r="F45" t="s">
        <v>283</v>
      </c>
      <c r="G45">
        <v>7.386147317058609E-5</v>
      </c>
      <c r="N45" s="154"/>
    </row>
    <row r="46" spans="1:14" x14ac:dyDescent="0.3">
      <c r="A46" s="153"/>
      <c r="B46" t="s">
        <v>284</v>
      </c>
      <c r="C46">
        <v>0</v>
      </c>
      <c r="F46" t="s">
        <v>284</v>
      </c>
      <c r="G46">
        <v>0</v>
      </c>
      <c r="N46" s="154"/>
    </row>
    <row r="47" spans="1:14" x14ac:dyDescent="0.3">
      <c r="A47" s="153"/>
      <c r="B47" t="s">
        <v>254</v>
      </c>
      <c r="C47">
        <v>2</v>
      </c>
      <c r="F47" t="s">
        <v>254</v>
      </c>
      <c r="G47">
        <v>2</v>
      </c>
      <c r="N47" s="154"/>
    </row>
    <row r="48" spans="1:14" x14ac:dyDescent="0.3">
      <c r="A48" s="153"/>
      <c r="B48" t="s">
        <v>261</v>
      </c>
      <c r="C48">
        <v>6.6641153455627231</v>
      </c>
      <c r="F48" t="s">
        <v>261</v>
      </c>
      <c r="G48">
        <v>-2.9517535561340549</v>
      </c>
      <c r="N48" s="154"/>
    </row>
    <row r="49" spans="1:14" x14ac:dyDescent="0.3">
      <c r="A49" s="153"/>
      <c r="B49" t="s">
        <v>285</v>
      </c>
      <c r="C49">
        <v>1.0892076931540482E-2</v>
      </c>
      <c r="F49" t="s">
        <v>285</v>
      </c>
      <c r="G49">
        <v>4.9081964155515578E-2</v>
      </c>
      <c r="N49" s="154"/>
    </row>
    <row r="50" spans="1:14" x14ac:dyDescent="0.3">
      <c r="A50" s="153"/>
      <c r="B50" t="s">
        <v>286</v>
      </c>
      <c r="C50">
        <v>2.9199855803537269</v>
      </c>
      <c r="F50" t="s">
        <v>286</v>
      </c>
      <c r="G50">
        <v>2.9199855803537269</v>
      </c>
      <c r="N50" s="154"/>
    </row>
    <row r="51" spans="1:14" x14ac:dyDescent="0.3">
      <c r="A51" s="153"/>
      <c r="B51" t="s">
        <v>287</v>
      </c>
      <c r="C51" s="223">
        <v>2.1784153863080965E-2</v>
      </c>
      <c r="F51" t="s">
        <v>287</v>
      </c>
      <c r="G51" s="224">
        <v>9.8163928311031157E-2</v>
      </c>
      <c r="N51" s="154"/>
    </row>
    <row r="52" spans="1:14" ht="15" thickBot="1" x14ac:dyDescent="0.35">
      <c r="A52" s="153"/>
      <c r="B52" s="127" t="s">
        <v>288</v>
      </c>
      <c r="C52" s="127">
        <v>4.3026527297494637</v>
      </c>
      <c r="D52" s="127"/>
      <c r="F52" s="127" t="s">
        <v>288</v>
      </c>
      <c r="G52" s="127">
        <v>4.3026527297494637</v>
      </c>
      <c r="H52" s="127"/>
      <c r="N52" s="154"/>
    </row>
    <row r="53" spans="1:14" x14ac:dyDescent="0.3">
      <c r="A53" s="153"/>
      <c r="H53" s="195"/>
      <c r="N53" s="154"/>
    </row>
    <row r="54" spans="1:14" x14ac:dyDescent="0.3">
      <c r="A54" s="153"/>
      <c r="H54" s="195"/>
      <c r="N54" s="154"/>
    </row>
    <row r="55" spans="1:14" ht="15" thickBot="1" x14ac:dyDescent="0.35">
      <c r="A55" s="153"/>
      <c r="H55" s="195"/>
      <c r="N55" s="154"/>
    </row>
    <row r="56" spans="1:14" ht="15" thickBot="1" x14ac:dyDescent="0.35">
      <c r="A56" s="153"/>
      <c r="B56" s="352" t="s">
        <v>400</v>
      </c>
      <c r="C56" s="353"/>
      <c r="D56" s="354"/>
      <c r="F56" s="352" t="s">
        <v>129</v>
      </c>
      <c r="G56" s="353"/>
      <c r="H56" s="354"/>
      <c r="N56" s="154"/>
    </row>
    <row r="57" spans="1:14" x14ac:dyDescent="0.3">
      <c r="A57" s="153"/>
      <c r="H57" s="195"/>
      <c r="N57" s="154"/>
    </row>
    <row r="58" spans="1:14" x14ac:dyDescent="0.3">
      <c r="A58" s="153"/>
      <c r="B58" t="s">
        <v>280</v>
      </c>
      <c r="F58" t="s">
        <v>280</v>
      </c>
      <c r="N58" s="154"/>
    </row>
    <row r="59" spans="1:14" ht="15" thickBot="1" x14ac:dyDescent="0.35">
      <c r="A59" s="153"/>
      <c r="N59" s="154"/>
    </row>
    <row r="60" spans="1:14" ht="15" thickBot="1" x14ac:dyDescent="0.35">
      <c r="A60" s="153"/>
      <c r="B60" s="129"/>
      <c r="C60" s="147" t="s">
        <v>279</v>
      </c>
      <c r="D60" s="148" t="s">
        <v>289</v>
      </c>
      <c r="F60" s="129"/>
      <c r="G60" s="147" t="s">
        <v>279</v>
      </c>
      <c r="H60" s="148" t="s">
        <v>289</v>
      </c>
      <c r="N60" s="154"/>
    </row>
    <row r="61" spans="1:14" x14ac:dyDescent="0.3">
      <c r="A61" s="153"/>
      <c r="B61" t="s">
        <v>281</v>
      </c>
      <c r="C61">
        <v>0.81481607468377204</v>
      </c>
      <c r="D61">
        <v>0.68091384719259307</v>
      </c>
      <c r="F61" t="s">
        <v>281</v>
      </c>
      <c r="G61">
        <v>0.21006469299669944</v>
      </c>
      <c r="H61">
        <v>0.25461370164302299</v>
      </c>
      <c r="N61" s="154"/>
    </row>
    <row r="62" spans="1:14" x14ac:dyDescent="0.3">
      <c r="A62" s="153"/>
      <c r="B62" t="s">
        <v>282</v>
      </c>
      <c r="C62">
        <v>2.3310320130950424E-4</v>
      </c>
      <c r="D62">
        <v>1.3113489313804739E-4</v>
      </c>
      <c r="F62" t="s">
        <v>282</v>
      </c>
      <c r="G62">
        <v>3.2941421225192999E-5</v>
      </c>
      <c r="H62">
        <v>1.0149806387831628E-5</v>
      </c>
      <c r="N62" s="154"/>
    </row>
    <row r="63" spans="1:14" x14ac:dyDescent="0.3">
      <c r="A63" s="153"/>
      <c r="B63" t="s">
        <v>252</v>
      </c>
      <c r="C63">
        <v>2</v>
      </c>
      <c r="D63">
        <v>2</v>
      </c>
      <c r="F63" t="s">
        <v>252</v>
      </c>
      <c r="G63">
        <v>2</v>
      </c>
      <c r="H63">
        <v>2</v>
      </c>
      <c r="N63" s="154"/>
    </row>
    <row r="64" spans="1:14" x14ac:dyDescent="0.3">
      <c r="A64" s="153"/>
      <c r="B64" t="s">
        <v>283</v>
      </c>
      <c r="C64">
        <v>1.8211904722377582E-4</v>
      </c>
      <c r="F64" t="s">
        <v>283</v>
      </c>
      <c r="G64">
        <v>2.1545613806512316E-5</v>
      </c>
      <c r="N64" s="154"/>
    </row>
    <row r="65" spans="1:14" x14ac:dyDescent="0.3">
      <c r="A65" s="153"/>
      <c r="B65" t="s">
        <v>284</v>
      </c>
      <c r="C65">
        <v>0</v>
      </c>
      <c r="F65" t="s">
        <v>284</v>
      </c>
      <c r="G65">
        <v>0</v>
      </c>
      <c r="N65" s="154"/>
    </row>
    <row r="66" spans="1:14" x14ac:dyDescent="0.3">
      <c r="A66" s="153"/>
      <c r="B66" t="s">
        <v>254</v>
      </c>
      <c r="C66">
        <v>2</v>
      </c>
      <c r="F66" t="s">
        <v>254</v>
      </c>
      <c r="G66">
        <v>2</v>
      </c>
      <c r="N66" s="154"/>
    </row>
    <row r="67" spans="1:14" x14ac:dyDescent="0.3">
      <c r="A67" s="153"/>
      <c r="B67" t="s">
        <v>261</v>
      </c>
      <c r="C67">
        <v>9.9222488938017879</v>
      </c>
      <c r="F67" t="s">
        <v>261</v>
      </c>
      <c r="G67">
        <v>-9.5975107787873917</v>
      </c>
      <c r="N67" s="154"/>
    </row>
    <row r="68" spans="1:14" x14ac:dyDescent="0.3">
      <c r="A68" s="153"/>
      <c r="B68" t="s">
        <v>285</v>
      </c>
      <c r="C68">
        <v>5.0025758639905289E-3</v>
      </c>
      <c r="F68" t="s">
        <v>285</v>
      </c>
      <c r="G68">
        <v>5.3413366132672099E-3</v>
      </c>
      <c r="N68" s="154"/>
    </row>
    <row r="69" spans="1:14" x14ac:dyDescent="0.3">
      <c r="A69" s="153"/>
      <c r="B69" t="s">
        <v>286</v>
      </c>
      <c r="C69">
        <v>2.9199855803537269</v>
      </c>
      <c r="F69" t="s">
        <v>286</v>
      </c>
      <c r="G69">
        <v>2.9199855803537269</v>
      </c>
      <c r="N69" s="154"/>
    </row>
    <row r="70" spans="1:14" x14ac:dyDescent="0.3">
      <c r="A70" s="153"/>
      <c r="B70" t="s">
        <v>287</v>
      </c>
      <c r="C70" s="223">
        <v>1.0005151727981058E-2</v>
      </c>
      <c r="F70" t="s">
        <v>287</v>
      </c>
      <c r="G70" s="223">
        <v>1.068267322653442E-2</v>
      </c>
      <c r="N70" s="154"/>
    </row>
    <row r="71" spans="1:14" ht="15" thickBot="1" x14ac:dyDescent="0.35">
      <c r="A71" s="153"/>
      <c r="B71" s="127" t="s">
        <v>288</v>
      </c>
      <c r="C71" s="127">
        <v>4.3026527297494637</v>
      </c>
      <c r="D71" s="127"/>
      <c r="F71" s="127" t="s">
        <v>288</v>
      </c>
      <c r="G71" s="127">
        <v>4.3026527297494637</v>
      </c>
      <c r="H71" s="127"/>
      <c r="N71" s="154"/>
    </row>
    <row r="72" spans="1:14" x14ac:dyDescent="0.3">
      <c r="A72" s="153"/>
      <c r="N72" s="154"/>
    </row>
    <row r="73" spans="1:14" ht="15" thickBot="1" x14ac:dyDescent="0.35">
      <c r="A73" s="153"/>
      <c r="N73" s="154"/>
    </row>
    <row r="74" spans="1:14" ht="15" thickBot="1" x14ac:dyDescent="0.35">
      <c r="A74" s="153"/>
      <c r="B74" s="352" t="s">
        <v>394</v>
      </c>
      <c r="C74" s="353"/>
      <c r="D74" s="354"/>
      <c r="F74" s="352" t="s">
        <v>395</v>
      </c>
      <c r="G74" s="353"/>
      <c r="H74" s="354"/>
      <c r="N74" s="154"/>
    </row>
    <row r="75" spans="1:14" x14ac:dyDescent="0.3">
      <c r="A75" s="153"/>
      <c r="N75" s="154"/>
    </row>
    <row r="76" spans="1:14" x14ac:dyDescent="0.3">
      <c r="A76" s="153"/>
      <c r="B76" t="s">
        <v>280</v>
      </c>
      <c r="F76" t="s">
        <v>280</v>
      </c>
      <c r="N76" s="154"/>
    </row>
    <row r="77" spans="1:14" ht="15" thickBot="1" x14ac:dyDescent="0.35">
      <c r="A77" s="153"/>
      <c r="N77" s="154"/>
    </row>
    <row r="78" spans="1:14" ht="15" thickBot="1" x14ac:dyDescent="0.35">
      <c r="A78" s="153"/>
      <c r="B78" s="129"/>
      <c r="C78" s="147" t="s">
        <v>279</v>
      </c>
      <c r="D78" s="148" t="s">
        <v>289</v>
      </c>
      <c r="F78" s="129"/>
      <c r="G78" s="147" t="s">
        <v>279</v>
      </c>
      <c r="H78" s="148" t="s">
        <v>289</v>
      </c>
      <c r="N78" s="154"/>
    </row>
    <row r="79" spans="1:14" x14ac:dyDescent="0.3">
      <c r="A79" s="153"/>
      <c r="B79" t="s">
        <v>281</v>
      </c>
      <c r="C79">
        <v>0.1457619477191498</v>
      </c>
      <c r="D79">
        <v>0.18718600195981536</v>
      </c>
      <c r="F79" t="s">
        <v>281</v>
      </c>
      <c r="G79">
        <v>0.69389068944946808</v>
      </c>
      <c r="H79">
        <v>0.73551377539693852</v>
      </c>
      <c r="N79" s="154"/>
    </row>
    <row r="80" spans="1:14" x14ac:dyDescent="0.3">
      <c r="A80" s="153"/>
      <c r="B80" t="s">
        <v>282</v>
      </c>
      <c r="C80">
        <v>1.5868396186719226E-5</v>
      </c>
      <c r="D80">
        <v>1.2960005220532351E-4</v>
      </c>
      <c r="F80" t="s">
        <v>282</v>
      </c>
      <c r="G80">
        <v>2.0732330069220887E-11</v>
      </c>
      <c r="H80">
        <v>2.9068102373705274E-3</v>
      </c>
      <c r="N80" s="154"/>
    </row>
    <row r="81" spans="1:14" x14ac:dyDescent="0.3">
      <c r="A81" s="153"/>
      <c r="B81" t="s">
        <v>252</v>
      </c>
      <c r="C81">
        <v>2</v>
      </c>
      <c r="D81">
        <v>2</v>
      </c>
      <c r="F81" t="s">
        <v>252</v>
      </c>
      <c r="G81">
        <v>2</v>
      </c>
      <c r="H81">
        <v>2</v>
      </c>
      <c r="N81" s="154"/>
    </row>
    <row r="82" spans="1:14" x14ac:dyDescent="0.3">
      <c r="A82" s="153"/>
      <c r="B82" t="s">
        <v>283</v>
      </c>
      <c r="C82">
        <v>7.2734224196021365E-5</v>
      </c>
      <c r="F82" t="s">
        <v>283</v>
      </c>
      <c r="G82">
        <v>1.4534051290514287E-3</v>
      </c>
      <c r="N82" s="154"/>
    </row>
    <row r="83" spans="1:14" x14ac:dyDescent="0.3">
      <c r="A83" s="153"/>
      <c r="B83" t="s">
        <v>284</v>
      </c>
      <c r="C83">
        <v>0</v>
      </c>
      <c r="F83" t="s">
        <v>284</v>
      </c>
      <c r="G83">
        <v>0</v>
      </c>
      <c r="N83" s="154"/>
    </row>
    <row r="84" spans="1:14" x14ac:dyDescent="0.3">
      <c r="A84" s="153"/>
      <c r="B84" t="s">
        <v>254</v>
      </c>
      <c r="C84">
        <v>2</v>
      </c>
      <c r="F84" t="s">
        <v>254</v>
      </c>
      <c r="G84">
        <v>2</v>
      </c>
      <c r="N84" s="154"/>
    </row>
    <row r="85" spans="1:14" x14ac:dyDescent="0.3">
      <c r="A85" s="153"/>
      <c r="B85" t="s">
        <v>261</v>
      </c>
      <c r="C85">
        <v>-4.8571687960590992</v>
      </c>
      <c r="F85" t="s">
        <v>261</v>
      </c>
      <c r="G85">
        <v>-1.0917945738163366</v>
      </c>
      <c r="N85" s="154"/>
    </row>
    <row r="86" spans="1:14" x14ac:dyDescent="0.3">
      <c r="A86" s="153"/>
      <c r="B86" t="s">
        <v>285</v>
      </c>
      <c r="C86">
        <v>1.9934679130560691E-2</v>
      </c>
      <c r="F86" t="s">
        <v>285</v>
      </c>
      <c r="G86">
        <v>0.19445270203769338</v>
      </c>
      <c r="N86" s="154"/>
    </row>
    <row r="87" spans="1:14" x14ac:dyDescent="0.3">
      <c r="A87" s="153"/>
      <c r="B87" t="s">
        <v>286</v>
      </c>
      <c r="C87">
        <v>2.9199855803537269</v>
      </c>
      <c r="F87" t="s">
        <v>286</v>
      </c>
      <c r="G87">
        <v>2.9199855803537269</v>
      </c>
      <c r="N87" s="154"/>
    </row>
    <row r="88" spans="1:14" x14ac:dyDescent="0.3">
      <c r="A88" s="153"/>
      <c r="B88" t="s">
        <v>287</v>
      </c>
      <c r="C88" s="223">
        <v>3.9869358261121382E-2</v>
      </c>
      <c r="F88" t="s">
        <v>287</v>
      </c>
      <c r="G88" s="224">
        <v>0.38890540407538676</v>
      </c>
      <c r="N88" s="154"/>
    </row>
    <row r="89" spans="1:14" ht="15" thickBot="1" x14ac:dyDescent="0.35">
      <c r="A89" s="153"/>
      <c r="B89" s="127" t="s">
        <v>288</v>
      </c>
      <c r="C89" s="127">
        <v>4.3026527297494637</v>
      </c>
      <c r="D89" s="127"/>
      <c r="F89" s="127" t="s">
        <v>288</v>
      </c>
      <c r="G89" s="127">
        <v>4.3026527297494637</v>
      </c>
      <c r="H89" s="127"/>
      <c r="N89" s="154"/>
    </row>
    <row r="90" spans="1:14" x14ac:dyDescent="0.3">
      <c r="A90" s="153"/>
      <c r="N90" s="154"/>
    </row>
    <row r="91" spans="1:14" x14ac:dyDescent="0.3">
      <c r="A91" s="153"/>
      <c r="N91" s="154"/>
    </row>
    <row r="92" spans="1:14" ht="15" thickBot="1" x14ac:dyDescent="0.35">
      <c r="A92" s="160"/>
      <c r="B92" s="161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4"/>
    </row>
    <row r="93" spans="1:14" ht="15" thickTop="1" x14ac:dyDescent="0.3"/>
  </sheetData>
  <mergeCells count="13">
    <mergeCell ref="B2:C4"/>
    <mergeCell ref="P2:Q4"/>
    <mergeCell ref="Q7:R7"/>
    <mergeCell ref="Q21:R21"/>
    <mergeCell ref="C7:K7"/>
    <mergeCell ref="B56:D56"/>
    <mergeCell ref="F56:H56"/>
    <mergeCell ref="B74:D74"/>
    <mergeCell ref="F74:H74"/>
    <mergeCell ref="E25:F25"/>
    <mergeCell ref="C25:D25"/>
    <mergeCell ref="B37:D37"/>
    <mergeCell ref="F37:H37"/>
  </mergeCells>
  <pageMargins left="0.7" right="0.7" top="0.75" bottom="0.75" header="0.3" footer="0.3"/>
  <pageSetup paperSize="9" orientation="portrait" r:id="rId1"/>
  <ignoredErrors>
    <ignoredError sqref="F17 J1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Process calc</vt:lpstr>
      <vt:lpstr>HPLC Data</vt:lpstr>
      <vt:lpstr>Raw DCW</vt:lpstr>
      <vt:lpstr>Raw DO600</vt:lpstr>
      <vt:lpstr>Summary</vt:lpstr>
      <vt:lpstr>Process metrics and t-test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usuari_sid</dc:creator>
  <cp:lastModifiedBy>Sílvia Àvila Cabré</cp:lastModifiedBy>
  <dcterms:created xsi:type="dcterms:W3CDTF">2022-05-17T09:43:56Z</dcterms:created>
  <dcterms:modified xsi:type="dcterms:W3CDTF">2024-10-25T18:56:54Z</dcterms:modified>
</cp:coreProperties>
</file>