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COUNTDOWN\Re submission 06 August 2020\"/>
    </mc:Choice>
  </mc:AlternateContent>
  <bookViews>
    <workbookView xWindow="0" yWindow="0" windowWidth="19200" windowHeight="5860"/>
  </bookViews>
  <sheets>
    <sheet name="AppT4 UR" sheetId="16" r:id="rId1"/>
  </sheets>
  <definedNames>
    <definedName name="_xlchart.v5.0" hidden="1">#REF!</definedName>
    <definedName name="_xlchart.v5.1" hidden="1">#REF!</definedName>
    <definedName name="_xlchart.v5.2" hidden="1">#REF!</definedName>
    <definedName name="_xlchart.v5.3" hidden="1">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E34" i="16" l="1"/>
  <c r="AE33" i="16"/>
  <c r="AE32" i="16"/>
  <c r="AE30" i="16"/>
  <c r="AF30" i="16" s="1"/>
  <c r="AE29" i="16"/>
  <c r="AE28" i="16"/>
  <c r="AF28" i="16" s="1"/>
  <c r="AE27" i="16"/>
  <c r="AC34" i="16"/>
  <c r="AC33" i="16"/>
  <c r="AC32" i="16"/>
  <c r="AC30" i="16"/>
  <c r="AC29" i="16"/>
  <c r="AC28" i="16"/>
  <c r="AC27" i="16"/>
  <c r="AB34" i="16"/>
  <c r="AB33" i="16"/>
  <c r="AB32" i="16"/>
  <c r="AB30" i="16"/>
  <c r="AB29" i="16"/>
  <c r="AB28" i="16"/>
  <c r="AB27" i="16"/>
  <c r="AE24" i="16"/>
  <c r="AE23" i="16"/>
  <c r="AE22" i="16"/>
  <c r="AC24" i="16"/>
  <c r="AC23" i="16"/>
  <c r="AC22" i="16"/>
  <c r="AB24" i="16"/>
  <c r="AB23" i="16"/>
  <c r="AB22" i="16"/>
  <c r="AE20" i="16"/>
  <c r="AE19" i="16"/>
  <c r="AC20" i="16"/>
  <c r="AC19" i="16"/>
  <c r="AB20" i="16"/>
  <c r="AD20" i="16" s="1"/>
  <c r="AB19" i="16"/>
  <c r="AE16" i="16"/>
  <c r="AE15" i="16"/>
  <c r="AC16" i="16"/>
  <c r="AD16" i="16" s="1"/>
  <c r="AC15" i="16"/>
  <c r="AB16" i="16"/>
  <c r="AB15" i="16"/>
  <c r="AE14" i="16"/>
  <c r="AC14" i="16"/>
  <c r="AD14" i="16" s="1"/>
  <c r="AB14" i="16"/>
  <c r="AE13" i="16"/>
  <c r="AC13" i="16"/>
  <c r="AB13" i="16"/>
  <c r="AE10" i="16"/>
  <c r="AC10" i="16"/>
  <c r="AB10" i="16"/>
  <c r="AE9" i="16"/>
  <c r="AC9" i="16"/>
  <c r="AB9" i="16"/>
  <c r="AF8" i="16"/>
  <c r="AF9" i="16"/>
  <c r="AF10" i="16"/>
  <c r="AF13" i="16"/>
  <c r="AF14" i="16"/>
  <c r="AF15" i="16"/>
  <c r="AF16" i="16"/>
  <c r="AF19" i="16"/>
  <c r="AF20" i="16"/>
  <c r="AF22" i="16"/>
  <c r="AF23" i="16"/>
  <c r="AF24" i="16"/>
  <c r="AF27" i="16"/>
  <c r="AF29" i="16"/>
  <c r="AF32" i="16"/>
  <c r="AF33" i="16"/>
  <c r="AF34" i="16"/>
  <c r="AD8" i="16"/>
  <c r="AD9" i="16"/>
  <c r="AD10" i="16"/>
  <c r="AD13" i="16"/>
  <c r="AD15" i="16"/>
  <c r="AD19" i="16"/>
  <c r="AD22" i="16"/>
  <c r="AD23" i="16"/>
  <c r="AD24" i="16"/>
  <c r="AD27" i="16"/>
  <c r="AD28" i="16"/>
  <c r="AD29" i="16"/>
  <c r="AD30" i="16"/>
  <c r="AD32" i="16"/>
  <c r="AD33" i="16"/>
  <c r="AD34" i="16"/>
  <c r="AE8" i="16"/>
  <c r="AC8" i="16"/>
  <c r="AB8" i="16"/>
  <c r="AC5" i="16"/>
  <c r="AB5" i="16"/>
  <c r="AD5" i="16"/>
  <c r="AE5" i="16" s="1"/>
  <c r="AF5" i="16" s="1"/>
  <c r="X34" i="16"/>
  <c r="X33" i="16"/>
  <c r="X32" i="16"/>
  <c r="Y32" i="16" s="1"/>
  <c r="X31" i="16"/>
  <c r="X29" i="16"/>
  <c r="X28" i="16"/>
  <c r="X27" i="16"/>
  <c r="X24" i="16"/>
  <c r="X23" i="16"/>
  <c r="X22" i="16"/>
  <c r="X20" i="16"/>
  <c r="X19" i="16"/>
  <c r="X16" i="16"/>
  <c r="X13" i="16"/>
  <c r="X14" i="16"/>
  <c r="X15" i="16"/>
  <c r="Y13" i="16"/>
  <c r="X10" i="16"/>
  <c r="X9" i="16"/>
  <c r="Y9" i="16"/>
  <c r="Y10" i="16"/>
  <c r="Y14" i="16"/>
  <c r="Y15" i="16"/>
  <c r="Y16" i="16"/>
  <c r="Y19" i="16"/>
  <c r="Y20" i="16"/>
  <c r="Y22" i="16"/>
  <c r="Y23" i="16"/>
  <c r="Y24" i="16"/>
  <c r="Y27" i="16"/>
  <c r="Y28" i="16"/>
  <c r="Y29" i="16"/>
  <c r="Y31" i="16"/>
  <c r="Y33" i="16"/>
  <c r="Y34" i="16"/>
  <c r="W10" i="16"/>
  <c r="W16" i="16"/>
  <c r="W34" i="16"/>
  <c r="W35" i="16"/>
  <c r="V35" i="16"/>
  <c r="V34" i="16"/>
  <c r="V33" i="16"/>
  <c r="V32" i="16"/>
  <c r="V31" i="16"/>
  <c r="V29" i="16"/>
  <c r="V28" i="16"/>
  <c r="W28" i="16" s="1"/>
  <c r="V27" i="16"/>
  <c r="V24" i="16"/>
  <c r="V23" i="16"/>
  <c r="V22" i="16"/>
  <c r="W22" i="16" s="1"/>
  <c r="V21" i="16"/>
  <c r="W21" i="16" s="1"/>
  <c r="V20" i="16"/>
  <c r="V19" i="16"/>
  <c r="V18" i="16"/>
  <c r="V16" i="16"/>
  <c r="V15" i="16"/>
  <c r="V14" i="16"/>
  <c r="V13" i="16"/>
  <c r="V10" i="16"/>
  <c r="V9" i="16"/>
  <c r="V8" i="16"/>
  <c r="V5" i="16"/>
  <c r="U34" i="16"/>
  <c r="U33" i="16"/>
  <c r="W33" i="16" s="1"/>
  <c r="U32" i="16"/>
  <c r="W32" i="16" s="1"/>
  <c r="U31" i="16"/>
  <c r="W31" i="16" s="1"/>
  <c r="U30" i="16"/>
  <c r="U29" i="16"/>
  <c r="W29" i="16" s="1"/>
  <c r="U28" i="16"/>
  <c r="U27" i="16"/>
  <c r="W27" i="16" s="1"/>
  <c r="U24" i="16"/>
  <c r="W24" i="16" s="1"/>
  <c r="U23" i="16"/>
  <c r="W23" i="16" s="1"/>
  <c r="U22" i="16"/>
  <c r="U20" i="16"/>
  <c r="W20" i="16" s="1"/>
  <c r="U19" i="16"/>
  <c r="W19" i="16" s="1"/>
  <c r="U16" i="16"/>
  <c r="U15" i="16"/>
  <c r="W15" i="16" s="1"/>
  <c r="U14" i="16"/>
  <c r="W14" i="16" s="1"/>
  <c r="U13" i="16"/>
  <c r="W13" i="16" s="1"/>
  <c r="U10" i="16"/>
  <c r="U9" i="16"/>
  <c r="W9" i="16" s="1"/>
  <c r="U8" i="16"/>
  <c r="W8" i="16" s="1"/>
  <c r="X8" i="16" s="1"/>
  <c r="Y8" i="16" s="1"/>
  <c r="U5" i="16"/>
  <c r="O34" i="16"/>
  <c r="O33" i="16"/>
  <c r="O32" i="16"/>
  <c r="O30" i="16"/>
  <c r="O29" i="16"/>
  <c r="O28" i="16"/>
  <c r="O27" i="16"/>
  <c r="O24" i="16"/>
  <c r="O23" i="16"/>
  <c r="O22" i="16"/>
  <c r="O20" i="16"/>
  <c r="O19" i="16"/>
  <c r="O16" i="16"/>
  <c r="O15" i="16"/>
  <c r="O14" i="16"/>
  <c r="O13" i="16"/>
  <c r="O10" i="16"/>
  <c r="O9" i="16"/>
  <c r="O8" i="16"/>
  <c r="O5" i="16"/>
  <c r="N34" i="16"/>
  <c r="P34" i="16" s="1"/>
  <c r="Q34" i="16" s="1"/>
  <c r="R34" i="16" s="1"/>
  <c r="N33" i="16"/>
  <c r="P33" i="16" s="1"/>
  <c r="Q33" i="16" s="1"/>
  <c r="R33" i="16" s="1"/>
  <c r="N32" i="16"/>
  <c r="P32" i="16" s="1"/>
  <c r="Q32" i="16" s="1"/>
  <c r="R32" i="16" s="1"/>
  <c r="N30" i="16"/>
  <c r="P30" i="16" s="1"/>
  <c r="Q30" i="16" s="1"/>
  <c r="R30" i="16" s="1"/>
  <c r="N29" i="16"/>
  <c r="P29" i="16" s="1"/>
  <c r="Q29" i="16" s="1"/>
  <c r="R29" i="16" s="1"/>
  <c r="N27" i="16"/>
  <c r="P27" i="16" s="1"/>
  <c r="Q27" i="16" s="1"/>
  <c r="R27" i="16" s="1"/>
  <c r="N28" i="16"/>
  <c r="N24" i="16"/>
  <c r="P24" i="16" s="1"/>
  <c r="Q24" i="16" s="1"/>
  <c r="R24" i="16" s="1"/>
  <c r="N23" i="16"/>
  <c r="P23" i="16" s="1"/>
  <c r="Q23" i="16" s="1"/>
  <c r="R23" i="16" s="1"/>
  <c r="N22" i="16"/>
  <c r="P22" i="16" s="1"/>
  <c r="Q22" i="16" s="1"/>
  <c r="R22" i="16" s="1"/>
  <c r="N20" i="16"/>
  <c r="P20" i="16" s="1"/>
  <c r="Q20" i="16" s="1"/>
  <c r="R20" i="16" s="1"/>
  <c r="N19" i="16"/>
  <c r="P19" i="16" s="1"/>
  <c r="Q19" i="16" s="1"/>
  <c r="R19" i="16" s="1"/>
  <c r="N16" i="16"/>
  <c r="P16" i="16" s="1"/>
  <c r="Q16" i="16" s="1"/>
  <c r="R16" i="16" s="1"/>
  <c r="N15" i="16"/>
  <c r="P15" i="16" s="1"/>
  <c r="Q15" i="16" s="1"/>
  <c r="R15" i="16" s="1"/>
  <c r="N14" i="16"/>
  <c r="P14" i="16" s="1"/>
  <c r="Q14" i="16" s="1"/>
  <c r="R14" i="16" s="1"/>
  <c r="N13" i="16"/>
  <c r="P13" i="16" s="1"/>
  <c r="Q13" i="16" s="1"/>
  <c r="R13" i="16" s="1"/>
  <c r="N10" i="16"/>
  <c r="P10" i="16" s="1"/>
  <c r="Q10" i="16" s="1"/>
  <c r="R10" i="16" s="1"/>
  <c r="N9" i="16"/>
  <c r="P9" i="16" s="1"/>
  <c r="Q9" i="16" s="1"/>
  <c r="R9" i="16" s="1"/>
  <c r="N8" i="16"/>
  <c r="P8" i="16" s="1"/>
  <c r="Q8" i="16" s="1"/>
  <c r="R8" i="16" s="1"/>
  <c r="N5" i="16"/>
  <c r="P5" i="16"/>
  <c r="Q5" i="16" s="1"/>
  <c r="R5" i="16" s="1"/>
  <c r="J20" i="16"/>
  <c r="K20" i="16" s="1"/>
  <c r="J19" i="16"/>
  <c r="J16" i="16"/>
  <c r="J15" i="16"/>
  <c r="K15" i="16" s="1"/>
  <c r="J14" i="16"/>
  <c r="K14" i="16" s="1"/>
  <c r="K16" i="16"/>
  <c r="K17" i="16"/>
  <c r="K18" i="16"/>
  <c r="K19" i="16"/>
  <c r="K21" i="16"/>
  <c r="K25" i="16"/>
  <c r="K26" i="16"/>
  <c r="H34" i="16"/>
  <c r="H33" i="16"/>
  <c r="H32" i="16"/>
  <c r="H31" i="16"/>
  <c r="H30" i="16"/>
  <c r="H29" i="16"/>
  <c r="H28" i="16"/>
  <c r="H27" i="16"/>
  <c r="H24" i="16"/>
  <c r="H23" i="16"/>
  <c r="H22" i="16"/>
  <c r="H20" i="16"/>
  <c r="H19" i="16"/>
  <c r="H16" i="16"/>
  <c r="H15" i="16"/>
  <c r="H14" i="16"/>
  <c r="H13" i="16"/>
  <c r="H10" i="16"/>
  <c r="H9" i="16"/>
  <c r="H8" i="16"/>
  <c r="H5" i="16"/>
  <c r="G34" i="16"/>
  <c r="G33" i="16"/>
  <c r="I33" i="16" s="1"/>
  <c r="J33" i="16" s="1"/>
  <c r="K33" i="16" s="1"/>
  <c r="G32" i="16"/>
  <c r="I32" i="16" s="1"/>
  <c r="J32" i="16" s="1"/>
  <c r="K32" i="16" s="1"/>
  <c r="G31" i="16"/>
  <c r="G30" i="16"/>
  <c r="G29" i="16"/>
  <c r="I29" i="16" s="1"/>
  <c r="J29" i="16" s="1"/>
  <c r="K29" i="16" s="1"/>
  <c r="G28" i="16"/>
  <c r="I28" i="16" s="1"/>
  <c r="J28" i="16" s="1"/>
  <c r="K28" i="16" s="1"/>
  <c r="G27" i="16"/>
  <c r="G24" i="16"/>
  <c r="G23" i="16"/>
  <c r="G22" i="16"/>
  <c r="I22" i="16" s="1"/>
  <c r="J22" i="16" s="1"/>
  <c r="K22" i="16" s="1"/>
  <c r="G20" i="16"/>
  <c r="G19" i="16"/>
  <c r="G16" i="16"/>
  <c r="I16" i="16" s="1"/>
  <c r="G15" i="16"/>
  <c r="I15" i="16" s="1"/>
  <c r="G14" i="16"/>
  <c r="G13" i="16"/>
  <c r="G10" i="16"/>
  <c r="I10" i="16" s="1"/>
  <c r="J10" i="16" s="1"/>
  <c r="K10" i="16" s="1"/>
  <c r="G9" i="16"/>
  <c r="I9" i="16" s="1"/>
  <c r="J9" i="16" s="1"/>
  <c r="K9" i="16" s="1"/>
  <c r="G8" i="16"/>
  <c r="G5" i="16"/>
  <c r="W5" i="16" l="1"/>
  <c r="X5" i="16" s="1"/>
  <c r="Y5" i="16" s="1"/>
  <c r="I8" i="16"/>
  <c r="J8" i="16" s="1"/>
  <c r="K8" i="16" s="1"/>
  <c r="I14" i="16"/>
  <c r="I20" i="16"/>
  <c r="I27" i="16"/>
  <c r="J27" i="16" s="1"/>
  <c r="K27" i="16" s="1"/>
  <c r="I31" i="16"/>
  <c r="J31" i="16" s="1"/>
  <c r="K31" i="16" s="1"/>
  <c r="I23" i="16"/>
  <c r="J23" i="16" s="1"/>
  <c r="K23" i="16" s="1"/>
  <c r="P28" i="16"/>
  <c r="Q28" i="16" s="1"/>
  <c r="R28" i="16" s="1"/>
  <c r="I5" i="16"/>
  <c r="J5" i="16" s="1"/>
  <c r="K5" i="16" s="1"/>
  <c r="I13" i="16"/>
  <c r="J13" i="16" s="1"/>
  <c r="K13" i="16" s="1"/>
  <c r="I19" i="16"/>
  <c r="I24" i="16"/>
  <c r="J24" i="16" s="1"/>
  <c r="K24" i="16" s="1"/>
  <c r="I30" i="16"/>
  <c r="J30" i="16" s="1"/>
  <c r="K30" i="16" s="1"/>
  <c r="I34" i="16"/>
  <c r="J34" i="16" s="1"/>
  <c r="K34" i="16" s="1"/>
  <c r="D38" i="16" l="1"/>
  <c r="C38" i="16"/>
  <c r="D37" i="16"/>
  <c r="C37" i="16"/>
</calcChain>
</file>

<file path=xl/sharedStrings.xml><?xml version="1.0" encoding="utf-8"?>
<sst xmlns="http://schemas.openxmlformats.org/spreadsheetml/2006/main" count="284" uniqueCount="221">
  <si>
    <t/>
  </si>
  <si>
    <t>Country</t>
  </si>
  <si>
    <t>Urban</t>
  </si>
  <si>
    <t>Angola</t>
  </si>
  <si>
    <t>0.4 (CI: 0.0 – 0.8)</t>
  </si>
  <si>
    <t>1.4 (CI: 0.6 – 2.1)</t>
  </si>
  <si>
    <t>0.5 (CI: 0.1 – 0.9)</t>
  </si>
  <si>
    <t>0.3 (CI: 0.0 – 0.8)</t>
  </si>
  <si>
    <t>0.5 (CI: 0.0 – 1.2)</t>
  </si>
  <si>
    <t>0.8 (CI: 0.1 – 1.4)</t>
  </si>
  <si>
    <t>0.4 (CI: 0.0 – 1.0)</t>
  </si>
  <si>
    <t>Burkina Faso</t>
  </si>
  <si>
    <t>0.3 (CI: 0.0 – 0.5)</t>
  </si>
  <si>
    <t>0.0 (CI: 0.0 – 0.0)</t>
  </si>
  <si>
    <t>0.4 (CI: 0.0 – 1.1)</t>
  </si>
  <si>
    <t>0.4 (CI: 0.0 – 0.7)</t>
  </si>
  <si>
    <t>0.7 (CI: 0.0 – 1.3)</t>
  </si>
  <si>
    <t>0.1 (CI: 0.0 – 0.1)</t>
  </si>
  <si>
    <t>0.5 (CI: 0.0 – 0.9)</t>
  </si>
  <si>
    <t>0.4 (CI: 0.0 – 0.9)</t>
  </si>
  <si>
    <t>0.5 (CI: 0.0 – 1.1)</t>
  </si>
  <si>
    <t>0.9 (CI: 0.0 – 2.3)</t>
  </si>
  <si>
    <t>0.2 (CI: 0.0 – 0.5)</t>
  </si>
  <si>
    <t>0.3 (CI: 0.0 – 0.7)</t>
  </si>
  <si>
    <t>2.3 (CI: 0.6 – 4.1)</t>
  </si>
  <si>
    <t>0.9 (CI: 0.3 – 1.4)</t>
  </si>
  <si>
    <t>0.7 (CI: 0.1 – 1.2)</t>
  </si>
  <si>
    <t>0.6 (CI: 0.0 – 1.4)</t>
  </si>
  <si>
    <t>1.0 (CI: 0.0 – 2.6)</t>
  </si>
  <si>
    <t>Burundi</t>
  </si>
  <si>
    <t>0.3 (CI: 0.1 – 0.5)</t>
  </si>
  <si>
    <t>0.1 (CI: 0.0 – 0.2)</t>
  </si>
  <si>
    <t>0.5 (CI: 0.2 – 0.9)</t>
  </si>
  <si>
    <t>1.2 (CI: 0.3 – 2.1)</t>
  </si>
  <si>
    <t>0.1 (CI: 0.0 – 0.3)</t>
  </si>
  <si>
    <t>0.3 (CI: 0.0 – 0.9)</t>
  </si>
  <si>
    <t>0.2 (CI: 0.0 – 0.4)</t>
  </si>
  <si>
    <t>2.6 (CI: 1.1 – 4.0)</t>
  </si>
  <si>
    <t>Cameroon</t>
  </si>
  <si>
    <t>1.3 (CI: 0.5 – 2.1)</t>
  </si>
  <si>
    <t>3.1 (CI: 1.6 – 4.6)</t>
  </si>
  <si>
    <t>2.5 (CI: 1.5 – 3.5)</t>
  </si>
  <si>
    <t>2.8 (CI: 1.9 – 3.6)</t>
  </si>
  <si>
    <t>2.6 (CI: 1.6 – 3.5)</t>
  </si>
  <si>
    <t>0.5 (CI: 0.0 – 1.0)</t>
  </si>
  <si>
    <t>0.5 (CI: 0.1 – 0.8)</t>
  </si>
  <si>
    <t>5.4 (CI: 4.0 – 6.8)</t>
  </si>
  <si>
    <t>3.4 (CI: 2.1 – 4.7)</t>
  </si>
  <si>
    <t>1.4 (CI: 0.7 – 2.2)</t>
  </si>
  <si>
    <t>1.5 (CI: 0.4 – 2.5)</t>
  </si>
  <si>
    <t>Chad</t>
  </si>
  <si>
    <t>1.8 (CI: 0.5 – 3.2)</t>
  </si>
  <si>
    <t>4.7 (CI: 2.5 – 6.8)</t>
  </si>
  <si>
    <t>0.3 (CI: 0.0 – 0.6)</t>
  </si>
  <si>
    <t>1.4 (CI: 0.3 – 2.5)</t>
  </si>
  <si>
    <t>1.0 (CI: 0.0 – 2.5)</t>
  </si>
  <si>
    <t>0.8 (CI: 0.2 – 1.5)</t>
  </si>
  <si>
    <t>0.6 (CI: 0.1 – 1.0)</t>
  </si>
  <si>
    <t>1.1 (CI: 0.0 – 2.6)</t>
  </si>
  <si>
    <t>0.6 (CI: 0.0 – 1.3)</t>
  </si>
  <si>
    <t>0.7 (CI: 0.1 – 1.3)</t>
  </si>
  <si>
    <t>1.0 (CI: 0.1 – 2.0)</t>
  </si>
  <si>
    <t>Cote d'Ivoire</t>
  </si>
  <si>
    <t>2.5 (CI: 1.3 – 3.6)</t>
  </si>
  <si>
    <t>1.7 (CI: 0.7 – 2.7)</t>
  </si>
  <si>
    <t>1.6 (CI: 0.4 – 2.8)</t>
  </si>
  <si>
    <t>0.2 (CI: 0.0 – 0.6)</t>
  </si>
  <si>
    <t>Eswatini</t>
  </si>
  <si>
    <t>27.0 (CI: 22.3 – 31.7)</t>
  </si>
  <si>
    <t>21.3 (CI: 18.8 – 23.9)</t>
  </si>
  <si>
    <t>7.2 (CI: 4.3 – 10.1)</t>
  </si>
  <si>
    <t>5.5 (CI: 4.1 – 6.9)</t>
  </si>
  <si>
    <t>Ethiopia</t>
  </si>
  <si>
    <t>0.4 (CI: 0.1 – 0.7)</t>
  </si>
  <si>
    <t>0.0 (CI: 0.0 – 0.1)</t>
  </si>
  <si>
    <t>0.9 (CI: 0.4 – 1.4)</t>
  </si>
  <si>
    <t>3.3 (CI: 1.3 – 5.4)</t>
  </si>
  <si>
    <t>Gabon</t>
  </si>
  <si>
    <t>2.4 (CI: 1.3 – 3.5)</t>
  </si>
  <si>
    <t>2.5 (CI: 1.3 – 3.7)</t>
  </si>
  <si>
    <t>1.9 (CI: 0.6 – 3.2)</t>
  </si>
  <si>
    <t>0.7 (CI: 0.0 – 1.4)</t>
  </si>
  <si>
    <t>Gambia</t>
  </si>
  <si>
    <t>Ghana</t>
  </si>
  <si>
    <t>1.2 (CI: 0.3 – 2.0)</t>
  </si>
  <si>
    <t>1.8 (CI: 0.1 – 3.5)</t>
  </si>
  <si>
    <t>0.5 (CI: 0.1 – 1.0)</t>
  </si>
  <si>
    <t>0.9 (CI: 0.3 – 1.6)</t>
  </si>
  <si>
    <t>1.5 (CI: 0.7 – 2.3)</t>
  </si>
  <si>
    <t>Guinea</t>
  </si>
  <si>
    <t>1.1 (CI: 0.1 – 2.1)</t>
  </si>
  <si>
    <t>1.7 (CI: 0.8 – 2.6)</t>
  </si>
  <si>
    <t>0.9 (CI: 0.1 – 1.6)</t>
  </si>
  <si>
    <t>Kenya</t>
  </si>
  <si>
    <t>7.6 (CI: 4.9 – 10.2)</t>
  </si>
  <si>
    <t>5.3 (CI: 3.6 – 7.0)</t>
  </si>
  <si>
    <t>2.6 (CI: 0.7 – 4.4)</t>
  </si>
  <si>
    <t>0.8 (CI: 0.3 – 1.4)</t>
  </si>
  <si>
    <t>Lesotho</t>
  </si>
  <si>
    <t>16.3 (CI: 11.6 – 20.9)</t>
  </si>
  <si>
    <t>11.5 (CI: 9.1 – 13.9)</t>
  </si>
  <si>
    <t>9.2 (CI: 4.6 – 13.8)</t>
  </si>
  <si>
    <t>4.5 (CI: 2.5 – 6.5)</t>
  </si>
  <si>
    <t>21.3 (CI: 14.6 – 28.1)</t>
  </si>
  <si>
    <t>13.9 (CI: 11.4 – 16.5)</t>
  </si>
  <si>
    <t>4.6 (CI: 0.0 – 9.3)</t>
  </si>
  <si>
    <t>6.2 (CI: 4.3 – 8.1)</t>
  </si>
  <si>
    <t>Liberia</t>
  </si>
  <si>
    <t>1.9 (CI: 0.5 – 3.2)</t>
  </si>
  <si>
    <t>1.0 (CI: 0.0 – 2.1)</t>
  </si>
  <si>
    <t>1.0 (CI: 0.0 – 2.0)</t>
  </si>
  <si>
    <t>2.0 (CI: 1.2 – 2.9)</t>
  </si>
  <si>
    <t>0.9 (CI: 0.3 – 1.5)</t>
  </si>
  <si>
    <t>Malawi</t>
  </si>
  <si>
    <t>9.1 (CI: 5.0 – 13.1)</t>
  </si>
  <si>
    <t>3.9 (CI: 3.0 – 4.8)</t>
  </si>
  <si>
    <t>1.0 (CI: 0.5 – 1.5)</t>
  </si>
  <si>
    <t>1.1 (CI: 0.3 – 1.9)</t>
  </si>
  <si>
    <t>1.0 (CI: 0.3 – 1.7)</t>
  </si>
  <si>
    <t>1.0 (CI: 0.5 – 1.6)</t>
  </si>
  <si>
    <t>13.3 (CI: 8.5 – 18.1)</t>
  </si>
  <si>
    <t>8.2 (CI: 6.3 – 10.1)</t>
  </si>
  <si>
    <t>2.5 (CI: 1.2 – 3.9)</t>
  </si>
  <si>
    <t>Mali</t>
  </si>
  <si>
    <t>1.5 (CI: 0.2 – 2.8)</t>
  </si>
  <si>
    <t>0.6 (CI: 0.0 – 1.1)</t>
  </si>
  <si>
    <t>Mozambique</t>
  </si>
  <si>
    <t>11.8 (CI: 8.9 – 14.7)</t>
  </si>
  <si>
    <t>8.5 (CI: 6.3 – 10.6)</t>
  </si>
  <si>
    <t>4.0 (CI: 2.2 – 5.9)</t>
  </si>
  <si>
    <t>2.4 (CI: 0.9 – 3.9)</t>
  </si>
  <si>
    <t>14.3 (CI: 10.6 – 18.0)</t>
  </si>
  <si>
    <t>9.2 (CI: 6.6 – 11.8)</t>
  </si>
  <si>
    <t>5.3 (CI: 3.3 – 7.3)</t>
  </si>
  <si>
    <t>Namibia</t>
  </si>
  <si>
    <t>4.5 (CI: 2.7 – 6.3)</t>
  </si>
  <si>
    <t>4.4 (CI: 2.8 – 5.9)</t>
  </si>
  <si>
    <t>2.9 (CI: 1.4 – 4.5)</t>
  </si>
  <si>
    <t>Niger</t>
  </si>
  <si>
    <t>Rwanda</t>
  </si>
  <si>
    <t>1.8 (CI: 1.1 – 2.6)</t>
  </si>
  <si>
    <t>2.7 (CI: 1.5 – 4.0)</t>
  </si>
  <si>
    <t>1.0 (CI: 0.4 – 1.5)</t>
  </si>
  <si>
    <t>1.3 (CI: 0.3 – 2.4)</t>
  </si>
  <si>
    <t>1.0 (CI: 0.2 – 1.8)</t>
  </si>
  <si>
    <t>4.1 (CI: 2.4 – 5.7)</t>
  </si>
  <si>
    <t>Senegal</t>
  </si>
  <si>
    <t>Sierra Leone</t>
  </si>
  <si>
    <t>0.9 (CI: 0.2 – 1.5)</t>
  </si>
  <si>
    <t>0.6 (CI: 0.1 – 1.1)</t>
  </si>
  <si>
    <t>2.0 (CI: 0.7 – 3.3)</t>
  </si>
  <si>
    <t>1.1 (CI: 0.0 – 2.1)</t>
  </si>
  <si>
    <t>South Africa</t>
  </si>
  <si>
    <t>11.6 (CI: 7.1 – 16.2)</t>
  </si>
  <si>
    <t>11.6 (CI: 8.3 – 15.0)</t>
  </si>
  <si>
    <t>4.7 (CI: 1.3 – 8.0)</t>
  </si>
  <si>
    <t>1.8 (CI: 0.6 – 3.1)</t>
  </si>
  <si>
    <t>Tanzania</t>
  </si>
  <si>
    <t>3.9 (CI: 2.2 – 5.7)</t>
  </si>
  <si>
    <t>2.2 (CI: 1.5 – 2.8)</t>
  </si>
  <si>
    <t>2.4 (CI: 0.8 – 4.0)</t>
  </si>
  <si>
    <t>0.7 (CI: 0.4 – 1.1)</t>
  </si>
  <si>
    <t>5.5 (CI: 3.4 – 7.6)</t>
  </si>
  <si>
    <t>3.2 (CI: 2.2 – 4.2)</t>
  </si>
  <si>
    <t>5.6 (CI: 3.3 – 7.9)</t>
  </si>
  <si>
    <t>Togo</t>
  </si>
  <si>
    <t>Uganda</t>
  </si>
  <si>
    <t>5.9 (CI: 4.2 – 7.6)</t>
  </si>
  <si>
    <t>4.6 (CI: 3.7 – 5.5)</t>
  </si>
  <si>
    <t>1.6 (CI: 0.2 – 3.0)</t>
  </si>
  <si>
    <t>2.3 (CI: 1.6 – 2.9)</t>
  </si>
  <si>
    <t>6.9 (CI: 4.8 – 9.0)</t>
  </si>
  <si>
    <t>3.8 (CI: 2.9 – 4.7)</t>
  </si>
  <si>
    <t>0.9 (CI: 0.5 – 1.3)</t>
  </si>
  <si>
    <t>Zambia</t>
  </si>
  <si>
    <t>11.1 (CI: 9.0 – 13.3)</t>
  </si>
  <si>
    <t>6.2 (CI: 4.5 – 7.9)</t>
  </si>
  <si>
    <t>5.7 (CI: 3.8 – 7.5)</t>
  </si>
  <si>
    <t>2.9 (CI: 1.7 – 4.1)</t>
  </si>
  <si>
    <t>Zimbabwe</t>
  </si>
  <si>
    <t>6.6 (CI: 5.3 – 8.0)</t>
  </si>
  <si>
    <t>6.9 (CI: 5.5 – 8.2)</t>
  </si>
  <si>
    <t>2.8 (CI: 1.5 – 4.1)</t>
  </si>
  <si>
    <t>3.0 (CI: 2.2 – 3.8)</t>
  </si>
  <si>
    <t>11.2 (CI: 9.2 – 13.2)</t>
  </si>
  <si>
    <t>10.9 (CI: 9.2 – 12.5)</t>
  </si>
  <si>
    <t>4.4 (CI: 2.8 – 6.0)</t>
  </si>
  <si>
    <t>4.1 (CI: 2.8 – 5.5)</t>
  </si>
  <si>
    <t>DR Congo</t>
  </si>
  <si>
    <t xml:space="preserve"> </t>
  </si>
  <si>
    <t>Year</t>
  </si>
  <si>
    <t>Last</t>
  </si>
  <si>
    <t>Urb</t>
  </si>
  <si>
    <t>Rur</t>
  </si>
  <si>
    <t>Male</t>
  </si>
  <si>
    <t>7.5 (5.3 - 9.7)</t>
  </si>
  <si>
    <t>4.0 (3.0 - 4.9)</t>
  </si>
  <si>
    <t>2.7 (1.6 - 3.8)</t>
  </si>
  <si>
    <t>1.0 (0.6 - 1.4)</t>
  </si>
  <si>
    <t>Higher prevalence</t>
  </si>
  <si>
    <t>Lower prevalence</t>
  </si>
  <si>
    <t>First</t>
  </si>
  <si>
    <t>Female</t>
  </si>
  <si>
    <t>Bold: non-overlapping 95% confidence intervals</t>
  </si>
  <si>
    <t>0.4 (CI: 0.0 - 0.9)</t>
  </si>
  <si>
    <t>0.0 (na)</t>
  </si>
  <si>
    <t>0.0 (0.0 - 0.0)</t>
  </si>
  <si>
    <t>1.2 (CI: 0.3 - 2.1)</t>
  </si>
  <si>
    <t>0.1 (CI: 0.0 - 0.3)</t>
  </si>
  <si>
    <t>0.0 (CI: 0.0 - 0.0)</t>
  </si>
  <si>
    <t>0.1 (CI: 0.0 - 0.2)</t>
  </si>
  <si>
    <t>Females Urban (First-Last)</t>
  </si>
  <si>
    <t>SE1</t>
  </si>
  <si>
    <t>SE2</t>
  </si>
  <si>
    <t>Setot</t>
  </si>
  <si>
    <t>Z</t>
  </si>
  <si>
    <t>p value</t>
  </si>
  <si>
    <t>Females Rur Fist-Last</t>
  </si>
  <si>
    <t>SEtot</t>
  </si>
  <si>
    <t>Males Urb Firs-Lastt</t>
  </si>
  <si>
    <t>Males Rur First-Last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</si>
</sst>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49">
    <xf numFmtId="0" fontId="0" fillId="0" borderId="0" xfId="0" applyNumberFormat="1"/>
    <xf numFmtId="0" fontId="5" fillId="0" borderId="0" xfId="0" applyNumberFormat="1" applyFont="1"/>
    <xf numFmtId="0" fontId="6" fillId="0" borderId="0" xfId="0" applyNumberFormat="1" applyFont="1"/>
    <xf numFmtId="0" fontId="6" fillId="0" borderId="0" xfId="0" applyFont="1"/>
    <xf numFmtId="0" fontId="4" fillId="0" borderId="0" xfId="0" applyNumberFormat="1" applyFont="1"/>
    <xf numFmtId="0" fontId="3" fillId="0" borderId="0" xfId="0" applyNumberFormat="1" applyFont="1"/>
    <xf numFmtId="0" fontId="3" fillId="0" borderId="0" xfId="0" applyNumberFormat="1" applyFont="1" applyAlignment="1">
      <alignment horizontal="right"/>
    </xf>
    <xf numFmtId="0" fontId="5" fillId="0" borderId="0" xfId="0" applyNumberFormat="1" applyFont="1" applyAlignment="1">
      <alignment horizontal="right"/>
    </xf>
    <xf numFmtId="0" fontId="2" fillId="0" borderId="0" xfId="0" applyNumberFormat="1" applyFont="1"/>
    <xf numFmtId="0" fontId="2" fillId="0" borderId="0" xfId="0" applyNumberFormat="1" applyFont="1" applyAlignment="1">
      <alignment horizontal="right"/>
    </xf>
    <xf numFmtId="0" fontId="7" fillId="0" borderId="0" xfId="0" applyNumberFormat="1" applyFont="1" applyAlignment="1">
      <alignment horizontal="right"/>
    </xf>
    <xf numFmtId="0" fontId="5" fillId="0" borderId="1" xfId="0" applyNumberFormat="1" applyFont="1" applyBorder="1"/>
    <xf numFmtId="0" fontId="5" fillId="0" borderId="1" xfId="0" applyNumberFormat="1" applyFont="1" applyBorder="1" applyAlignment="1">
      <alignment horizontal="right"/>
    </xf>
    <xf numFmtId="0" fontId="2" fillId="0" borderId="1" xfId="0" applyNumberFormat="1" applyFont="1" applyBorder="1"/>
    <xf numFmtId="0" fontId="7" fillId="0" borderId="1" xfId="0" applyNumberFormat="1" applyFont="1" applyBorder="1" applyAlignment="1">
      <alignment horizontal="right"/>
    </xf>
    <xf numFmtId="0" fontId="3" fillId="0" borderId="1" xfId="0" applyNumberFormat="1" applyFont="1" applyBorder="1" applyAlignment="1">
      <alignment horizontal="right"/>
    </xf>
    <xf numFmtId="0" fontId="2" fillId="0" borderId="3" xfId="0" applyNumberFormat="1" applyFont="1" applyBorder="1"/>
    <xf numFmtId="0" fontId="2" fillId="0" borderId="3" xfId="0" applyNumberFormat="1" applyFont="1" applyBorder="1" applyAlignment="1">
      <alignment horizontal="right"/>
    </xf>
    <xf numFmtId="0" fontId="5" fillId="0" borderId="3" xfId="0" applyNumberFormat="1" applyFont="1" applyBorder="1"/>
    <xf numFmtId="0" fontId="5" fillId="0" borderId="0" xfId="0" applyNumberFormat="1" applyFont="1" applyBorder="1"/>
    <xf numFmtId="0" fontId="7" fillId="0" borderId="0" xfId="0" applyNumberFormat="1" applyFont="1" applyBorder="1" applyAlignment="1">
      <alignment horizontal="right"/>
    </xf>
    <xf numFmtId="0" fontId="5" fillId="0" borderId="0" xfId="0" applyNumberFormat="1" applyFont="1" applyBorder="1" applyAlignment="1">
      <alignment horizontal="right"/>
    </xf>
    <xf numFmtId="0" fontId="7" fillId="0" borderId="0" xfId="0" applyNumberFormat="1" applyFont="1" applyBorder="1"/>
    <xf numFmtId="0" fontId="3" fillId="0" borderId="1" xfId="0" applyNumberFormat="1" applyFont="1" applyBorder="1"/>
    <xf numFmtId="0" fontId="2" fillId="0" borderId="2" xfId="0" applyNumberFormat="1" applyFont="1" applyBorder="1"/>
    <xf numFmtId="0" fontId="1" fillId="0" borderId="0" xfId="0" applyNumberFormat="1" applyFont="1" applyAlignment="1">
      <alignment horizontal="right"/>
    </xf>
    <xf numFmtId="0" fontId="7" fillId="2" borderId="1" xfId="0" applyNumberFormat="1" applyFont="1" applyFill="1" applyBorder="1" applyAlignment="1">
      <alignment horizontal="right"/>
    </xf>
    <xf numFmtId="0" fontId="7" fillId="2" borderId="0" xfId="0" applyNumberFormat="1" applyFont="1" applyFill="1" applyBorder="1" applyAlignment="1">
      <alignment horizontal="right"/>
    </xf>
    <xf numFmtId="164" fontId="1" fillId="2" borderId="0" xfId="0" applyNumberFormat="1" applyFont="1" applyFill="1" applyBorder="1" applyAlignment="1">
      <alignment horizontal="right"/>
    </xf>
    <xf numFmtId="164" fontId="1" fillId="2" borderId="0" xfId="0" applyNumberFormat="1" applyFont="1" applyFill="1" applyAlignment="1">
      <alignment horizontal="right"/>
    </xf>
    <xf numFmtId="164" fontId="1" fillId="2" borderId="1" xfId="0" applyNumberFormat="1" applyFont="1" applyFill="1" applyBorder="1" applyAlignment="1">
      <alignment horizontal="right"/>
    </xf>
    <xf numFmtId="0" fontId="5" fillId="2" borderId="1" xfId="0" applyNumberFormat="1" applyFont="1" applyFill="1" applyBorder="1" applyAlignment="1">
      <alignment horizontal="right"/>
    </xf>
    <xf numFmtId="164" fontId="5" fillId="2" borderId="1" xfId="0" applyNumberFormat="1" applyFont="1" applyFill="1" applyBorder="1" applyAlignment="1">
      <alignment horizontal="right"/>
    </xf>
    <xf numFmtId="164" fontId="5" fillId="2" borderId="0" xfId="0" applyNumberFormat="1" applyFont="1" applyFill="1" applyBorder="1" applyAlignment="1">
      <alignment horizontal="right"/>
    </xf>
    <xf numFmtId="0" fontId="5" fillId="2" borderId="0" xfId="0" applyNumberFormat="1" applyFont="1" applyFill="1" applyBorder="1" applyAlignment="1">
      <alignment horizontal="right"/>
    </xf>
    <xf numFmtId="164" fontId="5" fillId="2" borderId="0" xfId="0" applyNumberFormat="1" applyFont="1" applyFill="1" applyAlignment="1">
      <alignment horizontal="right"/>
    </xf>
    <xf numFmtId="0" fontId="5" fillId="2" borderId="0" xfId="0" applyNumberFormat="1" applyFont="1" applyFill="1" applyAlignment="1">
      <alignment horizontal="right"/>
    </xf>
    <xf numFmtId="164" fontId="3" fillId="2" borderId="0" xfId="0" applyNumberFormat="1" applyFont="1" applyFill="1" applyAlignment="1">
      <alignment horizontal="right"/>
    </xf>
    <xf numFmtId="0" fontId="3" fillId="2" borderId="0" xfId="0" applyNumberFormat="1" applyFont="1" applyFill="1" applyAlignment="1">
      <alignment horizontal="right"/>
    </xf>
    <xf numFmtId="0" fontId="1" fillId="2" borderId="0" xfId="0" applyNumberFormat="1" applyFont="1" applyFill="1" applyAlignment="1">
      <alignment horizontal="right"/>
    </xf>
    <xf numFmtId="164" fontId="2" fillId="2" borderId="0" xfId="0" applyNumberFormat="1" applyFont="1" applyFill="1" applyAlignment="1">
      <alignment horizontal="right"/>
    </xf>
    <xf numFmtId="0" fontId="2" fillId="2" borderId="0" xfId="0" applyNumberFormat="1" applyFont="1" applyFill="1" applyAlignment="1">
      <alignment horizontal="right"/>
    </xf>
    <xf numFmtId="0" fontId="5" fillId="2" borderId="0" xfId="0" applyNumberFormat="1" applyFont="1" applyFill="1"/>
    <xf numFmtId="0" fontId="2" fillId="2" borderId="0" xfId="0" applyNumberFormat="1" applyFont="1" applyFill="1"/>
    <xf numFmtId="0" fontId="7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7" fillId="2" borderId="3" xfId="0" applyNumberFormat="1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AF92"/>
  <sheetViews>
    <sheetView tabSelected="1" topLeftCell="AA1" zoomScale="117" zoomScaleNormal="98" workbookViewId="0">
      <selection activeCell="AG8" sqref="AG8"/>
    </sheetView>
  </sheetViews>
  <sheetFormatPr defaultColWidth="8.75" defaultRowHeight="13" x14ac:dyDescent="0.3"/>
  <cols>
    <col min="1" max="1" width="8.75" style="1"/>
    <col min="2" max="2" width="15.75" style="1" customWidth="1"/>
    <col min="3" max="4" width="6.58203125" style="1" customWidth="1"/>
    <col min="5" max="5" width="15.75" style="1" customWidth="1"/>
    <col min="6" max="11" width="15.33203125" style="1" customWidth="1"/>
    <col min="12" max="12" width="15.75" style="1" customWidth="1"/>
    <col min="13" max="18" width="15" style="1" customWidth="1"/>
    <col min="19" max="23" width="15.75" style="1" customWidth="1"/>
    <col min="24" max="24" width="17.33203125" style="1" customWidth="1"/>
    <col min="25" max="1326" width="15.75" style="1" customWidth="1"/>
    <col min="1327" max="16384" width="8.75" style="1"/>
  </cols>
  <sheetData>
    <row r="1" spans="2:32" x14ac:dyDescent="0.3">
      <c r="E1" s="13" t="s">
        <v>202</v>
      </c>
      <c r="F1" s="13" t="s">
        <v>189</v>
      </c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 t="s">
        <v>194</v>
      </c>
      <c r="T1" s="13"/>
      <c r="U1" s="13"/>
      <c r="V1" s="13"/>
      <c r="W1" s="13"/>
      <c r="X1" s="13"/>
      <c r="Y1" s="13"/>
      <c r="Z1" s="13"/>
      <c r="AA1" s="13"/>
    </row>
    <row r="2" spans="2:32" ht="15.5" customHeight="1" x14ac:dyDescent="0.3">
      <c r="B2" s="16" t="s">
        <v>1</v>
      </c>
      <c r="C2" s="17" t="s">
        <v>190</v>
      </c>
      <c r="D2" s="18"/>
      <c r="E2" s="24" t="s">
        <v>201</v>
      </c>
      <c r="F2" s="24" t="s">
        <v>191</v>
      </c>
      <c r="G2" s="45" t="s">
        <v>211</v>
      </c>
      <c r="H2" s="45"/>
      <c r="I2" s="45"/>
      <c r="J2" s="45"/>
      <c r="K2" s="45"/>
      <c r="L2" s="24" t="s">
        <v>201</v>
      </c>
      <c r="M2" s="24" t="s">
        <v>191</v>
      </c>
      <c r="N2" s="46" t="s">
        <v>217</v>
      </c>
      <c r="O2" s="47"/>
      <c r="P2" s="47"/>
      <c r="Q2" s="47"/>
      <c r="R2" s="47"/>
      <c r="S2" s="24" t="s">
        <v>201</v>
      </c>
      <c r="T2" s="24" t="s">
        <v>191</v>
      </c>
      <c r="U2" s="46" t="s">
        <v>219</v>
      </c>
      <c r="V2" s="46"/>
      <c r="W2" s="46"/>
      <c r="X2" s="46"/>
      <c r="Y2" s="46"/>
      <c r="Z2" s="24" t="s">
        <v>201</v>
      </c>
      <c r="AA2" s="24" t="s">
        <v>191</v>
      </c>
      <c r="AB2" s="48" t="s">
        <v>220</v>
      </c>
      <c r="AC2" s="48"/>
      <c r="AD2" s="48"/>
      <c r="AE2" s="48"/>
      <c r="AF2" s="48"/>
    </row>
    <row r="3" spans="2:32" x14ac:dyDescent="0.3">
      <c r="B3" s="11"/>
      <c r="C3" s="14" t="s">
        <v>201</v>
      </c>
      <c r="D3" s="14" t="s">
        <v>191</v>
      </c>
      <c r="E3" s="14" t="s">
        <v>192</v>
      </c>
      <c r="F3" s="14" t="s">
        <v>2</v>
      </c>
      <c r="G3" s="26" t="s">
        <v>212</v>
      </c>
      <c r="H3" s="26" t="s">
        <v>213</v>
      </c>
      <c r="I3" s="26" t="s">
        <v>214</v>
      </c>
      <c r="J3" s="26" t="s">
        <v>215</v>
      </c>
      <c r="K3" s="26" t="s">
        <v>216</v>
      </c>
      <c r="L3" s="14" t="s">
        <v>193</v>
      </c>
      <c r="M3" s="14" t="s">
        <v>193</v>
      </c>
      <c r="N3" s="26" t="s">
        <v>212</v>
      </c>
      <c r="O3" s="26" t="s">
        <v>213</v>
      </c>
      <c r="P3" s="26" t="s">
        <v>214</v>
      </c>
      <c r="Q3" s="26" t="s">
        <v>215</v>
      </c>
      <c r="R3" s="26" t="s">
        <v>216</v>
      </c>
      <c r="S3" s="14" t="s">
        <v>192</v>
      </c>
      <c r="T3" s="14" t="s">
        <v>192</v>
      </c>
      <c r="U3" s="26" t="s">
        <v>212</v>
      </c>
      <c r="V3" s="26" t="s">
        <v>213</v>
      </c>
      <c r="W3" s="26" t="s">
        <v>218</v>
      </c>
      <c r="X3" s="26" t="s">
        <v>215</v>
      </c>
      <c r="Y3" s="26" t="s">
        <v>216</v>
      </c>
      <c r="Z3" s="14" t="s">
        <v>193</v>
      </c>
      <c r="AA3" s="14" t="s">
        <v>193</v>
      </c>
      <c r="AB3" s="44" t="s">
        <v>212</v>
      </c>
      <c r="AC3" s="44" t="s">
        <v>213</v>
      </c>
      <c r="AD3" s="44" t="s">
        <v>218</v>
      </c>
      <c r="AE3" s="44" t="s">
        <v>215</v>
      </c>
      <c r="AF3" s="44" t="s">
        <v>216</v>
      </c>
    </row>
    <row r="4" spans="2:32" x14ac:dyDescent="0.3">
      <c r="B4" s="22" t="s">
        <v>199</v>
      </c>
      <c r="C4" s="20"/>
      <c r="D4" s="20"/>
      <c r="E4" s="20"/>
      <c r="F4" s="20"/>
      <c r="G4" s="27"/>
      <c r="H4" s="27"/>
      <c r="I4" s="27"/>
      <c r="J4" s="27"/>
      <c r="K4" s="27"/>
      <c r="L4" s="20"/>
      <c r="M4" s="20"/>
      <c r="N4" s="27"/>
      <c r="O4" s="27"/>
      <c r="P4" s="27"/>
      <c r="Q4" s="27"/>
      <c r="R4" s="27"/>
      <c r="S4" s="20"/>
      <c r="T4" s="20"/>
      <c r="U4" s="27"/>
      <c r="V4" s="27"/>
      <c r="W4" s="27"/>
      <c r="X4" s="27"/>
      <c r="Y4" s="27"/>
      <c r="Z4" s="20"/>
      <c r="AA4" s="20"/>
      <c r="AB4" s="42"/>
      <c r="AC4" s="42"/>
      <c r="AD4" s="42"/>
      <c r="AE4" s="42"/>
      <c r="AF4" s="42"/>
    </row>
    <row r="5" spans="2:32" x14ac:dyDescent="0.3">
      <c r="B5" s="19" t="s">
        <v>38</v>
      </c>
      <c r="C5" s="21">
        <v>2004</v>
      </c>
      <c r="D5" s="19">
        <v>2011</v>
      </c>
      <c r="E5" s="20" t="s">
        <v>46</v>
      </c>
      <c r="F5" s="20" t="s">
        <v>42</v>
      </c>
      <c r="G5" s="28">
        <f>1.4/1.96</f>
        <v>0.7142857142857143</v>
      </c>
      <c r="H5" s="28">
        <f>0.9/1.96</f>
        <v>0.45918367346938777</v>
      </c>
      <c r="I5" s="28">
        <f>SQRT(G5^2+H5^2)</f>
        <v>0.84914882536189995</v>
      </c>
      <c r="J5" s="28">
        <f>(5.4-2.8)/I5</f>
        <v>3.0618896503706554</v>
      </c>
      <c r="K5" s="28">
        <f>EXP(-0.717*J5-0.416*(J5^2))</f>
        <v>2.2531075925579518E-3</v>
      </c>
      <c r="L5" s="21" t="s">
        <v>47</v>
      </c>
      <c r="M5" s="21" t="s">
        <v>43</v>
      </c>
      <c r="N5" s="28">
        <f>(3.4-2.1)/1.96</f>
        <v>0.66326530612244894</v>
      </c>
      <c r="O5" s="28">
        <f>(2.6-1.6)/1.96</f>
        <v>0.51020408163265307</v>
      </c>
      <c r="P5" s="28">
        <f>SQRT(N5^2+O5^2)</f>
        <v>0.83679691157432268</v>
      </c>
      <c r="Q5" s="28">
        <f>(3.4-2.6)/P5</f>
        <v>0.95602647301231747</v>
      </c>
      <c r="R5" s="28">
        <f>EXP(-0.717*Q5-0.416*(Q5^2))</f>
        <v>0.34449027650926162</v>
      </c>
      <c r="S5" s="21" t="s">
        <v>48</v>
      </c>
      <c r="T5" s="21" t="s">
        <v>6</v>
      </c>
      <c r="U5" s="33">
        <f>(1.4-0.7)/1.96</f>
        <v>0.35714285714285715</v>
      </c>
      <c r="V5" s="34">
        <f>(0.5-0.1)/1.96</f>
        <v>0.20408163265306123</v>
      </c>
      <c r="W5" s="33">
        <f>SQRT(U5^2+V5^2)</f>
        <v>0.41133968103564028</v>
      </c>
      <c r="X5" s="34">
        <f>(1.4-0.5)/W5</f>
        <v>2.1879727181536368</v>
      </c>
      <c r="Y5" s="33">
        <f>EXP(-0.717*X5-0.416*(X5^2))</f>
        <v>2.8431378160681819E-2</v>
      </c>
      <c r="Z5" s="21" t="s">
        <v>49</v>
      </c>
      <c r="AA5" s="21" t="s">
        <v>45</v>
      </c>
      <c r="AB5" s="42">
        <f>(1.5-0.4)/1.96</f>
        <v>0.56122448979591844</v>
      </c>
      <c r="AC5" s="42">
        <f>(0.5-0.1)/1.96</f>
        <v>0.20408163265306123</v>
      </c>
      <c r="AD5" s="42">
        <f>SQRT(AB5^2+AC5^2)</f>
        <v>0.59717856687345039</v>
      </c>
      <c r="AE5" s="42">
        <f>(1.5-0.5)/AD5</f>
        <v>1.6745410091248512</v>
      </c>
      <c r="AF5" s="42">
        <f>EXP(-0.717*AE5-0.416*(AE5^2))</f>
        <v>9.3747869333546188E-2</v>
      </c>
    </row>
    <row r="6" spans="2:32" x14ac:dyDescent="0.3">
      <c r="B6" s="1" t="s">
        <v>67</v>
      </c>
      <c r="C6" s="6">
        <v>2007</v>
      </c>
      <c r="E6" s="7" t="s">
        <v>68</v>
      </c>
      <c r="F6" s="7"/>
      <c r="G6" s="29"/>
      <c r="H6" s="29"/>
      <c r="I6" s="28"/>
      <c r="J6" s="29"/>
      <c r="K6" s="28"/>
      <c r="L6" s="7" t="s">
        <v>69</v>
      </c>
      <c r="M6" s="7"/>
      <c r="N6" s="29"/>
      <c r="O6" s="29"/>
      <c r="P6" s="28"/>
      <c r="Q6" s="29"/>
      <c r="R6" s="28"/>
      <c r="S6" s="7" t="s">
        <v>70</v>
      </c>
      <c r="T6" s="7"/>
      <c r="U6" s="35"/>
      <c r="V6" s="36"/>
      <c r="W6" s="33"/>
      <c r="X6" s="36"/>
      <c r="Y6" s="33"/>
      <c r="Z6" s="7" t="s">
        <v>71</v>
      </c>
      <c r="AA6" s="7"/>
      <c r="AB6" s="42"/>
      <c r="AC6" s="42"/>
      <c r="AD6" s="42"/>
      <c r="AE6" s="42"/>
      <c r="AF6" s="42"/>
    </row>
    <row r="7" spans="2:32" x14ac:dyDescent="0.3">
      <c r="B7" s="1" t="s">
        <v>93</v>
      </c>
      <c r="C7" s="7">
        <v>2003</v>
      </c>
      <c r="E7" s="7" t="s">
        <v>94</v>
      </c>
      <c r="F7" s="7"/>
      <c r="G7" s="29"/>
      <c r="H7" s="29"/>
      <c r="I7" s="28"/>
      <c r="J7" s="29"/>
      <c r="K7" s="28"/>
      <c r="L7" s="7" t="s">
        <v>95</v>
      </c>
      <c r="M7" s="7"/>
      <c r="N7" s="29"/>
      <c r="O7" s="29"/>
      <c r="P7" s="28"/>
      <c r="Q7" s="29"/>
      <c r="R7" s="28"/>
      <c r="S7" s="7" t="s">
        <v>96</v>
      </c>
      <c r="T7" s="7"/>
      <c r="U7" s="35"/>
      <c r="V7" s="36"/>
      <c r="W7" s="33"/>
      <c r="X7" s="36"/>
      <c r="Y7" s="33"/>
      <c r="Z7" s="7" t="s">
        <v>97</v>
      </c>
      <c r="AA7" s="7"/>
      <c r="AB7" s="42"/>
      <c r="AC7" s="42"/>
      <c r="AD7" s="42"/>
      <c r="AE7" s="42"/>
      <c r="AF7" s="42"/>
    </row>
    <row r="8" spans="2:32" x14ac:dyDescent="0.3">
      <c r="B8" s="5" t="s">
        <v>98</v>
      </c>
      <c r="C8" s="1">
        <v>2004</v>
      </c>
      <c r="D8" s="5">
        <v>2014</v>
      </c>
      <c r="E8" s="7" t="s">
        <v>103</v>
      </c>
      <c r="F8" s="7" t="s">
        <v>99</v>
      </c>
      <c r="G8" s="29">
        <f>6.7/1.96</f>
        <v>3.4183673469387759</v>
      </c>
      <c r="H8" s="29">
        <f>4.7/1.96</f>
        <v>2.3979591836734695</v>
      </c>
      <c r="I8" s="28">
        <f t="shared" ref="I8:I34" si="0">SQRT(G8^2+H8^2)</f>
        <v>4.1755770337979845</v>
      </c>
      <c r="J8" s="29">
        <f>(21.3-16.3)/I8</f>
        <v>1.1974392903134023</v>
      </c>
      <c r="K8" s="28">
        <f t="shared" ref="K8:K34" si="1">EXP(-0.717*J8-0.416*(J8^2))</f>
        <v>0.23338867400688654</v>
      </c>
      <c r="L8" s="7" t="s">
        <v>104</v>
      </c>
      <c r="M8" s="7" t="s">
        <v>100</v>
      </c>
      <c r="N8" s="29">
        <f>(13.9-11.4)/1.96</f>
        <v>1.2755102040816326</v>
      </c>
      <c r="O8" s="29">
        <f>(11.5-9.1)/1.96</f>
        <v>1.2244897959183676</v>
      </c>
      <c r="P8" s="28">
        <f t="shared" ref="P8:P34" si="2">SQRT(N8^2+O8^2)</f>
        <v>1.7681350460370875</v>
      </c>
      <c r="Q8" s="29">
        <f>(13.9-11.4)/P8</f>
        <v>1.4139191492206649</v>
      </c>
      <c r="R8" s="28">
        <f t="shared" ref="R8:R34" si="3">EXP(-0.717*Q8-0.416*(Q8^2))</f>
        <v>0.157956807753978</v>
      </c>
      <c r="S8" s="7" t="s">
        <v>105</v>
      </c>
      <c r="T8" s="7" t="s">
        <v>101</v>
      </c>
      <c r="U8" s="35">
        <f>(4.6-9.3)/1.96</f>
        <v>-2.3979591836734699</v>
      </c>
      <c r="V8" s="36">
        <f>(9.2-4.6)/1.96</f>
        <v>2.3469387755102038</v>
      </c>
      <c r="W8" s="33">
        <f t="shared" ref="W8:W35" si="4">SQRT(U8^2+V8^2)</f>
        <v>3.3553434790729351</v>
      </c>
      <c r="X8" s="36">
        <f>(4.6-9.2)/W8</f>
        <v>-1.3709475732335328</v>
      </c>
      <c r="Y8" s="33">
        <f t="shared" ref="Y8:Y34" si="5">EXP(-0.717*X8-0.416*(X8^2))</f>
        <v>1.2227452730682797</v>
      </c>
      <c r="Z8" s="7" t="s">
        <v>106</v>
      </c>
      <c r="AA8" s="7" t="s">
        <v>102</v>
      </c>
      <c r="AB8" s="42">
        <f>(6.2-4.3)/1.96</f>
        <v>0.969387755102041</v>
      </c>
      <c r="AC8" s="42">
        <f>(4.5-2.5)/1.96</f>
        <v>1.0204081632653061</v>
      </c>
      <c r="AD8" s="42">
        <f t="shared" ref="AD8:AD34" si="6">SQRT(AB8^2+AC8^2)</f>
        <v>1.407460635115686</v>
      </c>
      <c r="AE8" s="42">
        <f>(6.2-4.5)/AD8</f>
        <v>1.2078490563682933</v>
      </c>
      <c r="AF8" s="42">
        <f t="shared" ref="AF8:AF34" si="7">EXP(-0.717*AE8-0.416*(AE8^2))</f>
        <v>0.22925281239987133</v>
      </c>
    </row>
    <row r="9" spans="2:32" x14ac:dyDescent="0.3">
      <c r="B9" s="5" t="s">
        <v>113</v>
      </c>
      <c r="C9" s="1">
        <v>2004</v>
      </c>
      <c r="D9" s="5">
        <v>2016</v>
      </c>
      <c r="E9" s="7" t="s">
        <v>120</v>
      </c>
      <c r="F9" s="7" t="s">
        <v>114</v>
      </c>
      <c r="G9" s="29">
        <f>4.8/1.96</f>
        <v>2.4489795918367347</v>
      </c>
      <c r="H9" s="29">
        <f>4.1/1.96</f>
        <v>2.0918367346938775</v>
      </c>
      <c r="I9" s="28">
        <f t="shared" si="0"/>
        <v>3.2207579800176798</v>
      </c>
      <c r="J9" s="29">
        <f>(13.3-9.1)/I9</f>
        <v>1.3040408581016527</v>
      </c>
      <c r="K9" s="28">
        <f t="shared" si="1"/>
        <v>0.19351220761515903</v>
      </c>
      <c r="L9" s="10" t="s">
        <v>121</v>
      </c>
      <c r="M9" s="10" t="s">
        <v>115</v>
      </c>
      <c r="N9" s="29">
        <f>(8.2-6.3)/1.96</f>
        <v>0.96938775510204056</v>
      </c>
      <c r="O9" s="29">
        <f>(3.9-3)/1.96</f>
        <v>0.45918367346938771</v>
      </c>
      <c r="P9" s="28">
        <f t="shared" si="2"/>
        <v>1.0726426551851345</v>
      </c>
      <c r="Q9" s="29">
        <f>(8.2-3.9)/P9</f>
        <v>4.008790792734076</v>
      </c>
      <c r="R9" s="28">
        <f t="shared" si="3"/>
        <v>7.0521642864474705E-5</v>
      </c>
      <c r="S9" s="7" t="s">
        <v>35</v>
      </c>
      <c r="T9" s="7" t="s">
        <v>118</v>
      </c>
      <c r="U9" s="35">
        <f>(0.3-0.9)/1.96</f>
        <v>-0.3061224489795919</v>
      </c>
      <c r="V9" s="36">
        <f>(1-0.3)/1.96</f>
        <v>0.35714285714285715</v>
      </c>
      <c r="W9" s="33">
        <f t="shared" si="4"/>
        <v>0.47038492129045345</v>
      </c>
      <c r="X9" s="36">
        <f>(0.3-1)/W9</f>
        <v>-1.4881429406359812</v>
      </c>
      <c r="Y9" s="33">
        <f t="shared" si="5"/>
        <v>1.1568925948099664</v>
      </c>
      <c r="Z9" s="7" t="s">
        <v>122</v>
      </c>
      <c r="AA9" s="7" t="s">
        <v>119</v>
      </c>
      <c r="AB9" s="42">
        <f>(2.5-1.2)/1.96</f>
        <v>0.66326530612244905</v>
      </c>
      <c r="AC9" s="42">
        <f>(1-0.5)/1.96</f>
        <v>0.25510204081632654</v>
      </c>
      <c r="AD9" s="42">
        <f t="shared" si="6"/>
        <v>0.71063205495837345</v>
      </c>
      <c r="AE9" s="42">
        <f>(2.5-1)/AD9</f>
        <v>2.1107969863361502</v>
      </c>
      <c r="AF9" s="42">
        <f t="shared" si="7"/>
        <v>3.4495912890875072E-2</v>
      </c>
    </row>
    <row r="10" spans="2:32" x14ac:dyDescent="0.3">
      <c r="B10" s="1" t="s">
        <v>126</v>
      </c>
      <c r="C10" s="7">
        <v>2009</v>
      </c>
      <c r="D10" s="1">
        <v>2015</v>
      </c>
      <c r="E10" s="7" t="s">
        <v>131</v>
      </c>
      <c r="F10" s="7" t="s">
        <v>127</v>
      </c>
      <c r="G10" s="29">
        <f>3.7/1.96</f>
        <v>1.8877551020408165</v>
      </c>
      <c r="H10" s="29">
        <f>2.9/1.96</f>
        <v>1.4795918367346939</v>
      </c>
      <c r="I10" s="28">
        <f t="shared" si="0"/>
        <v>2.3985018925598283</v>
      </c>
      <c r="J10" s="29">
        <f>(14.3-11.8)/I10</f>
        <v>1.0423172930382167</v>
      </c>
      <c r="K10" s="28">
        <f t="shared" si="1"/>
        <v>0.30140679740161674</v>
      </c>
      <c r="L10" s="7" t="s">
        <v>132</v>
      </c>
      <c r="M10" s="7" t="s">
        <v>128</v>
      </c>
      <c r="N10" s="29">
        <f>(9.2-6.6)/1.96</f>
        <v>1.3265306122448979</v>
      </c>
      <c r="O10" s="29">
        <f>(8.5-6.3)/1.96</f>
        <v>1.1224489795918369</v>
      </c>
      <c r="P10" s="28">
        <f t="shared" si="2"/>
        <v>1.7376924863190206</v>
      </c>
      <c r="Q10" s="29">
        <f>(9.2-8.5)/P10</f>
        <v>0.40283307058708617</v>
      </c>
      <c r="R10" s="28">
        <f t="shared" si="3"/>
        <v>0.70023625310941262</v>
      </c>
      <c r="S10" s="7" t="s">
        <v>133</v>
      </c>
      <c r="T10" s="7" t="s">
        <v>129</v>
      </c>
      <c r="U10" s="35">
        <f>(5.3-3.3)/1.96</f>
        <v>1.0204081632653061</v>
      </c>
      <c r="V10" s="36">
        <f>(4-2.2)/1.96</f>
        <v>0.91836734693877542</v>
      </c>
      <c r="W10" s="33">
        <f t="shared" si="4"/>
        <v>1.3728187803136438</v>
      </c>
      <c r="X10" s="36">
        <f>(5.3-4)/W10</f>
        <v>0.94695674231888982</v>
      </c>
      <c r="Y10" s="33">
        <f t="shared" si="5"/>
        <v>0.3492363217952032</v>
      </c>
      <c r="Z10" s="7" t="s">
        <v>122</v>
      </c>
      <c r="AA10" s="7" t="s">
        <v>130</v>
      </c>
      <c r="AB10" s="42">
        <f>(2.5-1.2)/1.96</f>
        <v>0.66326530612244905</v>
      </c>
      <c r="AC10" s="43">
        <f>(2.4-0.9)/1.96</f>
        <v>0.76530612244897955</v>
      </c>
      <c r="AD10" s="42">
        <f t="shared" si="6"/>
        <v>1.0127261857795513</v>
      </c>
      <c r="AE10" s="42">
        <f>(2.5-2.4)/AD10</f>
        <v>9.8743373484536254E-2</v>
      </c>
      <c r="AF10" s="42">
        <f t="shared" si="7"/>
        <v>0.92787792204280917</v>
      </c>
    </row>
    <row r="11" spans="2:32" x14ac:dyDescent="0.3">
      <c r="B11" s="8" t="s">
        <v>134</v>
      </c>
      <c r="C11" s="7"/>
      <c r="D11" s="1">
        <v>2013</v>
      </c>
      <c r="E11" s="7"/>
      <c r="F11" s="7" t="s">
        <v>135</v>
      </c>
      <c r="G11" s="29"/>
      <c r="H11" s="29"/>
      <c r="I11" s="28"/>
      <c r="J11" s="29"/>
      <c r="K11" s="28"/>
      <c r="L11" s="7"/>
      <c r="M11" s="7" t="s">
        <v>136</v>
      </c>
      <c r="N11" s="29"/>
      <c r="O11" s="29"/>
      <c r="P11" s="28"/>
      <c r="Q11" s="29"/>
      <c r="R11" s="28"/>
      <c r="S11" s="7"/>
      <c r="T11" s="7" t="s">
        <v>137</v>
      </c>
      <c r="U11" s="35"/>
      <c r="V11" s="36"/>
      <c r="W11" s="33"/>
      <c r="X11" s="36"/>
      <c r="Y11" s="33"/>
      <c r="Z11" s="7"/>
      <c r="AA11" s="7" t="s">
        <v>78</v>
      </c>
      <c r="AB11" s="42"/>
      <c r="AC11" s="42"/>
      <c r="AD11" s="42"/>
      <c r="AE11" s="42"/>
      <c r="AF11" s="42"/>
    </row>
    <row r="12" spans="2:32" x14ac:dyDescent="0.3">
      <c r="B12" s="1" t="s">
        <v>152</v>
      </c>
      <c r="C12" s="7"/>
      <c r="D12" s="1">
        <v>2016</v>
      </c>
      <c r="E12" s="7"/>
      <c r="F12" s="7" t="s">
        <v>153</v>
      </c>
      <c r="G12" s="29"/>
      <c r="H12" s="29"/>
      <c r="I12" s="28"/>
      <c r="J12" s="29"/>
      <c r="K12" s="28"/>
      <c r="L12" s="7"/>
      <c r="M12" s="7" t="s">
        <v>154</v>
      </c>
      <c r="N12" s="29"/>
      <c r="O12" s="29"/>
      <c r="P12" s="28"/>
      <c r="Q12" s="29"/>
      <c r="R12" s="28"/>
      <c r="S12" s="7"/>
      <c r="T12" s="7" t="s">
        <v>155</v>
      </c>
      <c r="U12" s="35"/>
      <c r="V12" s="36"/>
      <c r="W12" s="33"/>
      <c r="X12" s="36"/>
      <c r="Y12" s="33"/>
      <c r="Z12" s="7"/>
      <c r="AA12" s="7" t="s">
        <v>156</v>
      </c>
      <c r="AB12" s="42"/>
      <c r="AC12" s="42"/>
      <c r="AD12" s="42"/>
      <c r="AE12" s="42"/>
      <c r="AF12" s="42"/>
    </row>
    <row r="13" spans="2:32" x14ac:dyDescent="0.3">
      <c r="B13" s="4" t="s">
        <v>157</v>
      </c>
      <c r="C13" s="6">
        <v>2004</v>
      </c>
      <c r="D13" s="4">
        <v>2012</v>
      </c>
      <c r="E13" s="7" t="s">
        <v>162</v>
      </c>
      <c r="F13" s="7" t="s">
        <v>158</v>
      </c>
      <c r="G13" s="29">
        <f>2.1/1.96</f>
        <v>1.0714285714285714</v>
      </c>
      <c r="H13" s="29">
        <f>1.7/1.96</f>
        <v>0.86734693877551017</v>
      </c>
      <c r="I13" s="28">
        <f t="shared" si="0"/>
        <v>1.3784955189904382</v>
      </c>
      <c r="J13" s="29">
        <f>(5.5-3.9)/I13</f>
        <v>1.1606856735898452</v>
      </c>
      <c r="K13" s="28">
        <f t="shared" si="1"/>
        <v>0.24841782286298447</v>
      </c>
      <c r="L13" s="7" t="s">
        <v>163</v>
      </c>
      <c r="M13" s="7" t="s">
        <v>159</v>
      </c>
      <c r="N13" s="29">
        <f>(3.2-2.2)/1.96</f>
        <v>0.51020408163265307</v>
      </c>
      <c r="O13" s="29">
        <f>(2.2-1.5)/1.96</f>
        <v>0.35714285714285726</v>
      </c>
      <c r="P13" s="28">
        <f t="shared" si="2"/>
        <v>0.62278344978233191</v>
      </c>
      <c r="Q13" s="29">
        <f>(3.2-2.2)/P13</f>
        <v>1.605694564217319</v>
      </c>
      <c r="R13" s="28">
        <f t="shared" si="3"/>
        <v>0.1081931637143376</v>
      </c>
      <c r="S13" s="7" t="s">
        <v>164</v>
      </c>
      <c r="T13" s="7" t="s">
        <v>160</v>
      </c>
      <c r="U13" s="35">
        <f>(5.6-3.3)/1.96</f>
        <v>1.1734693877551019</v>
      </c>
      <c r="V13" s="36">
        <f>(2.4-0.8)/1.96</f>
        <v>0.81632653061224481</v>
      </c>
      <c r="W13" s="33">
        <f t="shared" si="4"/>
        <v>1.429482216951214</v>
      </c>
      <c r="X13" s="36">
        <f>(5.6-2.4)/W13</f>
        <v>2.2385727937385114</v>
      </c>
      <c r="Y13" s="33">
        <f t="shared" si="5"/>
        <v>2.4979013049251788E-2</v>
      </c>
      <c r="Z13" s="7" t="s">
        <v>140</v>
      </c>
      <c r="AA13" s="7" t="s">
        <v>161</v>
      </c>
      <c r="AB13" s="42">
        <f>(1.8-1.1)/1.96</f>
        <v>0.35714285714285715</v>
      </c>
      <c r="AC13" s="43">
        <f>(0.7-0.4)/1.96</f>
        <v>0.15306122448979589</v>
      </c>
      <c r="AD13" s="42">
        <f t="shared" si="6"/>
        <v>0.38855985233999529</v>
      </c>
      <c r="AE13" s="42">
        <f>(1.8-0.7)/AD13</f>
        <v>2.8309666924556187</v>
      </c>
      <c r="AF13" s="42">
        <f t="shared" si="7"/>
        <v>4.6831606584661579E-3</v>
      </c>
    </row>
    <row r="14" spans="2:32" x14ac:dyDescent="0.3">
      <c r="B14" s="1" t="s">
        <v>166</v>
      </c>
      <c r="C14" s="7">
        <v>2005</v>
      </c>
      <c r="D14" s="1">
        <v>2011</v>
      </c>
      <c r="E14" s="7" t="s">
        <v>171</v>
      </c>
      <c r="F14" s="7" t="s">
        <v>167</v>
      </c>
      <c r="G14" s="29">
        <f>2.1/1.96</f>
        <v>1.0714285714285714</v>
      </c>
      <c r="H14" s="29">
        <f>1.7/1.96</f>
        <v>0.86734693877551017</v>
      </c>
      <c r="I14" s="28">
        <f t="shared" si="0"/>
        <v>1.3784955189904382</v>
      </c>
      <c r="J14" s="29">
        <f>(6.9-5.9)/1.96</f>
        <v>0.51020408163265307</v>
      </c>
      <c r="K14" s="28">
        <f t="shared" si="1"/>
        <v>0.62244217920094591</v>
      </c>
      <c r="L14" s="7" t="s">
        <v>172</v>
      </c>
      <c r="M14" s="7" t="s">
        <v>168</v>
      </c>
      <c r="N14" s="29">
        <f>(3.8-2.9)/1.96</f>
        <v>0.45918367346938771</v>
      </c>
      <c r="O14" s="29">
        <f>(4.6-3.7)/1.96</f>
        <v>0.45918367346938749</v>
      </c>
      <c r="P14" s="28">
        <f t="shared" si="2"/>
        <v>0.64938377864070662</v>
      </c>
      <c r="Q14" s="29">
        <f>(3.8-4.6)/P14</f>
        <v>-1.2319371476672298</v>
      </c>
      <c r="R14" s="28">
        <f t="shared" si="3"/>
        <v>1.2865298749917677</v>
      </c>
      <c r="S14" s="7" t="s">
        <v>51</v>
      </c>
      <c r="T14" s="7" t="s">
        <v>169</v>
      </c>
      <c r="U14" s="35">
        <f>(1.8-0.5)/1.96</f>
        <v>0.66326530612244905</v>
      </c>
      <c r="V14" s="36">
        <f>(1.6-0.2)/1.96</f>
        <v>0.71428571428571441</v>
      </c>
      <c r="W14" s="33">
        <f t="shared" si="4"/>
        <v>0.97474352931340835</v>
      </c>
      <c r="X14" s="36">
        <f>(1.8-1.6)/W14</f>
        <v>0.2051821776553637</v>
      </c>
      <c r="Y14" s="33">
        <f t="shared" si="5"/>
        <v>0.84820823990891037</v>
      </c>
      <c r="Z14" s="7" t="s">
        <v>173</v>
      </c>
      <c r="AA14" s="7" t="s">
        <v>170</v>
      </c>
      <c r="AB14" s="42">
        <f>(0.9-0.5)/1.96</f>
        <v>0.20408163265306123</v>
      </c>
      <c r="AC14" s="42">
        <f>(2.3-1.6)/1.96</f>
        <v>0.35714285714285704</v>
      </c>
      <c r="AD14" s="42">
        <f t="shared" si="6"/>
        <v>0.41133968103564023</v>
      </c>
      <c r="AE14" s="42">
        <f>(0.9-2.3)/AD14</f>
        <v>-3.4035131171278805</v>
      </c>
      <c r="AF14" s="42">
        <f t="shared" si="7"/>
        <v>9.2681709442631724E-2</v>
      </c>
    </row>
    <row r="15" spans="2:32" x14ac:dyDescent="0.3">
      <c r="B15" s="5" t="s">
        <v>174</v>
      </c>
      <c r="C15" s="6">
        <v>2007</v>
      </c>
      <c r="D15" s="5">
        <v>2018</v>
      </c>
      <c r="E15" s="10" t="s">
        <v>175</v>
      </c>
      <c r="F15" s="10" t="s">
        <v>195</v>
      </c>
      <c r="G15" s="29">
        <f>2.1/1.96</f>
        <v>1.0714285714285714</v>
      </c>
      <c r="H15" s="29">
        <f>2/1.96</f>
        <v>1.0204081632653061</v>
      </c>
      <c r="I15" s="28">
        <f t="shared" si="0"/>
        <v>1.4795918367346939</v>
      </c>
      <c r="J15" s="29">
        <f>(11.1-7.5)/1.96</f>
        <v>1.8367346938775508</v>
      </c>
      <c r="K15" s="28">
        <f t="shared" si="1"/>
        <v>6.5851437628802509E-2</v>
      </c>
      <c r="L15" s="7" t="s">
        <v>176</v>
      </c>
      <c r="M15" s="6" t="s">
        <v>196</v>
      </c>
      <c r="N15" s="29">
        <f>(6.2-4.5)/1.96</f>
        <v>0.86734693877551028</v>
      </c>
      <c r="O15" s="29">
        <f>(4-3.7)/1.96</f>
        <v>0.15306122448979584</v>
      </c>
      <c r="P15" s="28">
        <f t="shared" si="2"/>
        <v>0.88074880110367704</v>
      </c>
      <c r="Q15" s="29">
        <f>(6.2-4)/P15</f>
        <v>2.4978745327193788</v>
      </c>
      <c r="R15" s="28">
        <f t="shared" si="3"/>
        <v>1.2443499171487753E-2</v>
      </c>
      <c r="S15" s="7" t="s">
        <v>177</v>
      </c>
      <c r="T15" s="6" t="s">
        <v>197</v>
      </c>
      <c r="U15" s="37">
        <f>(5.7-3.8)/1.96</f>
        <v>0.969387755102041</v>
      </c>
      <c r="V15" s="38">
        <f>(2.7-1.6)/1.96</f>
        <v>0.56122448979591844</v>
      </c>
      <c r="W15" s="33">
        <f t="shared" si="4"/>
        <v>1.1201274693928651</v>
      </c>
      <c r="X15" s="38">
        <f>(5.7-2.7)/W15</f>
        <v>2.6782666098047474</v>
      </c>
      <c r="Y15" s="33">
        <f>EXP(-0.717*X15-0.416*(X15^2))</f>
        <v>7.414395986490626E-3</v>
      </c>
      <c r="Z15" s="7" t="s">
        <v>178</v>
      </c>
      <c r="AA15" s="6" t="s">
        <v>198</v>
      </c>
      <c r="AB15" s="42">
        <f>(2.9-1.7)/1.96</f>
        <v>0.61224489795918369</v>
      </c>
      <c r="AC15" s="42">
        <f>(1-0.6)/1.96</f>
        <v>0.20408163265306123</v>
      </c>
      <c r="AD15" s="42">
        <f t="shared" si="6"/>
        <v>0.64536278778946521</v>
      </c>
      <c r="AE15" s="42">
        <f>(2.9-1)/AD15</f>
        <v>2.944080501616761</v>
      </c>
      <c r="AF15" s="42">
        <f t="shared" si="7"/>
        <v>3.2907773034645022E-3</v>
      </c>
    </row>
    <row r="16" spans="2:32" x14ac:dyDescent="0.3">
      <c r="B16" s="23" t="s">
        <v>179</v>
      </c>
      <c r="C16" s="15">
        <v>2006</v>
      </c>
      <c r="D16" s="23">
        <v>2015</v>
      </c>
      <c r="E16" s="14" t="s">
        <v>184</v>
      </c>
      <c r="F16" s="14" t="s">
        <v>180</v>
      </c>
      <c r="G16" s="30">
        <f>2/1.96</f>
        <v>1.0204081632653061</v>
      </c>
      <c r="H16" s="30">
        <f>1.3/1.96</f>
        <v>0.66326530612244905</v>
      </c>
      <c r="I16" s="28">
        <f t="shared" si="0"/>
        <v>1.2170265757016903</v>
      </c>
      <c r="J16" s="30">
        <f>(11.2-6.6)/1.96</f>
        <v>2.3469387755102038</v>
      </c>
      <c r="K16" s="28">
        <f t="shared" si="1"/>
        <v>1.8795577159555914E-2</v>
      </c>
      <c r="L16" s="14" t="s">
        <v>185</v>
      </c>
      <c r="M16" s="14" t="s">
        <v>181</v>
      </c>
      <c r="N16" s="30">
        <f>(10.9-9.2)/1.96</f>
        <v>0.86734693877551072</v>
      </c>
      <c r="O16" s="30">
        <f>(6.9-5.5)/1.96</f>
        <v>0.71428571428571452</v>
      </c>
      <c r="P16" s="28">
        <f t="shared" si="2"/>
        <v>1.1236079359972067</v>
      </c>
      <c r="Q16" s="30">
        <f>(10.9-6.9)/P16</f>
        <v>3.5599606160221571</v>
      </c>
      <c r="R16" s="28">
        <f t="shared" si="3"/>
        <v>3.997813800510503E-4</v>
      </c>
      <c r="S16" s="12" t="s">
        <v>186</v>
      </c>
      <c r="T16" s="12" t="s">
        <v>182</v>
      </c>
      <c r="U16" s="32">
        <f>(4.4-2.8)/1.96</f>
        <v>0.81632653061224514</v>
      </c>
      <c r="V16" s="31">
        <f>(2.8-1.5)/1.96</f>
        <v>0.66326530612244894</v>
      </c>
      <c r="W16" s="33">
        <f t="shared" si="4"/>
        <v>1.0518126595963422</v>
      </c>
      <c r="X16" s="31">
        <f>(4.4-2.8)/W16</f>
        <v>1.5211834402278805</v>
      </c>
      <c r="Y16" s="33">
        <f>EXP(-0.717*X16-0.416*(X16^2))</f>
        <v>0.12830922154061708</v>
      </c>
      <c r="Z16" s="12" t="s">
        <v>187</v>
      </c>
      <c r="AA16" s="12" t="s">
        <v>183</v>
      </c>
      <c r="AB16" s="42">
        <f>(4.1-2.8)/1.96</f>
        <v>0.66326530612244894</v>
      </c>
      <c r="AC16" s="42">
        <f>(3-2.2)/1.96</f>
        <v>0.40816326530612235</v>
      </c>
      <c r="AD16" s="42">
        <f t="shared" si="6"/>
        <v>0.77879273073845645</v>
      </c>
      <c r="AE16" s="42">
        <f>(4.1-3)/AD16</f>
        <v>1.4124425621653818</v>
      </c>
      <c r="AF16" s="42">
        <f t="shared" si="7"/>
        <v>0.1583988883685484</v>
      </c>
    </row>
    <row r="17" spans="2:32" x14ac:dyDescent="0.3">
      <c r="B17" s="22" t="s">
        <v>200</v>
      </c>
      <c r="C17" s="21"/>
      <c r="D17" s="19"/>
      <c r="E17" s="21"/>
      <c r="F17" s="21"/>
      <c r="G17" s="28"/>
      <c r="H17" s="28"/>
      <c r="I17" s="28"/>
      <c r="J17" s="28"/>
      <c r="K17" s="28">
        <f t="shared" si="1"/>
        <v>1</v>
      </c>
      <c r="L17" s="21"/>
      <c r="M17" s="21"/>
      <c r="N17" s="28"/>
      <c r="O17" s="28"/>
      <c r="P17" s="28"/>
      <c r="Q17" s="28"/>
      <c r="R17" s="28"/>
      <c r="S17" s="21"/>
      <c r="T17" s="21"/>
      <c r="U17" s="33"/>
      <c r="V17" s="34"/>
      <c r="W17" s="33"/>
      <c r="X17" s="34"/>
      <c r="Y17" s="33"/>
      <c r="Z17" s="21"/>
      <c r="AA17" s="21"/>
      <c r="AB17" s="42"/>
      <c r="AC17" s="42"/>
      <c r="AD17" s="42"/>
      <c r="AE17" s="42"/>
      <c r="AF17" s="42"/>
    </row>
    <row r="18" spans="2:32" x14ac:dyDescent="0.3">
      <c r="B18" s="8" t="s">
        <v>3</v>
      </c>
      <c r="C18" s="7"/>
      <c r="D18" s="1">
        <v>2016</v>
      </c>
      <c r="E18" s="7"/>
      <c r="F18" s="7" t="s">
        <v>5</v>
      </c>
      <c r="G18" s="29"/>
      <c r="H18" s="29"/>
      <c r="I18" s="28"/>
      <c r="J18" s="29"/>
      <c r="K18" s="28">
        <f t="shared" si="1"/>
        <v>1</v>
      </c>
      <c r="L18" s="7"/>
      <c r="M18" s="7" t="s">
        <v>6</v>
      </c>
      <c r="N18" s="29"/>
      <c r="O18" s="29"/>
      <c r="P18" s="28"/>
      <c r="Q18" s="29"/>
      <c r="R18" s="28"/>
      <c r="S18" s="7"/>
      <c r="T18" s="7" t="s">
        <v>9</v>
      </c>
      <c r="U18" s="35"/>
      <c r="V18" s="36">
        <f>(0.8-0.1)/1.96</f>
        <v>0.35714285714285721</v>
      </c>
      <c r="W18" s="33"/>
      <c r="X18" s="36"/>
      <c r="Y18" s="33"/>
      <c r="Z18" s="7"/>
      <c r="AA18" s="7" t="s">
        <v>10</v>
      </c>
      <c r="AB18" s="42"/>
      <c r="AC18" s="42"/>
      <c r="AD18" s="42"/>
      <c r="AE18" s="42"/>
      <c r="AF18" s="42"/>
    </row>
    <row r="19" spans="2:32" x14ac:dyDescent="0.3">
      <c r="B19" s="1" t="s">
        <v>11</v>
      </c>
      <c r="C19" s="7">
        <v>2003</v>
      </c>
      <c r="D19" s="1">
        <v>2010</v>
      </c>
      <c r="E19" s="7" t="s">
        <v>24</v>
      </c>
      <c r="F19" s="7" t="s">
        <v>16</v>
      </c>
      <c r="G19" s="29">
        <f>1.7/1.96</f>
        <v>0.86734693877551017</v>
      </c>
      <c r="H19" s="29">
        <f>0.4/1.96</f>
        <v>0.20408163265306123</v>
      </c>
      <c r="I19" s="28">
        <f t="shared" si="0"/>
        <v>0.89103312227413167</v>
      </c>
      <c r="J19" s="29">
        <f>(2.3-0.7)/1.96</f>
        <v>0.81632653061224481</v>
      </c>
      <c r="K19" s="28">
        <f t="shared" si="1"/>
        <v>0.42209538978094785</v>
      </c>
      <c r="L19" s="7" t="s">
        <v>25</v>
      </c>
      <c r="M19" s="7" t="s">
        <v>17</v>
      </c>
      <c r="N19" s="29">
        <f>(0.9-0.3)/1.96</f>
        <v>0.3061224489795919</v>
      </c>
      <c r="O19" s="29">
        <f>(0.1-0.1)/1.96</f>
        <v>0</v>
      </c>
      <c r="P19" s="28">
        <f t="shared" si="2"/>
        <v>0.3061224489795919</v>
      </c>
      <c r="Q19" s="29">
        <f>(0.9-0.1)/P19</f>
        <v>2.6133333333333328</v>
      </c>
      <c r="R19" s="28">
        <f t="shared" si="3"/>
        <v>8.9613300294723187E-3</v>
      </c>
      <c r="S19" s="7" t="s">
        <v>28</v>
      </c>
      <c r="T19" s="7" t="s">
        <v>21</v>
      </c>
      <c r="U19" s="35">
        <f>(1-2.6)/1.96</f>
        <v>-0.81632653061224492</v>
      </c>
      <c r="V19" s="36">
        <f>(0.9-2.3)/1.96</f>
        <v>-0.7142857142857143</v>
      </c>
      <c r="W19" s="33">
        <f t="shared" si="4"/>
        <v>1.084708756401495</v>
      </c>
      <c r="X19" s="36">
        <f>(1-0.9)/W19</f>
        <v>9.21906451015925E-2</v>
      </c>
      <c r="Y19" s="33">
        <f t="shared" si="5"/>
        <v>0.9327329704579892</v>
      </c>
      <c r="Z19" s="7" t="s">
        <v>20</v>
      </c>
      <c r="AA19" s="7" t="s">
        <v>22</v>
      </c>
      <c r="AB19" s="42">
        <f>(0.5-1.1)/1.96</f>
        <v>-0.3061224489795919</v>
      </c>
      <c r="AC19" s="42">
        <f>(0.2-0.5)/1.96</f>
        <v>-0.15306122448979592</v>
      </c>
      <c r="AD19" s="42">
        <f t="shared" si="6"/>
        <v>0.34225530267853932</v>
      </c>
      <c r="AE19" s="42">
        <f>(0.5-0.2)/AD19</f>
        <v>0.87653864717991736</v>
      </c>
      <c r="AF19" s="42">
        <f t="shared" si="7"/>
        <v>0.38747678950744402</v>
      </c>
    </row>
    <row r="20" spans="2:32" x14ac:dyDescent="0.3">
      <c r="B20" s="1" t="s">
        <v>29</v>
      </c>
      <c r="C20" s="1">
        <v>2010</v>
      </c>
      <c r="D20" s="1">
        <v>2017</v>
      </c>
      <c r="E20" s="7" t="s">
        <v>37</v>
      </c>
      <c r="F20" s="25" t="s">
        <v>207</v>
      </c>
      <c r="G20" s="29">
        <f>1.5/1.96</f>
        <v>0.76530612244897955</v>
      </c>
      <c r="H20" s="29">
        <f>0.9/1.96</f>
        <v>0.45918367346938777</v>
      </c>
      <c r="I20" s="28">
        <f t="shared" si="0"/>
        <v>0.89249263696611736</v>
      </c>
      <c r="J20" s="29">
        <f>(2.6-1.2)/1.96</f>
        <v>0.71428571428571441</v>
      </c>
      <c r="K20" s="28">
        <f t="shared" si="1"/>
        <v>0.4846211849932241</v>
      </c>
      <c r="L20" s="7" t="s">
        <v>32</v>
      </c>
      <c r="M20" s="25" t="s">
        <v>208</v>
      </c>
      <c r="N20" s="29">
        <f>(0.5-0.2)/1.96</f>
        <v>0.15306122448979592</v>
      </c>
      <c r="O20" s="29">
        <f>(0.1-0.3)/1.96</f>
        <v>-0.1020408163265306</v>
      </c>
      <c r="P20" s="28">
        <f t="shared" si="2"/>
        <v>0.18395669772775455</v>
      </c>
      <c r="Q20" s="29">
        <f>(0.5-0.1)/P20</f>
        <v>2.1744247692028984</v>
      </c>
      <c r="R20" s="28">
        <f t="shared" si="3"/>
        <v>2.9423495429854521E-2</v>
      </c>
      <c r="S20" s="7" t="s">
        <v>7</v>
      </c>
      <c r="T20" s="25" t="s">
        <v>209</v>
      </c>
      <c r="U20" s="29">
        <f>(0.3-0.8)/1.96</f>
        <v>-0.25510204081632654</v>
      </c>
      <c r="V20" s="39">
        <f>(0-0)/1.96</f>
        <v>0</v>
      </c>
      <c r="W20" s="33">
        <f t="shared" si="4"/>
        <v>0.25510204081632654</v>
      </c>
      <c r="X20" s="39">
        <f>(0.3-0)/W20</f>
        <v>1.1759999999999999</v>
      </c>
      <c r="Y20" s="33">
        <f t="shared" si="5"/>
        <v>0.24207443535697909</v>
      </c>
      <c r="Z20" s="7" t="s">
        <v>22</v>
      </c>
      <c r="AA20" s="25" t="s">
        <v>210</v>
      </c>
      <c r="AB20" s="42">
        <f>(0.2-0.5)/1.96</f>
        <v>-0.15306122448979592</v>
      </c>
      <c r="AC20" s="42">
        <f>(0.1-0.2)/1.96</f>
        <v>-5.1020408163265307E-2</v>
      </c>
      <c r="AD20" s="42">
        <f t="shared" si="6"/>
        <v>0.1613406969473663</v>
      </c>
      <c r="AE20" s="42">
        <f>(0.2-0.1)/AD20</f>
        <v>0.61980642139300235</v>
      </c>
      <c r="AF20" s="42">
        <f t="shared" si="7"/>
        <v>0.54650503177258924</v>
      </c>
    </row>
    <row r="21" spans="2:32" x14ac:dyDescent="0.3">
      <c r="B21" s="8" t="s">
        <v>50</v>
      </c>
      <c r="C21" s="7"/>
      <c r="D21" s="1">
        <v>2015</v>
      </c>
      <c r="E21" s="7"/>
      <c r="F21" s="7" t="s">
        <v>52</v>
      </c>
      <c r="G21" s="29"/>
      <c r="H21" s="29"/>
      <c r="I21" s="28"/>
      <c r="J21" s="29"/>
      <c r="K21" s="28">
        <f t="shared" si="1"/>
        <v>1</v>
      </c>
      <c r="L21" s="7"/>
      <c r="M21" s="7" t="s">
        <v>53</v>
      </c>
      <c r="N21" s="29"/>
      <c r="O21" s="29"/>
      <c r="P21" s="28"/>
      <c r="Q21" s="29"/>
      <c r="R21" s="28"/>
      <c r="S21" s="7"/>
      <c r="T21" s="7" t="s">
        <v>54</v>
      </c>
      <c r="U21" s="35"/>
      <c r="V21" s="36">
        <f>(1.4-0.3)/1.96</f>
        <v>0.56122448979591832</v>
      </c>
      <c r="W21" s="33">
        <f t="shared" si="4"/>
        <v>0.56122448979591832</v>
      </c>
      <c r="X21" s="36"/>
      <c r="Y21" s="33"/>
      <c r="Z21" s="7"/>
      <c r="AA21" s="7" t="s">
        <v>23</v>
      </c>
      <c r="AB21" s="42"/>
      <c r="AC21" s="42"/>
      <c r="AD21" s="42"/>
      <c r="AE21" s="42"/>
      <c r="AF21" s="42"/>
    </row>
    <row r="22" spans="2:32" x14ac:dyDescent="0.3">
      <c r="B22" s="1" t="s">
        <v>62</v>
      </c>
      <c r="C22" s="7">
        <v>2005</v>
      </c>
      <c r="D22" s="1">
        <v>2012</v>
      </c>
      <c r="E22" s="7" t="s">
        <v>40</v>
      </c>
      <c r="F22" s="7" t="s">
        <v>63</v>
      </c>
      <c r="G22" s="29">
        <f>1.5/1.96</f>
        <v>0.76530612244897955</v>
      </c>
      <c r="H22" s="29">
        <f>1.1/1.96</f>
        <v>0.56122448979591844</v>
      </c>
      <c r="I22" s="28">
        <f t="shared" si="0"/>
        <v>0.94903445090501404</v>
      </c>
      <c r="J22" s="29">
        <f>(3.1-2.5)/I22</f>
        <v>0.63222151675087324</v>
      </c>
      <c r="K22" s="28">
        <f t="shared" si="1"/>
        <v>0.53817057737903906</v>
      </c>
      <c r="L22" s="7" t="s">
        <v>65</v>
      </c>
      <c r="M22" s="7" t="s">
        <v>64</v>
      </c>
      <c r="N22" s="29">
        <f>(1.6-0.4)/1.96</f>
        <v>0.6122448979591838</v>
      </c>
      <c r="O22" s="29">
        <f>(1.7-0.7)/1.96</f>
        <v>0.51020408163265307</v>
      </c>
      <c r="P22" s="28">
        <f t="shared" si="2"/>
        <v>0.79696425264353621</v>
      </c>
      <c r="Q22" s="29">
        <f>(1.6-1.7)/P22</f>
        <v>-0.12547614233423787</v>
      </c>
      <c r="R22" s="28">
        <f t="shared" si="3"/>
        <v>1.0869947528460711</v>
      </c>
      <c r="S22" s="7" t="s">
        <v>10</v>
      </c>
      <c r="T22" s="7" t="s">
        <v>31</v>
      </c>
      <c r="U22" s="35">
        <f>(0.4-1)/1.96</f>
        <v>-0.30612244897959184</v>
      </c>
      <c r="V22" s="36">
        <f>(0.1-0.2)/1.96</f>
        <v>-5.1020408163265307E-2</v>
      </c>
      <c r="W22" s="33">
        <f t="shared" si="4"/>
        <v>0.31034502705603162</v>
      </c>
      <c r="X22" s="36">
        <f>(0.4-0.1)/W22</f>
        <v>0.96666604535550105</v>
      </c>
      <c r="Y22" s="33">
        <f t="shared" si="5"/>
        <v>0.33897533115320544</v>
      </c>
      <c r="Z22" s="7" t="s">
        <v>22</v>
      </c>
      <c r="AA22" s="7" t="s">
        <v>59</v>
      </c>
      <c r="AB22" s="42">
        <f>(0.2-0.5)/1.96</f>
        <v>-0.15306122448979592</v>
      </c>
      <c r="AC22" s="42">
        <f>(0.6-1.3)/1.96</f>
        <v>-0.35714285714285721</v>
      </c>
      <c r="AD22" s="42">
        <f t="shared" si="6"/>
        <v>0.3885598523399954</v>
      </c>
      <c r="AE22" s="42">
        <f>(0.2-0.6)/AD22</f>
        <v>-1.0294424336202246</v>
      </c>
      <c r="AF22" s="42">
        <f t="shared" si="7"/>
        <v>1.3461565171900984</v>
      </c>
    </row>
    <row r="23" spans="2:32" x14ac:dyDescent="0.3">
      <c r="B23" s="8" t="s">
        <v>188</v>
      </c>
      <c r="C23" s="7">
        <v>2007</v>
      </c>
      <c r="D23" s="1">
        <v>2014</v>
      </c>
      <c r="E23" s="7" t="s">
        <v>56</v>
      </c>
      <c r="F23" s="7" t="s">
        <v>25</v>
      </c>
      <c r="G23" s="29">
        <f>0.6/1.96</f>
        <v>0.30612244897959184</v>
      </c>
      <c r="H23" s="29">
        <f>0.6/1.96</f>
        <v>0.30612244897959184</v>
      </c>
      <c r="I23" s="28">
        <f t="shared" si="0"/>
        <v>0.43292251909380458</v>
      </c>
      <c r="J23" s="29">
        <f>(0.8-0.9)/I23</f>
        <v>-0.23098821518760548</v>
      </c>
      <c r="K23" s="28">
        <f t="shared" si="1"/>
        <v>1.1542175161378465</v>
      </c>
      <c r="L23" s="7" t="s">
        <v>23</v>
      </c>
      <c r="M23" s="7" t="s">
        <v>58</v>
      </c>
      <c r="N23" s="29">
        <f>(0.3-0.7)/1.96</f>
        <v>-0.2040816326530612</v>
      </c>
      <c r="O23" s="29">
        <f>(1.1-2.6)/1.96</f>
        <v>-0.76530612244897955</v>
      </c>
      <c r="P23" s="28">
        <f t="shared" si="2"/>
        <v>0.79204972940102147</v>
      </c>
      <c r="Q23" s="29">
        <f>(0.3-1.1)/P23</f>
        <v>-1.0100375901965031</v>
      </c>
      <c r="R23" s="28">
        <f t="shared" si="3"/>
        <v>1.3495939423873418</v>
      </c>
      <c r="S23" s="7" t="s">
        <v>61</v>
      </c>
      <c r="T23" s="7" t="s">
        <v>4</v>
      </c>
      <c r="U23" s="35">
        <f>(1-0.1)/1.96</f>
        <v>0.45918367346938777</v>
      </c>
      <c r="V23" s="36">
        <f>(0.4-0.8)/1.96</f>
        <v>-0.20408163265306123</v>
      </c>
      <c r="W23" s="33">
        <f t="shared" si="4"/>
        <v>0.50249274498959717</v>
      </c>
      <c r="X23" s="36">
        <f>(1-0.4)/W23</f>
        <v>1.1940470901971361</v>
      </c>
      <c r="Y23" s="33">
        <f t="shared" si="5"/>
        <v>0.23474789677181759</v>
      </c>
      <c r="Z23" s="7" t="s">
        <v>55</v>
      </c>
      <c r="AA23" s="7" t="s">
        <v>7</v>
      </c>
      <c r="AB23" s="42">
        <f>(1-2.5)/1.96</f>
        <v>-0.76530612244897955</v>
      </c>
      <c r="AC23" s="42">
        <f>(0.3-0.8)/1.96</f>
        <v>-0.25510204081632654</v>
      </c>
      <c r="AD23" s="42">
        <f t="shared" si="6"/>
        <v>0.8067034847368314</v>
      </c>
      <c r="AE23" s="42">
        <f>(1-0.3)/AD23</f>
        <v>0.86772898995020331</v>
      </c>
      <c r="AF23" s="42">
        <f t="shared" si="7"/>
        <v>0.39243263643977211</v>
      </c>
    </row>
    <row r="24" spans="2:32" x14ac:dyDescent="0.3">
      <c r="B24" s="1" t="s">
        <v>72</v>
      </c>
      <c r="C24" s="7">
        <v>2005</v>
      </c>
      <c r="D24" s="1">
        <v>2016</v>
      </c>
      <c r="E24" s="7" t="s">
        <v>76</v>
      </c>
      <c r="F24" s="7" t="s">
        <v>30</v>
      </c>
      <c r="G24" s="29">
        <f>2/1.96</f>
        <v>1.0204081632653061</v>
      </c>
      <c r="H24" s="29">
        <f>0.2/1.96</f>
        <v>0.10204081632653061</v>
      </c>
      <c r="I24" s="28">
        <f t="shared" si="0"/>
        <v>1.0254975123592744</v>
      </c>
      <c r="J24" s="29">
        <f>(3.3-0.3)/I24</f>
        <v>2.9254093392173681</v>
      </c>
      <c r="K24" s="28">
        <f t="shared" si="1"/>
        <v>3.490693912124579E-3</v>
      </c>
      <c r="L24" s="7" t="s">
        <v>57</v>
      </c>
      <c r="M24" s="7" t="s">
        <v>12</v>
      </c>
      <c r="N24" s="29">
        <f>(0.6-0.1)/1.96</f>
        <v>0.25510204081632654</v>
      </c>
      <c r="O24" s="29">
        <f>(0.3-0.5)/1.96</f>
        <v>-0.10204081632653061</v>
      </c>
      <c r="P24" s="28">
        <f t="shared" si="2"/>
        <v>0.2747533064864543</v>
      </c>
      <c r="Q24" s="29">
        <f>(0.6-0.3)/P24</f>
        <v>1.091888588481065</v>
      </c>
      <c r="R24" s="28">
        <f t="shared" si="3"/>
        <v>0.27835780490846307</v>
      </c>
      <c r="S24" s="7" t="s">
        <v>53</v>
      </c>
      <c r="T24" s="7" t="s">
        <v>14</v>
      </c>
      <c r="U24" s="35">
        <f>(0.3-0.6)/1.96</f>
        <v>-0.15306122448979592</v>
      </c>
      <c r="V24" s="36">
        <f>(0.4-0.8)/1.96</f>
        <v>-0.20408163265306123</v>
      </c>
      <c r="W24" s="33">
        <f t="shared" si="4"/>
        <v>0.25510204081632654</v>
      </c>
      <c r="X24" s="36">
        <f>(0.3-0.4)/W24</f>
        <v>-0.39200000000000013</v>
      </c>
      <c r="Y24" s="33">
        <f t="shared" si="5"/>
        <v>1.2425177641635934</v>
      </c>
      <c r="Z24" s="7" t="s">
        <v>36</v>
      </c>
      <c r="AA24" s="7" t="s">
        <v>74</v>
      </c>
      <c r="AB24" s="42">
        <f>(0.2-0.4)/1.96</f>
        <v>-0.10204081632653061</v>
      </c>
      <c r="AC24" s="42">
        <f>(0-0.1)/1.96</f>
        <v>-5.1020408163265307E-2</v>
      </c>
      <c r="AD24" s="42">
        <f t="shared" si="6"/>
        <v>0.11408510089284642</v>
      </c>
      <c r="AE24" s="42">
        <f>(0.2-0)/AD24</f>
        <v>1.7530772943598352</v>
      </c>
      <c r="AF24" s="42">
        <f t="shared" si="7"/>
        <v>7.9226780471092981E-2</v>
      </c>
    </row>
    <row r="25" spans="2:32" x14ac:dyDescent="0.3">
      <c r="B25" s="8" t="s">
        <v>77</v>
      </c>
      <c r="C25" s="7"/>
      <c r="D25" s="1">
        <v>2012</v>
      </c>
      <c r="E25" s="7"/>
      <c r="F25" s="7" t="s">
        <v>79</v>
      </c>
      <c r="G25" s="29"/>
      <c r="H25" s="29"/>
      <c r="I25" s="28"/>
      <c r="J25" s="29"/>
      <c r="K25" s="28">
        <f t="shared" si="1"/>
        <v>1</v>
      </c>
      <c r="L25" s="7"/>
      <c r="M25" s="7" t="s">
        <v>80</v>
      </c>
      <c r="N25" s="29"/>
      <c r="O25" s="29"/>
      <c r="P25" s="28"/>
      <c r="Q25" s="29"/>
      <c r="R25" s="28"/>
      <c r="S25" s="7"/>
      <c r="T25" s="7" t="s">
        <v>15</v>
      </c>
      <c r="U25" s="35"/>
      <c r="V25" s="36"/>
      <c r="W25" s="33"/>
      <c r="X25" s="36"/>
      <c r="Y25" s="33"/>
      <c r="Z25" s="7"/>
      <c r="AA25" s="7" t="s">
        <v>81</v>
      </c>
      <c r="AB25" s="42"/>
      <c r="AC25" s="42"/>
      <c r="AD25" s="42"/>
      <c r="AE25" s="42"/>
      <c r="AF25" s="42"/>
    </row>
    <row r="26" spans="2:32" x14ac:dyDescent="0.3">
      <c r="B26" s="8" t="s">
        <v>82</v>
      </c>
      <c r="C26" s="7"/>
      <c r="D26" s="1">
        <v>2013</v>
      </c>
      <c r="E26" s="7"/>
      <c r="F26" s="7" t="s">
        <v>7</v>
      </c>
      <c r="G26" s="29"/>
      <c r="H26" s="29"/>
      <c r="I26" s="28"/>
      <c r="J26" s="29"/>
      <c r="K26" s="28">
        <f t="shared" si="1"/>
        <v>1</v>
      </c>
      <c r="L26" s="7"/>
      <c r="M26" s="7" t="s">
        <v>4</v>
      </c>
      <c r="N26" s="29"/>
      <c r="O26" s="29"/>
      <c r="P26" s="28"/>
      <c r="Q26" s="29"/>
      <c r="R26" s="28"/>
      <c r="S26" s="7"/>
      <c r="T26" s="7" t="s">
        <v>13</v>
      </c>
      <c r="U26" s="35"/>
      <c r="V26" s="36"/>
      <c r="W26" s="33"/>
      <c r="X26" s="36"/>
      <c r="Y26" s="33"/>
      <c r="Z26" s="7"/>
      <c r="AA26" s="7" t="s">
        <v>14</v>
      </c>
      <c r="AB26" s="42"/>
      <c r="AC26" s="42"/>
      <c r="AD26" s="42"/>
      <c r="AE26" s="42"/>
      <c r="AF26" s="42"/>
    </row>
    <row r="27" spans="2:32" x14ac:dyDescent="0.3">
      <c r="B27" s="1" t="s">
        <v>83</v>
      </c>
      <c r="C27" s="7">
        <v>2003</v>
      </c>
      <c r="D27" s="1">
        <v>2014</v>
      </c>
      <c r="E27" s="7" t="s">
        <v>87</v>
      </c>
      <c r="F27" s="7" t="s">
        <v>84</v>
      </c>
      <c r="G27" s="29">
        <f>0.6/1.96</f>
        <v>0.30612244897959184</v>
      </c>
      <c r="H27" s="29">
        <f>0.9/1.96</f>
        <v>0.45918367346938777</v>
      </c>
      <c r="I27" s="28">
        <f t="shared" si="0"/>
        <v>0.55187009318326363</v>
      </c>
      <c r="J27" s="29">
        <f>(0.9-1.2)/I27</f>
        <v>-0.54360619230072449</v>
      </c>
      <c r="K27" s="28">
        <f t="shared" si="1"/>
        <v>1.3058242360155348</v>
      </c>
      <c r="L27" s="7" t="s">
        <v>88</v>
      </c>
      <c r="M27" s="7" t="s">
        <v>85</v>
      </c>
      <c r="N27" s="29">
        <f>(1.5-0.7)/1.96</f>
        <v>0.40816326530612246</v>
      </c>
      <c r="O27" s="29">
        <f>(1.8-0.1)/1.96</f>
        <v>0.86734693877551017</v>
      </c>
      <c r="P27" s="28">
        <f t="shared" si="2"/>
        <v>0.95858644020693551</v>
      </c>
      <c r="Q27" s="29">
        <f>(1.5-1.8)/P27</f>
        <v>-0.31296082170246153</v>
      </c>
      <c r="R27" s="28">
        <f t="shared" si="3"/>
        <v>1.2015927966097462</v>
      </c>
      <c r="S27" s="7" t="s">
        <v>66</v>
      </c>
      <c r="T27" s="7" t="s">
        <v>34</v>
      </c>
      <c r="U27" s="35">
        <f>(0.2-0.6)/1.96</f>
        <v>-0.2040816326530612</v>
      </c>
      <c r="V27" s="36">
        <f>(0.1-0.3)/1.96</f>
        <v>-0.1020408163265306</v>
      </c>
      <c r="W27" s="33">
        <f t="shared" si="4"/>
        <v>0.22817020178569281</v>
      </c>
      <c r="X27" s="36">
        <f>(0.2-0.1)/W27</f>
        <v>0.43826932358995885</v>
      </c>
      <c r="Y27" s="33">
        <f t="shared" si="5"/>
        <v>0.67425669664939469</v>
      </c>
      <c r="Z27" s="7" t="s">
        <v>13</v>
      </c>
      <c r="AA27" s="7" t="s">
        <v>53</v>
      </c>
      <c r="AB27" s="42">
        <f>(0-0)/1.96</f>
        <v>0</v>
      </c>
      <c r="AC27" s="42">
        <f>(0.3-0.6)/1.96</f>
        <v>-0.15306122448979592</v>
      </c>
      <c r="AD27" s="42">
        <f t="shared" si="6"/>
        <v>0.15306122448979592</v>
      </c>
      <c r="AE27" s="42">
        <f>(0-0.3)/AD27</f>
        <v>-1.96</v>
      </c>
      <c r="AF27" s="42">
        <f t="shared" si="7"/>
        <v>0.82465876202534794</v>
      </c>
    </row>
    <row r="28" spans="2:32" x14ac:dyDescent="0.3">
      <c r="B28" s="1" t="s">
        <v>89</v>
      </c>
      <c r="C28" s="7">
        <v>2005</v>
      </c>
      <c r="D28" s="1">
        <v>2018</v>
      </c>
      <c r="E28" s="7" t="s">
        <v>80</v>
      </c>
      <c r="F28" s="7" t="s">
        <v>91</v>
      </c>
      <c r="G28" s="29">
        <f>1.3/1.96</f>
        <v>0.66326530612244905</v>
      </c>
      <c r="H28" s="29">
        <f>0.9/1.96</f>
        <v>0.45918367346938777</v>
      </c>
      <c r="I28" s="28">
        <f t="shared" si="0"/>
        <v>0.80670348473683151</v>
      </c>
      <c r="J28" s="29">
        <f>(1.9-1.7)/I28</f>
        <v>0.24792256855720088</v>
      </c>
      <c r="K28" s="28">
        <f t="shared" si="1"/>
        <v>0.81600877430138785</v>
      </c>
      <c r="L28" s="7" t="s">
        <v>60</v>
      </c>
      <c r="M28" s="7" t="s">
        <v>26</v>
      </c>
      <c r="N28" s="29">
        <f>(0.7-0.1)/1.96</f>
        <v>0.30612244897959184</v>
      </c>
      <c r="O28" s="29">
        <f>(0.7-0.1)/1.96</f>
        <v>0.30612244897959184</v>
      </c>
      <c r="P28" s="28">
        <f t="shared" si="2"/>
        <v>0.43292251909380458</v>
      </c>
      <c r="Q28" s="29">
        <f>(0.7-0.7)/P28</f>
        <v>0</v>
      </c>
      <c r="R28" s="28">
        <f t="shared" si="3"/>
        <v>1</v>
      </c>
      <c r="S28" s="7" t="s">
        <v>13</v>
      </c>
      <c r="T28" s="7" t="s">
        <v>27</v>
      </c>
      <c r="U28" s="35">
        <f>(0-0)/1.96</f>
        <v>0</v>
      </c>
      <c r="V28" s="36">
        <f>(0.6-1.4)/1.96</f>
        <v>-0.4081632653061224</v>
      </c>
      <c r="W28" s="33">
        <f t="shared" si="4"/>
        <v>0.4081632653061224</v>
      </c>
      <c r="X28" s="36">
        <f>(0-0.6)/W28</f>
        <v>-1.4700000000000002</v>
      </c>
      <c r="Y28" s="33">
        <f t="shared" si="5"/>
        <v>1.1677228846926215</v>
      </c>
      <c r="Z28" s="7" t="s">
        <v>33</v>
      </c>
      <c r="AA28" s="7" t="s">
        <v>8</v>
      </c>
      <c r="AB28" s="42">
        <f>(1.2-0.3)/1.96</f>
        <v>0.45918367346938771</v>
      </c>
      <c r="AC28" s="42">
        <f>(0.5-1.2)/1.96</f>
        <v>-0.35714285714285715</v>
      </c>
      <c r="AD28" s="42">
        <f t="shared" si="6"/>
        <v>0.58172215566282548</v>
      </c>
      <c r="AE28" s="42">
        <f>(1.2-0.5)/AD28</f>
        <v>1.203323602489244</v>
      </c>
      <c r="AF28" s="42">
        <f t="shared" si="7"/>
        <v>0.23104427896809257</v>
      </c>
    </row>
    <row r="29" spans="2:32" x14ac:dyDescent="0.3">
      <c r="B29" s="1" t="s">
        <v>107</v>
      </c>
      <c r="C29" s="7">
        <v>2007</v>
      </c>
      <c r="D29" s="1">
        <v>2013</v>
      </c>
      <c r="E29" s="7" t="s">
        <v>41</v>
      </c>
      <c r="F29" s="7" t="s">
        <v>108</v>
      </c>
      <c r="G29" s="29">
        <f>1/1.96</f>
        <v>0.51020408163265307</v>
      </c>
      <c r="H29" s="29">
        <f>1.4/1.96</f>
        <v>0.7142857142857143</v>
      </c>
      <c r="I29" s="28">
        <f t="shared" si="0"/>
        <v>0.87778829255537005</v>
      </c>
      <c r="J29" s="29">
        <f>(2.5-1.9)/I29</f>
        <v>0.68353611581365747</v>
      </c>
      <c r="K29" s="28">
        <f t="shared" si="1"/>
        <v>0.50436271878216243</v>
      </c>
      <c r="L29" s="7" t="s">
        <v>112</v>
      </c>
      <c r="M29" s="7" t="s">
        <v>86</v>
      </c>
      <c r="N29" s="29">
        <f>(0.9-0.3)/1.96</f>
        <v>0.3061224489795919</v>
      </c>
      <c r="O29" s="29">
        <f>(0.5-0.1)/1.96</f>
        <v>0.20408163265306123</v>
      </c>
      <c r="P29" s="28">
        <f t="shared" si="2"/>
        <v>0.36791339545550916</v>
      </c>
      <c r="Q29" s="29">
        <f>(0.9-0.5)/P29</f>
        <v>1.087212384601449</v>
      </c>
      <c r="R29" s="28">
        <f t="shared" si="3"/>
        <v>0.28047909630891255</v>
      </c>
      <c r="S29" s="7" t="s">
        <v>92</v>
      </c>
      <c r="T29" s="7" t="s">
        <v>110</v>
      </c>
      <c r="U29" s="35">
        <f>(0.9-0.1)/1.96</f>
        <v>0.40816326530612246</v>
      </c>
      <c r="V29" s="36">
        <f>(1-2)/1.96</f>
        <v>-0.51020408163265307</v>
      </c>
      <c r="W29" s="33">
        <f t="shared" si="4"/>
        <v>0.65338002422784169</v>
      </c>
      <c r="X29" s="36">
        <f>(0.9-1)/W29</f>
        <v>-0.15305028665083392</v>
      </c>
      <c r="Y29" s="33">
        <f t="shared" si="5"/>
        <v>1.1051626394781779</v>
      </c>
      <c r="Z29" s="7" t="s">
        <v>7</v>
      </c>
      <c r="AA29" s="7" t="s">
        <v>23</v>
      </c>
      <c r="AB29" s="42">
        <f>(0.3-0.8)/1.96</f>
        <v>-0.25510204081632654</v>
      </c>
      <c r="AC29" s="42">
        <f>(0.3-0.7)/1.96</f>
        <v>-0.2040816326530612</v>
      </c>
      <c r="AD29" s="42">
        <f t="shared" si="6"/>
        <v>0.32669001211392085</v>
      </c>
      <c r="AE29" s="42">
        <f>(0.3-0.3)/AD29</f>
        <v>0</v>
      </c>
      <c r="AF29" s="42">
        <f t="shared" si="7"/>
        <v>1</v>
      </c>
    </row>
    <row r="30" spans="2:32" x14ac:dyDescent="0.3">
      <c r="B30" s="1" t="s">
        <v>123</v>
      </c>
      <c r="C30" s="7">
        <v>2006</v>
      </c>
      <c r="D30" s="1">
        <v>2013</v>
      </c>
      <c r="E30" s="7" t="s">
        <v>81</v>
      </c>
      <c r="F30" s="7" t="s">
        <v>124</v>
      </c>
      <c r="G30" s="29">
        <f>0.7/1.96</f>
        <v>0.35714285714285715</v>
      </c>
      <c r="H30" s="29">
        <f>1.3/1.96</f>
        <v>0.66326530612244905</v>
      </c>
      <c r="I30" s="28">
        <f t="shared" si="0"/>
        <v>0.75330729899150006</v>
      </c>
      <c r="J30" s="29">
        <f>(0.7-1.5)/I30</f>
        <v>-1.0619836035984391</v>
      </c>
      <c r="K30" s="28">
        <f t="shared" si="1"/>
        <v>1.3394694828724838</v>
      </c>
      <c r="L30" s="7" t="s">
        <v>117</v>
      </c>
      <c r="M30" s="7" t="s">
        <v>118</v>
      </c>
      <c r="N30" s="29">
        <f>(1.1-0.3)/1.96</f>
        <v>0.40816326530612246</v>
      </c>
      <c r="O30" s="29">
        <f>(1-0.3)/1.96</f>
        <v>0.35714285714285715</v>
      </c>
      <c r="P30" s="28">
        <f t="shared" si="2"/>
        <v>0.5423543782007475</v>
      </c>
      <c r="Q30" s="29">
        <f>(1.1-1)/P30</f>
        <v>0.18438129020318519</v>
      </c>
      <c r="R30" s="28">
        <f t="shared" si="3"/>
        <v>0.86386055963911901</v>
      </c>
      <c r="S30" s="7" t="s">
        <v>109</v>
      </c>
      <c r="T30" s="7" t="s">
        <v>0</v>
      </c>
      <c r="U30" s="35">
        <f>(1-2.1)/1.96</f>
        <v>-0.56122448979591844</v>
      </c>
      <c r="V30" s="36"/>
      <c r="W30" s="33"/>
      <c r="X30" s="36"/>
      <c r="Y30" s="33"/>
      <c r="Z30" s="7" t="s">
        <v>125</v>
      </c>
      <c r="AA30" s="7" t="s">
        <v>10</v>
      </c>
      <c r="AB30" s="42">
        <f>(0.6-1.1)/1.96</f>
        <v>-0.25510204081632659</v>
      </c>
      <c r="AC30" s="42">
        <f>(0.4-1)/1.96</f>
        <v>-0.30612244897959184</v>
      </c>
      <c r="AD30" s="42">
        <f t="shared" si="6"/>
        <v>0.3984821263217681</v>
      </c>
      <c r="AE30" s="42">
        <f>(0.6-0.4)/AD30</f>
        <v>0.50190456933695204</v>
      </c>
      <c r="AF30" s="42">
        <f t="shared" si="7"/>
        <v>0.628349093210122</v>
      </c>
    </row>
    <row r="31" spans="2:32" x14ac:dyDescent="0.3">
      <c r="B31" s="8" t="s">
        <v>138</v>
      </c>
      <c r="C31" s="1">
        <v>2006</v>
      </c>
      <c r="D31" s="1">
        <v>2012</v>
      </c>
      <c r="E31" s="7" t="s">
        <v>20</v>
      </c>
      <c r="F31" s="9" t="s">
        <v>204</v>
      </c>
      <c r="G31" s="29">
        <f>0.6/1.96</f>
        <v>0.30612244897959184</v>
      </c>
      <c r="H31" s="29">
        <f>0.5/1.96</f>
        <v>0.25510204081632654</v>
      </c>
      <c r="I31" s="28">
        <f t="shared" si="0"/>
        <v>0.3984821263217681</v>
      </c>
      <c r="J31" s="29">
        <f>(0.5-0.4)/I31</f>
        <v>0.25095228466847602</v>
      </c>
      <c r="K31" s="28">
        <f t="shared" si="1"/>
        <v>0.81372627537756348</v>
      </c>
      <c r="L31" s="7" t="s">
        <v>44</v>
      </c>
      <c r="M31" s="9" t="s">
        <v>205</v>
      </c>
      <c r="N31" s="29"/>
      <c r="O31" s="29"/>
      <c r="P31" s="28"/>
      <c r="Q31" s="29"/>
      <c r="R31" s="28"/>
      <c r="S31" s="7" t="s">
        <v>13</v>
      </c>
      <c r="T31" s="9" t="s">
        <v>206</v>
      </c>
      <c r="U31" s="40">
        <f>(0-0)/1.96</f>
        <v>0</v>
      </c>
      <c r="V31" s="41">
        <f>(0-0)/1.96</f>
        <v>0</v>
      </c>
      <c r="W31" s="33">
        <f t="shared" si="4"/>
        <v>0</v>
      </c>
      <c r="X31" s="41" t="e">
        <f>(0-0)/W31</f>
        <v>#DIV/0!</v>
      </c>
      <c r="Y31" s="33" t="e">
        <f t="shared" si="5"/>
        <v>#DIV/0!</v>
      </c>
      <c r="Z31" s="7" t="s">
        <v>19</v>
      </c>
      <c r="AA31" s="9" t="s">
        <v>205</v>
      </c>
      <c r="AB31" s="42"/>
      <c r="AC31" s="42"/>
      <c r="AD31" s="42"/>
      <c r="AE31" s="42"/>
      <c r="AF31" s="42"/>
    </row>
    <row r="32" spans="2:32" x14ac:dyDescent="0.3">
      <c r="B32" s="1" t="s">
        <v>139</v>
      </c>
      <c r="C32" s="7">
        <v>2005</v>
      </c>
      <c r="D32" s="1">
        <v>2015</v>
      </c>
      <c r="E32" s="7" t="s">
        <v>145</v>
      </c>
      <c r="F32" s="7" t="s">
        <v>141</v>
      </c>
      <c r="G32" s="29">
        <f>1.7/1.96</f>
        <v>0.86734693877551017</v>
      </c>
      <c r="H32" s="29">
        <f>1.2/1.96</f>
        <v>0.61224489795918369</v>
      </c>
      <c r="I32" s="28">
        <f t="shared" si="0"/>
        <v>1.0616659207492249</v>
      </c>
      <c r="J32" s="29">
        <f>(4.1-2.7)/I32</f>
        <v>1.3186822451755915</v>
      </c>
      <c r="K32" s="28">
        <f t="shared" si="1"/>
        <v>0.18845668597817414</v>
      </c>
      <c r="L32" s="7" t="s">
        <v>116</v>
      </c>
      <c r="M32" s="7" t="s">
        <v>142</v>
      </c>
      <c r="N32" s="29">
        <f>(1-0.5)/1.96</f>
        <v>0.25510204081632654</v>
      </c>
      <c r="O32" s="29">
        <f>(1-0.4)/1.96</f>
        <v>0.30612244897959184</v>
      </c>
      <c r="P32" s="28">
        <f t="shared" si="2"/>
        <v>0.3984821263217681</v>
      </c>
      <c r="Q32" s="29">
        <f>(1-1)/P32</f>
        <v>0</v>
      </c>
      <c r="R32" s="28">
        <f t="shared" si="3"/>
        <v>1</v>
      </c>
      <c r="S32" s="7" t="s">
        <v>90</v>
      </c>
      <c r="T32" s="7" t="s">
        <v>143</v>
      </c>
      <c r="U32" s="35">
        <f>(1.1-0.1)/1.96</f>
        <v>0.51020408163265307</v>
      </c>
      <c r="V32" s="36">
        <f>(1.3-0.3)/1.96</f>
        <v>0.51020408163265307</v>
      </c>
      <c r="W32" s="33">
        <f t="shared" si="4"/>
        <v>0.72153753182300773</v>
      </c>
      <c r="X32" s="36">
        <f>(1.1-1.3)/W32</f>
        <v>-0.27718585822512654</v>
      </c>
      <c r="Y32" s="33">
        <f t="shared" si="5"/>
        <v>1.1814944832379901</v>
      </c>
      <c r="Z32" s="7" t="s">
        <v>22</v>
      </c>
      <c r="AA32" s="7" t="s">
        <v>73</v>
      </c>
      <c r="AB32" s="42">
        <f>(0.2-0.5)/1.96</f>
        <v>-0.15306122448979592</v>
      </c>
      <c r="AC32" s="42">
        <f>(0.4-0.1)/1.96</f>
        <v>0.15306122448979595</v>
      </c>
      <c r="AD32" s="42">
        <f t="shared" si="6"/>
        <v>0.21646125954690235</v>
      </c>
      <c r="AE32" s="42">
        <f>(0.2-0.4)/AD32</f>
        <v>-0.92395286075042193</v>
      </c>
      <c r="AF32" s="42">
        <f t="shared" si="7"/>
        <v>1.3598027104513188</v>
      </c>
    </row>
    <row r="33" spans="2:32" x14ac:dyDescent="0.3">
      <c r="B33" s="19" t="s">
        <v>146</v>
      </c>
      <c r="C33" s="21">
        <v>2005</v>
      </c>
      <c r="D33" s="19">
        <v>2017</v>
      </c>
      <c r="E33" s="21" t="s">
        <v>18</v>
      </c>
      <c r="F33" s="21" t="s">
        <v>7</v>
      </c>
      <c r="G33" s="28">
        <f>0.4/0.9</f>
        <v>0.44444444444444448</v>
      </c>
      <c r="H33" s="28">
        <f>0.5/1.96</f>
        <v>0.25510204081632654</v>
      </c>
      <c r="I33" s="28">
        <f t="shared" si="0"/>
        <v>0.51245284214860742</v>
      </c>
      <c r="J33" s="28">
        <f>(0.5-0.3)/I33</f>
        <v>0.39027981416093216</v>
      </c>
      <c r="K33" s="28">
        <f t="shared" si="1"/>
        <v>0.70949980769614618</v>
      </c>
      <c r="L33" s="21" t="s">
        <v>4</v>
      </c>
      <c r="M33" s="21" t="s">
        <v>34</v>
      </c>
      <c r="N33" s="28">
        <f>(0.4-0.8)/1.96</f>
        <v>-0.20408163265306123</v>
      </c>
      <c r="O33" s="28">
        <f>(0.1-0.3)/1.96</f>
        <v>-0.1020408163265306</v>
      </c>
      <c r="P33" s="28">
        <f t="shared" si="2"/>
        <v>0.22817020178569283</v>
      </c>
      <c r="Q33" s="28">
        <f>(0.4-0.1)/P33</f>
        <v>1.3148079707698765</v>
      </c>
      <c r="R33" s="28">
        <f t="shared" si="3"/>
        <v>0.18978473267774265</v>
      </c>
      <c r="S33" s="21" t="s">
        <v>13</v>
      </c>
      <c r="T33" s="21" t="s">
        <v>34</v>
      </c>
      <c r="U33" s="33">
        <f>(0-0)/1.96</f>
        <v>0</v>
      </c>
      <c r="V33" s="34">
        <f>(0.1-0.3)/1.96</f>
        <v>-0.1020408163265306</v>
      </c>
      <c r="W33" s="33">
        <f t="shared" si="4"/>
        <v>0.1020408163265306</v>
      </c>
      <c r="X33" s="34">
        <f>(0-0.1)/W33</f>
        <v>-0.9800000000000002</v>
      </c>
      <c r="Y33" s="33">
        <f t="shared" si="5"/>
        <v>1.3540953594982585</v>
      </c>
      <c r="Z33" s="21" t="s">
        <v>66</v>
      </c>
      <c r="AA33" s="21" t="s">
        <v>31</v>
      </c>
      <c r="AB33" s="42">
        <f>(0.2-0.6)/1.96</f>
        <v>-0.2040816326530612</v>
      </c>
      <c r="AC33" s="42">
        <f>(0.1-0.2)/1.96</f>
        <v>-5.1020408163265307E-2</v>
      </c>
      <c r="AD33" s="42">
        <f t="shared" si="6"/>
        <v>0.21036253191926838</v>
      </c>
      <c r="AE33" s="42">
        <f>(0.2-0.1)/AD33</f>
        <v>0.47536982507121273</v>
      </c>
      <c r="AF33" s="42">
        <f t="shared" si="7"/>
        <v>0.64736410988287263</v>
      </c>
    </row>
    <row r="34" spans="2:32" x14ac:dyDescent="0.3">
      <c r="B34" s="19" t="s">
        <v>147</v>
      </c>
      <c r="C34" s="21">
        <v>2008</v>
      </c>
      <c r="D34" s="19">
        <v>2013</v>
      </c>
      <c r="E34" s="21" t="s">
        <v>150</v>
      </c>
      <c r="F34" s="21" t="s">
        <v>111</v>
      </c>
      <c r="G34" s="28">
        <f>1.3/1.96</f>
        <v>0.66326530612244905</v>
      </c>
      <c r="H34" s="28">
        <f>0.8/1.96</f>
        <v>0.40816326530612246</v>
      </c>
      <c r="I34" s="28">
        <f t="shared" si="0"/>
        <v>0.77879273073845656</v>
      </c>
      <c r="J34" s="28">
        <f>(2-2)/I34</f>
        <v>0</v>
      </c>
      <c r="K34" s="28">
        <f t="shared" si="1"/>
        <v>1</v>
      </c>
      <c r="L34" s="21" t="s">
        <v>144</v>
      </c>
      <c r="M34" s="21" t="s">
        <v>75</v>
      </c>
      <c r="N34" s="28">
        <f>(1-0.2)/1.96</f>
        <v>0.40816326530612246</v>
      </c>
      <c r="O34" s="28">
        <f>(0.9-0.4)/1.96</f>
        <v>0.25510204081632654</v>
      </c>
      <c r="P34" s="28">
        <f t="shared" si="2"/>
        <v>0.48132556796207165</v>
      </c>
      <c r="Q34" s="28">
        <f>(1-0.9)/P34</f>
        <v>0.20775958448124648</v>
      </c>
      <c r="R34" s="28">
        <f t="shared" si="3"/>
        <v>0.84626742445501058</v>
      </c>
      <c r="S34" s="21" t="s">
        <v>151</v>
      </c>
      <c r="T34" s="21" t="s">
        <v>148</v>
      </c>
      <c r="U34" s="33">
        <f>(1.1-2.1)/1.96</f>
        <v>-0.51020408163265307</v>
      </c>
      <c r="V34" s="34">
        <f>(0.9-0.2)/1.96</f>
        <v>0.35714285714285715</v>
      </c>
      <c r="W34" s="33">
        <f t="shared" si="4"/>
        <v>0.6227834497823318</v>
      </c>
      <c r="X34" s="34">
        <f>(1.1-0.9)/W34</f>
        <v>0.32113891284346396</v>
      </c>
      <c r="Y34" s="33">
        <f t="shared" si="5"/>
        <v>0.76097196288185098</v>
      </c>
      <c r="Z34" s="21" t="s">
        <v>13</v>
      </c>
      <c r="AA34" s="21" t="s">
        <v>149</v>
      </c>
      <c r="AB34" s="42">
        <f>(0-0)/1.96</f>
        <v>0</v>
      </c>
      <c r="AC34" s="42">
        <f>(0.6-0.1)/1.96</f>
        <v>0.25510204081632654</v>
      </c>
      <c r="AD34" s="42">
        <f t="shared" si="6"/>
        <v>0.25510204081632654</v>
      </c>
      <c r="AE34" s="42">
        <f>(0-0.6)/AD34</f>
        <v>-2.3519999999999999</v>
      </c>
      <c r="AF34" s="42">
        <f t="shared" si="7"/>
        <v>0.54070141587572595</v>
      </c>
    </row>
    <row r="35" spans="2:32" x14ac:dyDescent="0.3">
      <c r="B35" s="13" t="s">
        <v>165</v>
      </c>
      <c r="C35" s="15"/>
      <c r="D35" s="11">
        <v>2014</v>
      </c>
      <c r="E35" s="12"/>
      <c r="F35" s="12" t="s">
        <v>39</v>
      </c>
      <c r="G35" s="31"/>
      <c r="H35" s="32"/>
      <c r="I35" s="28"/>
      <c r="J35" s="31"/>
      <c r="K35" s="31"/>
      <c r="L35" s="12"/>
      <c r="M35" s="12" t="s">
        <v>4</v>
      </c>
      <c r="N35" s="30"/>
      <c r="O35" s="30"/>
      <c r="P35" s="30"/>
      <c r="Q35" s="30"/>
      <c r="R35" s="28"/>
      <c r="S35" s="12"/>
      <c r="T35" s="12" t="s">
        <v>34</v>
      </c>
      <c r="U35" s="31"/>
      <c r="V35" s="31">
        <f>(0.1-0.3)/1.96</f>
        <v>-0.1020408163265306</v>
      </c>
      <c r="W35" s="33">
        <f t="shared" si="4"/>
        <v>0.1020408163265306</v>
      </c>
      <c r="X35" s="31"/>
      <c r="Y35" s="33"/>
      <c r="Z35" s="12"/>
      <c r="AA35" s="12" t="s">
        <v>4</v>
      </c>
      <c r="AB35" s="42"/>
      <c r="AC35" s="42"/>
      <c r="AD35" s="42"/>
      <c r="AE35" s="42"/>
      <c r="AF35" s="42"/>
    </row>
    <row r="36" spans="2:32" x14ac:dyDescent="0.3">
      <c r="B36" s="8"/>
      <c r="E36" s="8" t="s">
        <v>203</v>
      </c>
    </row>
    <row r="37" spans="2:32" x14ac:dyDescent="0.3">
      <c r="B37" s="8"/>
      <c r="C37" s="1">
        <f>MEDIAN(C5:C35)</f>
        <v>2005</v>
      </c>
      <c r="D37" s="1">
        <f>MEDIAN(D5:D35)</f>
        <v>2014</v>
      </c>
    </row>
    <row r="38" spans="2:32" x14ac:dyDescent="0.3">
      <c r="B38" s="8"/>
      <c r="C38" s="1">
        <f>MEDIAN(C5,C8,C9,C10,C13:C16,C19:C20,C22:C24,C27:C34)</f>
        <v>2005</v>
      </c>
      <c r="D38" s="1">
        <f>MEDIAN(D5,D8,D9,D10,D13:D16,D19:D20,D22:D24,D27:D34)</f>
        <v>2014</v>
      </c>
    </row>
    <row r="78" spans="2:30" s="2" customFormat="1" ht="10.5" x14ac:dyDescent="0.25"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</row>
    <row r="79" spans="2:30" s="2" customFormat="1" ht="10.5" x14ac:dyDescent="0.25"/>
    <row r="80" spans="2:30" s="2" customFormat="1" ht="10.5" x14ac:dyDescent="0.25"/>
    <row r="82" spans="2:30" s="2" customFormat="1" ht="10.5" x14ac:dyDescent="0.25"/>
    <row r="85" spans="2:30" s="2" customFormat="1" ht="10.5" x14ac:dyDescent="0.25"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</row>
    <row r="86" spans="2:30" s="2" customFormat="1" ht="10.5" x14ac:dyDescent="0.25"/>
    <row r="88" spans="2:30" s="2" customFormat="1" ht="10.5" x14ac:dyDescent="0.25"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</row>
    <row r="92" spans="2:30" s="2" customFormat="1" ht="10.5" x14ac:dyDescent="0.25"/>
  </sheetData>
  <sortState ref="B19:L34">
    <sortCondition ref="B19:B34"/>
  </sortState>
  <mergeCells count="4">
    <mergeCell ref="G2:K2"/>
    <mergeCell ref="N2:R2"/>
    <mergeCell ref="U2:Y2"/>
    <mergeCell ref="AB2:AF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AppT4 UR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Ties;RMC</dc:creator>
  <cp:lastModifiedBy>Windows User</cp:lastModifiedBy>
  <cp:lastPrinted>2020-05-11T17:06:04Z</cp:lastPrinted>
  <dcterms:created xsi:type="dcterms:W3CDTF">2019-11-05T23:05:47Z</dcterms:created>
  <dcterms:modified xsi:type="dcterms:W3CDTF">2020-08-06T11:52:21Z</dcterms:modified>
</cp:coreProperties>
</file>