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H - Thesis\Data files\3rd objective data\"/>
    </mc:Choice>
  </mc:AlternateContent>
  <xr:revisionPtr revIDLastSave="0" documentId="8_{5AA14B3B-7E55-48A5-A57F-4FB394803B03}" xr6:coauthVersionLast="47" xr6:coauthVersionMax="47" xr10:uidLastSave="{00000000-0000-0000-0000-000000000000}"/>
  <bookViews>
    <workbookView xWindow="960" yWindow="720" windowWidth="22080" windowHeight="12240" xr2:uid="{6FA69532-DCEC-4DAA-81FD-C49E9550DE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G40" i="1"/>
  <c r="F40" i="1"/>
  <c r="B40" i="1"/>
  <c r="I40" i="1" s="1"/>
  <c r="H39" i="1"/>
  <c r="G39" i="1"/>
  <c r="F39" i="1"/>
  <c r="B39" i="1"/>
  <c r="I39" i="1" s="1"/>
  <c r="H38" i="1"/>
  <c r="I38" i="1" s="1"/>
  <c r="G38" i="1"/>
  <c r="F38" i="1"/>
  <c r="B38" i="1"/>
  <c r="H37" i="1"/>
  <c r="G37" i="1"/>
  <c r="F37" i="1"/>
  <c r="B37" i="1"/>
  <c r="I37" i="1" s="1"/>
  <c r="H36" i="1"/>
  <c r="G36" i="1"/>
  <c r="F36" i="1"/>
  <c r="I36" i="1" s="1"/>
  <c r="B36" i="1"/>
  <c r="H35" i="1"/>
  <c r="G35" i="1"/>
  <c r="F35" i="1"/>
  <c r="B35" i="1"/>
  <c r="I35" i="1" s="1"/>
  <c r="H34" i="1"/>
  <c r="G34" i="1"/>
  <c r="F34" i="1"/>
  <c r="B34" i="1"/>
  <c r="I34" i="1" s="1"/>
  <c r="I33" i="1"/>
  <c r="H33" i="1"/>
  <c r="G33" i="1"/>
  <c r="F33" i="1"/>
  <c r="B33" i="1"/>
  <c r="H32" i="1"/>
  <c r="G32" i="1"/>
  <c r="F32" i="1"/>
  <c r="B32" i="1"/>
  <c r="I32" i="1" s="1"/>
  <c r="H31" i="1"/>
  <c r="G31" i="1"/>
  <c r="I31" i="1" s="1"/>
  <c r="F31" i="1"/>
  <c r="B31" i="1"/>
  <c r="H26" i="1"/>
  <c r="G26" i="1"/>
  <c r="F26" i="1"/>
  <c r="B26" i="1"/>
  <c r="I26" i="1" s="1"/>
  <c r="H25" i="1"/>
  <c r="G25" i="1"/>
  <c r="F25" i="1"/>
  <c r="B25" i="1"/>
  <c r="I25" i="1" s="1"/>
  <c r="H24" i="1"/>
  <c r="I24" i="1" s="1"/>
  <c r="G24" i="1"/>
  <c r="F24" i="1"/>
  <c r="B24" i="1"/>
  <c r="H23" i="1"/>
  <c r="G23" i="1"/>
  <c r="F23" i="1"/>
  <c r="B23" i="1"/>
  <c r="I23" i="1" s="1"/>
  <c r="H22" i="1"/>
  <c r="G22" i="1"/>
  <c r="F22" i="1"/>
  <c r="I22" i="1" s="1"/>
  <c r="B22" i="1"/>
  <c r="H21" i="1"/>
  <c r="G21" i="1"/>
  <c r="F21" i="1"/>
  <c r="B21" i="1"/>
  <c r="I21" i="1" s="1"/>
  <c r="H20" i="1"/>
  <c r="G20" i="1"/>
  <c r="F20" i="1"/>
  <c r="B20" i="1"/>
  <c r="I20" i="1" s="1"/>
  <c r="I19" i="1"/>
  <c r="H19" i="1"/>
  <c r="G19" i="1"/>
  <c r="F19" i="1"/>
  <c r="B19" i="1"/>
  <c r="H18" i="1"/>
  <c r="G18" i="1"/>
  <c r="F18" i="1"/>
  <c r="B18" i="1"/>
  <c r="I18" i="1" s="1"/>
  <c r="H17" i="1"/>
  <c r="G17" i="1"/>
  <c r="I17" i="1" s="1"/>
  <c r="F17" i="1"/>
  <c r="B17" i="1"/>
  <c r="H12" i="1"/>
  <c r="G12" i="1"/>
  <c r="F12" i="1"/>
  <c r="B12" i="1"/>
  <c r="I12" i="1" s="1"/>
  <c r="H11" i="1"/>
  <c r="G11" i="1"/>
  <c r="F11" i="1"/>
  <c r="B11" i="1"/>
  <c r="I11" i="1" s="1"/>
  <c r="H10" i="1"/>
  <c r="I10" i="1" s="1"/>
  <c r="G10" i="1"/>
  <c r="F10" i="1"/>
  <c r="B10" i="1"/>
  <c r="H9" i="1"/>
  <c r="G9" i="1"/>
  <c r="F9" i="1"/>
  <c r="B9" i="1"/>
  <c r="I9" i="1" s="1"/>
  <c r="H8" i="1"/>
  <c r="G8" i="1"/>
  <c r="F8" i="1"/>
  <c r="I8" i="1" s="1"/>
  <c r="B8" i="1"/>
  <c r="H7" i="1"/>
  <c r="G7" i="1"/>
  <c r="F7" i="1"/>
  <c r="B7" i="1"/>
  <c r="I7" i="1" s="1"/>
  <c r="H6" i="1"/>
  <c r="G6" i="1"/>
  <c r="F6" i="1"/>
  <c r="B6" i="1"/>
  <c r="I6" i="1" s="1"/>
  <c r="I5" i="1"/>
  <c r="H5" i="1"/>
  <c r="G5" i="1"/>
  <c r="F5" i="1"/>
  <c r="B5" i="1"/>
  <c r="H4" i="1"/>
  <c r="G4" i="1"/>
  <c r="F4" i="1"/>
  <c r="B4" i="1"/>
  <c r="I4" i="1" s="1"/>
  <c r="H3" i="1"/>
  <c r="G3" i="1"/>
  <c r="I3" i="1" s="1"/>
  <c r="F3" i="1"/>
  <c r="B3" i="1"/>
</calcChain>
</file>

<file path=xl/sharedStrings.xml><?xml version="1.0" encoding="utf-8"?>
<sst xmlns="http://schemas.openxmlformats.org/spreadsheetml/2006/main" count="57" uniqueCount="21">
  <si>
    <t>Chitradurga</t>
  </si>
  <si>
    <t>Millets</t>
  </si>
  <si>
    <t>Cereals</t>
  </si>
  <si>
    <t>Pulses</t>
  </si>
  <si>
    <t>Oilseeds</t>
  </si>
  <si>
    <t>Vegetables</t>
  </si>
  <si>
    <t>Fruits</t>
  </si>
  <si>
    <t>Others</t>
  </si>
  <si>
    <t>Total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</si>
  <si>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</si>
  <si>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</si>
  <si>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</si>
  <si>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</si>
  <si>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</si>
  <si>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</si>
  <si>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</si>
  <si>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</si>
  <si>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</si>
  <si>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</si>
  <si>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Dharwad</t>
  </si>
  <si>
    <t>Raichur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</si>
</sst>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A8E9-133F-4D52-88BF-F4AA55FED6E6}">
  <dimension ref="A1:I40"/>
  <sheetViews>
    <sheetView tabSelected="1" topLeftCell="A28" workbookViewId="0">
      <selection activeCell="J34" sqref="J34"/>
    </sheetView>
  </sheetViews>
  <sheetFormatPr defaultRowHeight="14.4" x14ac:dyDescent="0.3"/>
  <sheetData>
    <row r="1" spans="1:9" x14ac:dyDescent="0.3">
      <c r="E1" t="s">
        <v>0</v>
      </c>
    </row>
    <row r="2" spans="1:9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s="1" t="s">
        <v>9</v>
      </c>
      <c r="B3">
        <f>7189+24676+1612+41177</f>
        <v>74654</v>
      </c>
      <c r="C3">
        <v>177050</v>
      </c>
      <c r="D3">
        <v>54476</v>
      </c>
      <c r="E3">
        <v>110948</v>
      </c>
      <c r="F3">
        <f>4+15142+875+7+244+13</f>
        <v>16285</v>
      </c>
      <c r="G3">
        <f>2144+2+2249+533+4+15+1247+28+1957</f>
        <v>8179</v>
      </c>
      <c r="H3">
        <f>20401+47+483+1337+16363+67+42531</f>
        <v>81229</v>
      </c>
      <c r="I3">
        <f>SUM(B3:H3)</f>
        <v>522821</v>
      </c>
    </row>
    <row r="4" spans="1:9" x14ac:dyDescent="0.3">
      <c r="A4" t="s">
        <v>10</v>
      </c>
      <c r="B4">
        <f>6589+21029+1330+47169</f>
        <v>76117</v>
      </c>
      <c r="C4">
        <v>175106</v>
      </c>
      <c r="D4">
        <v>49993</v>
      </c>
      <c r="E4">
        <v>128857</v>
      </c>
      <c r="F4">
        <f>11891+975+12+398+13</f>
        <v>13289</v>
      </c>
      <c r="G4">
        <f>2222+2356+706+4+21+1278+18+3885</f>
        <v>10490</v>
      </c>
      <c r="H4">
        <f>19422+43+165+1236+17251+48+42526</f>
        <v>80691</v>
      </c>
      <c r="I4">
        <f t="shared" ref="I4:I12" si="0">SUM(B4:H4)</f>
        <v>534543</v>
      </c>
    </row>
    <row r="5" spans="1:9" x14ac:dyDescent="0.3">
      <c r="A5" t="s">
        <v>11</v>
      </c>
      <c r="B5">
        <f>8523+11890+2049+47230</f>
        <v>69692</v>
      </c>
      <c r="C5">
        <v>166612</v>
      </c>
      <c r="D5">
        <v>46109</v>
      </c>
      <c r="E5">
        <v>133265</v>
      </c>
      <c r="F5">
        <f>23+16332+874+13+447+22</f>
        <v>17711</v>
      </c>
      <c r="G5">
        <f>2724+4+2730+804+4+21+1389+17+6090</f>
        <v>13783</v>
      </c>
      <c r="H5">
        <f>20966+44+1098+8+16860+78+38428</f>
        <v>77482</v>
      </c>
      <c r="I5">
        <f t="shared" si="0"/>
        <v>524654</v>
      </c>
    </row>
    <row r="6" spans="1:9" x14ac:dyDescent="0.3">
      <c r="A6" t="s">
        <v>12</v>
      </c>
      <c r="B6">
        <f>8025+14231+1697+57167</f>
        <v>81120</v>
      </c>
      <c r="C6">
        <v>167234</v>
      </c>
      <c r="D6">
        <v>55751</v>
      </c>
      <c r="E6">
        <v>141731</v>
      </c>
      <c r="F6">
        <f>25862+939+42+426+24</f>
        <v>27293</v>
      </c>
      <c r="G6">
        <f>2708+2824+667+4+20+1418+21+6879</f>
        <v>14541</v>
      </c>
      <c r="H6">
        <f>28576+1360+48+17253+104+38729</f>
        <v>86070</v>
      </c>
      <c r="I6">
        <f t="shared" si="0"/>
        <v>573740</v>
      </c>
    </row>
    <row r="7" spans="1:9" x14ac:dyDescent="0.3">
      <c r="A7" t="s">
        <v>13</v>
      </c>
      <c r="B7">
        <f>6449+12719+1798+48082</f>
        <v>69048</v>
      </c>
      <c r="C7">
        <v>156462</v>
      </c>
      <c r="D7">
        <v>62739</v>
      </c>
      <c r="E7">
        <v>122241</v>
      </c>
      <c r="F7">
        <f>13+25076+1240+50+549+80</f>
        <v>27008</v>
      </c>
      <c r="G7">
        <f>3231+2876+662+6+1268+54+5963</f>
        <v>14060</v>
      </c>
      <c r="H7">
        <f>16758+2+215+1793+75+17507+166+40576</f>
        <v>77092</v>
      </c>
      <c r="I7">
        <f t="shared" si="0"/>
        <v>528650</v>
      </c>
    </row>
    <row r="8" spans="1:9" x14ac:dyDescent="0.3">
      <c r="A8" t="s">
        <v>14</v>
      </c>
      <c r="B8">
        <f>7849+3749+1804+53883</f>
        <v>67285</v>
      </c>
      <c r="C8">
        <v>167984</v>
      </c>
      <c r="D8">
        <v>34935</v>
      </c>
      <c r="E8">
        <v>136601</v>
      </c>
      <c r="F8">
        <f>12+34763+2094+30+620+92</f>
        <v>37611</v>
      </c>
      <c r="G8">
        <f>3075+8+2513+565+2+1015+40+5337</f>
        <v>12555</v>
      </c>
      <c r="H8">
        <f>8788+6+2453+2+1+17667+175+40806</f>
        <v>69898</v>
      </c>
      <c r="I8">
        <f t="shared" si="0"/>
        <v>526869</v>
      </c>
    </row>
    <row r="9" spans="1:9" x14ac:dyDescent="0.3">
      <c r="A9" t="s">
        <v>15</v>
      </c>
      <c r="B9">
        <f>11124+13883+3694+50098</f>
        <v>78799</v>
      </c>
      <c r="C9">
        <v>150396</v>
      </c>
      <c r="D9">
        <v>59613</v>
      </c>
      <c r="E9">
        <v>94708</v>
      </c>
      <c r="F9">
        <f>27427+2852+269+999+96</f>
        <v>31643</v>
      </c>
      <c r="G9">
        <f>4124+15+2057+961+1+42+754+61+5939</f>
        <v>13954</v>
      </c>
      <c r="H9">
        <f>10314+4+2075+1+24+2+24244+99+39437</f>
        <v>76200</v>
      </c>
      <c r="I9">
        <f t="shared" si="0"/>
        <v>505313</v>
      </c>
    </row>
    <row r="10" spans="1:9" x14ac:dyDescent="0.3">
      <c r="A10" t="s">
        <v>16</v>
      </c>
      <c r="B10">
        <f>6406+4173+1912+21586</f>
        <v>34077</v>
      </c>
      <c r="C10">
        <v>133311</v>
      </c>
      <c r="D10">
        <v>50238</v>
      </c>
      <c r="E10">
        <v>77787</v>
      </c>
      <c r="F10">
        <f>6+27305+2460+93+606+49</f>
        <v>30519</v>
      </c>
      <c r="G10">
        <f>2785+23+6+2162+589+10+46+733+93+5606</f>
        <v>12053</v>
      </c>
      <c r="H10">
        <f>9483+21+14+7+3397+1+9+24+2+4+34385+35+52903</f>
        <v>100285</v>
      </c>
      <c r="I10">
        <f t="shared" si="0"/>
        <v>438270</v>
      </c>
    </row>
    <row r="11" spans="1:9" x14ac:dyDescent="0.3">
      <c r="A11" t="s">
        <v>17</v>
      </c>
      <c r="B11">
        <f>22379+16211+3013+46462</f>
        <v>88065</v>
      </c>
      <c r="C11">
        <v>162555</v>
      </c>
      <c r="D11">
        <v>50059</v>
      </c>
      <c r="E11">
        <v>123602</v>
      </c>
      <c r="F11">
        <f>9+33387+3746+152+883+48</f>
        <v>38225</v>
      </c>
      <c r="G11">
        <f>3043+2+13+2000+348+29+83+697+130+5265</f>
        <v>11610</v>
      </c>
      <c r="H11">
        <f>17901+63+51+8+2204+6+32+24+7+1+35058+70+50775</f>
        <v>106200</v>
      </c>
      <c r="I11">
        <f t="shared" si="0"/>
        <v>580316</v>
      </c>
    </row>
    <row r="12" spans="1:9" x14ac:dyDescent="0.3">
      <c r="A12" t="s">
        <v>18</v>
      </c>
      <c r="B12">
        <f>4305+9036+1975+48895</f>
        <v>64211</v>
      </c>
      <c r="C12">
        <v>180982</v>
      </c>
      <c r="D12">
        <v>46349</v>
      </c>
      <c r="E12">
        <v>170918</v>
      </c>
      <c r="F12">
        <f>23+38510+4891+109</f>
        <v>43533</v>
      </c>
      <c r="G12">
        <f>2+528+56</f>
        <v>586</v>
      </c>
      <c r="H12">
        <f>11311+33+78+1+49+647+1+32+56+5+12+34866+49+45870</f>
        <v>93010</v>
      </c>
      <c r="I12">
        <f t="shared" si="0"/>
        <v>599589</v>
      </c>
    </row>
    <row r="15" spans="1:9" x14ac:dyDescent="0.3">
      <c r="E15" t="s">
        <v>19</v>
      </c>
    </row>
    <row r="16" spans="1:9" x14ac:dyDescent="0.3"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8</v>
      </c>
    </row>
    <row r="17" spans="1:9" x14ac:dyDescent="0.3">
      <c r="A17" t="s">
        <v>9</v>
      </c>
      <c r="B17">
        <f>860+44092+50</f>
        <v>45002</v>
      </c>
      <c r="C17">
        <v>158231</v>
      </c>
      <c r="D17">
        <v>90393</v>
      </c>
      <c r="E17">
        <v>80129</v>
      </c>
      <c r="F17">
        <f>1182+21645+502+11+465+56</f>
        <v>23861</v>
      </c>
      <c r="G17">
        <f>254+5+8536+11+100+618+1777+17+6</f>
        <v>11324</v>
      </c>
      <c r="H17">
        <f>68969+7828+5+5+30347+865+16+331+511</f>
        <v>108877</v>
      </c>
      <c r="I17">
        <f>SUM(B17:H17)</f>
        <v>517817</v>
      </c>
    </row>
    <row r="18" spans="1:9" x14ac:dyDescent="0.3">
      <c r="A18" t="s">
        <v>10</v>
      </c>
      <c r="B18">
        <f>362+51382+15+55</f>
        <v>51814</v>
      </c>
      <c r="C18">
        <v>150151</v>
      </c>
      <c r="D18">
        <v>92578</v>
      </c>
      <c r="E18">
        <v>60901</v>
      </c>
      <c r="F18">
        <f>670+1447+368+14+379+70</f>
        <v>2948</v>
      </c>
      <c r="G18">
        <f>176+8663+8+55+625+1496+9+6</f>
        <v>11038</v>
      </c>
      <c r="H18">
        <f xml:space="preserve"> 40910+7649+9561+4+714+4+60+451</f>
        <v>59353</v>
      </c>
      <c r="I18">
        <f t="shared" ref="I18:I26" si="1">SUM(B18:H18)</f>
        <v>428783</v>
      </c>
    </row>
    <row r="19" spans="1:9" x14ac:dyDescent="0.3">
      <c r="A19" t="s">
        <v>11</v>
      </c>
      <c r="B19">
        <f>481+38852+8+46</f>
        <v>39387</v>
      </c>
      <c r="C19">
        <v>138927</v>
      </c>
      <c r="D19">
        <v>85362</v>
      </c>
      <c r="E19">
        <v>78679</v>
      </c>
      <c r="F19">
        <f>1238+21229+565+41+514+123</f>
        <v>23710</v>
      </c>
      <c r="G19">
        <f>188+2+8842+1+50+654+1417+11+6</f>
        <v>11171</v>
      </c>
      <c r="H19">
        <f>90497+7386+24763+802+17+144+436</f>
        <v>124045</v>
      </c>
      <c r="I19">
        <f t="shared" si="1"/>
        <v>501281</v>
      </c>
    </row>
    <row r="20" spans="1:9" x14ac:dyDescent="0.3">
      <c r="A20" t="s">
        <v>12</v>
      </c>
      <c r="B20">
        <f>313+41144+5+11</f>
        <v>41473</v>
      </c>
      <c r="C20">
        <v>124401</v>
      </c>
      <c r="D20">
        <v>86413</v>
      </c>
      <c r="E20">
        <v>68438</v>
      </c>
      <c r="F20">
        <f>1479+35457+453+79+495+78</f>
        <v>38041</v>
      </c>
      <c r="G20">
        <f>195+8720+10+67+723+1407</f>
        <v>11122</v>
      </c>
      <c r="H20">
        <f>97184+9326+25054+5+359+14+107+318</f>
        <v>132367</v>
      </c>
      <c r="I20">
        <f t="shared" si="1"/>
        <v>502255</v>
      </c>
    </row>
    <row r="21" spans="1:9" x14ac:dyDescent="0.3">
      <c r="A21" t="s">
        <v>13</v>
      </c>
      <c r="B21">
        <f>135+48420+27</f>
        <v>48582</v>
      </c>
      <c r="C21">
        <v>136091</v>
      </c>
      <c r="D21">
        <v>134959</v>
      </c>
      <c r="E21">
        <v>91427</v>
      </c>
      <c r="F21">
        <f>1160+36323+588+44+467+82</f>
        <v>38664</v>
      </c>
      <c r="G21">
        <f>210+7875+14+47+623+1169+7</f>
        <v>9945</v>
      </c>
      <c r="H21">
        <f>66888+8712+1+29691+1+425+18+48+298</f>
        <v>106082</v>
      </c>
      <c r="I21">
        <f t="shared" si="1"/>
        <v>565750</v>
      </c>
    </row>
    <row r="22" spans="1:9" x14ac:dyDescent="0.3">
      <c r="A22" t="s">
        <v>14</v>
      </c>
      <c r="B22">
        <f>225+51689+8</f>
        <v>51922</v>
      </c>
      <c r="C22">
        <v>136451</v>
      </c>
      <c r="D22">
        <v>112294</v>
      </c>
      <c r="E22">
        <v>79093</v>
      </c>
      <c r="F22">
        <f>1045+32984+431+42+319+63</f>
        <v>34884</v>
      </c>
      <c r="G22">
        <f>213+7779+10+27+658+1200+6</f>
        <v>9893</v>
      </c>
      <c r="H22">
        <f>70272+7547+1+34303+1050+29+147+280</f>
        <v>113629</v>
      </c>
      <c r="I22">
        <f t="shared" si="1"/>
        <v>538166</v>
      </c>
    </row>
    <row r="23" spans="1:9" x14ac:dyDescent="0.3">
      <c r="A23" t="s">
        <v>15</v>
      </c>
      <c r="B23">
        <f>451+61361+6</f>
        <v>61818</v>
      </c>
      <c r="C23">
        <v>147648</v>
      </c>
      <c r="D23">
        <v>131753</v>
      </c>
      <c r="E23">
        <v>60526</v>
      </c>
      <c r="F23">
        <f>1089+15462+702+12+443+73</f>
        <v>17781</v>
      </c>
      <c r="G23">
        <f>175+5+7949+27+36+633+1162+25</f>
        <v>10012</v>
      </c>
      <c r="H23">
        <f>42633+8748+1+20514+1+1+1024+32+17+275</f>
        <v>73246</v>
      </c>
      <c r="I23">
        <f t="shared" si="1"/>
        <v>502784</v>
      </c>
    </row>
    <row r="24" spans="1:9" x14ac:dyDescent="0.3">
      <c r="A24" t="s">
        <v>16</v>
      </c>
      <c r="B24">
        <f>383+49073+54+69</f>
        <v>49579</v>
      </c>
      <c r="C24">
        <v>132215</v>
      </c>
      <c r="D24">
        <v>154464</v>
      </c>
      <c r="E24">
        <v>69635</v>
      </c>
      <c r="F24">
        <f>862+26620+655+24+358+14</f>
        <v>28533</v>
      </c>
      <c r="G24">
        <f>193+9349+33+66+537+1181+3+2</f>
        <v>11364</v>
      </c>
      <c r="H24">
        <f>53005+11921+49663+1+6+580+101+19+417</f>
        <v>115713</v>
      </c>
      <c r="I24">
        <f t="shared" si="1"/>
        <v>561503</v>
      </c>
    </row>
    <row r="25" spans="1:9" x14ac:dyDescent="0.3">
      <c r="A25" t="s">
        <v>17</v>
      </c>
      <c r="B25">
        <f>697+39433+75+108</f>
        <v>40313</v>
      </c>
      <c r="C25">
        <v>128232</v>
      </c>
      <c r="D25">
        <v>138799</v>
      </c>
      <c r="E25">
        <v>74116</v>
      </c>
      <c r="F25">
        <f>1299+21482+628+126+485+73</f>
        <v>24093</v>
      </c>
      <c r="G25">
        <f>218+4+32+8244+24+72+563+1026+11+13</f>
        <v>10207</v>
      </c>
      <c r="H25">
        <f>82795+18975+3+12+22251+1+6+8+254+110+415+395</f>
        <v>125225</v>
      </c>
      <c r="I25">
        <f t="shared" si="1"/>
        <v>540985</v>
      </c>
    </row>
    <row r="26" spans="1:9" x14ac:dyDescent="0.3">
      <c r="A26" t="s">
        <v>18</v>
      </c>
      <c r="B26">
        <f>741+43215+67+86</f>
        <v>44109</v>
      </c>
      <c r="C26">
        <v>142899</v>
      </c>
      <c r="D26">
        <v>175122</v>
      </c>
      <c r="E26">
        <v>71973</v>
      </c>
      <c r="F26">
        <f>1292+13743+635+33</f>
        <v>15703</v>
      </c>
      <c r="G26">
        <f>2+21+10+89</f>
        <v>122</v>
      </c>
      <c r="H26">
        <f>88968+11070+1+4+16997+15+63+33+125+167+59+346</f>
        <v>117848</v>
      </c>
      <c r="I26">
        <f t="shared" si="1"/>
        <v>567776</v>
      </c>
    </row>
    <row r="29" spans="1:9" x14ac:dyDescent="0.3">
      <c r="E29" t="s">
        <v>20</v>
      </c>
    </row>
    <row r="30" spans="1:9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</row>
    <row r="31" spans="1:9" x14ac:dyDescent="0.3">
      <c r="A31" t="s">
        <v>9</v>
      </c>
      <c r="B31">
        <f>30+86138+46216</f>
        <v>132384</v>
      </c>
      <c r="C31">
        <v>278048</v>
      </c>
      <c r="D31">
        <v>116153</v>
      </c>
      <c r="E31">
        <v>101672</v>
      </c>
      <c r="F31">
        <f>1351+168+211</f>
        <v>1730</v>
      </c>
      <c r="G31">
        <f>71+137+34+25+28+66+336</f>
        <v>697</v>
      </c>
      <c r="H31">
        <f>38467+262+3483+56+27</f>
        <v>42295</v>
      </c>
      <c r="I31">
        <f>SUM(B31:H31)</f>
        <v>672979</v>
      </c>
    </row>
    <row r="32" spans="1:9" x14ac:dyDescent="0.3">
      <c r="A32" t="s">
        <v>10</v>
      </c>
      <c r="B32">
        <f>109203+52357</f>
        <v>161560</v>
      </c>
      <c r="C32">
        <v>316249</v>
      </c>
      <c r="D32">
        <v>142046</v>
      </c>
      <c r="E32">
        <v>114362</v>
      </c>
      <c r="F32">
        <f>1271+245+217</f>
        <v>1733</v>
      </c>
      <c r="G32">
        <f>100+6+159+114+20+28+95+409</f>
        <v>931</v>
      </c>
      <c r="H32">
        <f xml:space="preserve"> 53360+422+4440+16+36</f>
        <v>58274</v>
      </c>
      <c r="I32">
        <f t="shared" ref="I32:I40" si="2">SUM(B32:H32)</f>
        <v>795155</v>
      </c>
    </row>
    <row r="33" spans="1:9" x14ac:dyDescent="0.3">
      <c r="A33" t="s">
        <v>11</v>
      </c>
      <c r="B33">
        <f>95712+51061</f>
        <v>146773</v>
      </c>
      <c r="C33">
        <v>326563</v>
      </c>
      <c r="D33">
        <v>169263</v>
      </c>
      <c r="E33">
        <v>120290</v>
      </c>
      <c r="F33">
        <f>1021+246+194</f>
        <v>1461</v>
      </c>
      <c r="G33">
        <f>146+2+161+151+45+44+76+272</f>
        <v>897</v>
      </c>
      <c r="H33">
        <f>55755+345+3824+50+63</f>
        <v>60037</v>
      </c>
      <c r="I33">
        <f t="shared" si="2"/>
        <v>825284</v>
      </c>
    </row>
    <row r="34" spans="1:9" x14ac:dyDescent="0.3">
      <c r="A34" t="s">
        <v>12</v>
      </c>
      <c r="B34">
        <f>76744+46275</f>
        <v>123019</v>
      </c>
      <c r="C34">
        <v>286571</v>
      </c>
      <c r="D34">
        <v>98642</v>
      </c>
      <c r="E34">
        <v>67400</v>
      </c>
      <c r="F34">
        <f>1340+404+287</f>
        <v>2031</v>
      </c>
      <c r="G34">
        <f>76+352+196+51+42+101+340</f>
        <v>1158</v>
      </c>
      <c r="H34">
        <f>104970+295+3839+35+80</f>
        <v>109219</v>
      </c>
      <c r="I34">
        <f t="shared" si="2"/>
        <v>688040</v>
      </c>
    </row>
    <row r="35" spans="1:9" x14ac:dyDescent="0.3">
      <c r="A35" t="s">
        <v>13</v>
      </c>
      <c r="B35">
        <f>91537+37042</f>
        <v>128579</v>
      </c>
      <c r="C35">
        <v>246841</v>
      </c>
      <c r="D35">
        <v>190116</v>
      </c>
      <c r="E35">
        <v>68338</v>
      </c>
      <c r="F35">
        <f>1139+266+226</f>
        <v>1631</v>
      </c>
      <c r="G35">
        <f>99+487+220+53+55+122+365</f>
        <v>1401</v>
      </c>
      <c r="H35">
        <f>45409+375+4211+80</f>
        <v>50075</v>
      </c>
      <c r="I35">
        <f t="shared" si="2"/>
        <v>686981</v>
      </c>
    </row>
    <row r="36" spans="1:9" x14ac:dyDescent="0.3">
      <c r="A36" t="s">
        <v>14</v>
      </c>
      <c r="B36">
        <f>70928+51807</f>
        <v>122735</v>
      </c>
      <c r="C36">
        <v>250758</v>
      </c>
      <c r="D36">
        <v>208698</v>
      </c>
      <c r="E36">
        <v>67308</v>
      </c>
      <c r="F36">
        <f>1646+336+297</f>
        <v>2279</v>
      </c>
      <c r="G36">
        <f>10+117+136+24+7+65+167</f>
        <v>526</v>
      </c>
      <c r="H36">
        <f>47054+300+2151+80</f>
        <v>49585</v>
      </c>
      <c r="I36">
        <f t="shared" si="2"/>
        <v>701889</v>
      </c>
    </row>
    <row r="37" spans="1:9" x14ac:dyDescent="0.3">
      <c r="A37" t="s">
        <v>15</v>
      </c>
      <c r="B37">
        <f>67057+39794</f>
        <v>106851</v>
      </c>
      <c r="C37">
        <v>222291</v>
      </c>
      <c r="D37">
        <v>155632</v>
      </c>
      <c r="E37">
        <v>36923</v>
      </c>
      <c r="F37">
        <f>100+441+153</f>
        <v>694</v>
      </c>
      <c r="G37">
        <f>12+582+56+5+15+35+501</f>
        <v>1206</v>
      </c>
      <c r="H37">
        <f>85850+2400</f>
        <v>88250</v>
      </c>
      <c r="I37">
        <f t="shared" si="2"/>
        <v>611847</v>
      </c>
    </row>
    <row r="38" spans="1:9" x14ac:dyDescent="0.3">
      <c r="A38" t="s">
        <v>16</v>
      </c>
      <c r="B38">
        <f>94+127743+47022+84</f>
        <v>174943</v>
      </c>
      <c r="C38">
        <v>354407</v>
      </c>
      <c r="D38">
        <v>281613</v>
      </c>
      <c r="E38">
        <v>40588</v>
      </c>
      <c r="F38">
        <f>43+3015+385+20+100+7</f>
        <v>3570</v>
      </c>
      <c r="G38">
        <f>42+8+472+189+41+23+104+941</f>
        <v>1820</v>
      </c>
      <c r="H38">
        <f>123580+797+41+1+1+8008+14+2+2+28+29</f>
        <v>132503</v>
      </c>
      <c r="I38">
        <f t="shared" si="2"/>
        <v>989444</v>
      </c>
    </row>
    <row r="39" spans="1:9" x14ac:dyDescent="0.3">
      <c r="A39" t="s">
        <v>17</v>
      </c>
      <c r="B39">
        <f>1701+69420+57465+136</f>
        <v>128722</v>
      </c>
      <c r="C39">
        <v>351240</v>
      </c>
      <c r="D39">
        <v>252082</v>
      </c>
      <c r="E39">
        <v>9196</v>
      </c>
      <c r="F39">
        <f>46+2224+393+14+199+5</f>
        <v>2881</v>
      </c>
      <c r="G39">
        <f>61+4+1069+209+67+10+106+1191</f>
        <v>2717</v>
      </c>
      <c r="H39">
        <f>151150+585+83+3+13+5684+23+6+4+15</f>
        <v>157566</v>
      </c>
      <c r="I39">
        <f t="shared" si="2"/>
        <v>904404</v>
      </c>
    </row>
    <row r="40" spans="1:9" x14ac:dyDescent="0.3">
      <c r="A40" t="s">
        <v>18</v>
      </c>
      <c r="B40">
        <f>885+51576+35607+94</f>
        <v>88162</v>
      </c>
      <c r="C40">
        <v>436096</v>
      </c>
      <c r="D40">
        <v>189609</v>
      </c>
      <c r="E40">
        <v>25178</v>
      </c>
      <c r="F40">
        <f>58+2977+444</f>
        <v>3479</v>
      </c>
      <c r="G40">
        <f>257+2</f>
        <v>259</v>
      </c>
      <c r="H40">
        <f>170684+629+151+2+5+1159+46+3+125+12+54</f>
        <v>172870</v>
      </c>
      <c r="I40">
        <f t="shared" si="2"/>
        <v>915653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Manasa H A</dc:creator>
  <cp:lastModifiedBy>Manasa H A</cp:lastModifiedBy>
  <dcterms:created xsi:type="dcterms:W3CDTF">2024-10-24T14:29:21Z</dcterms:created>
  <dcterms:modified xsi:type="dcterms:W3CDTF">2024-10-24T14:31:16Z</dcterms:modified>
</cp:coreProperties>
</file>