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ttofr\Work\PESETA\2021 NCC paper\"/>
    </mc:Choice>
  </mc:AlternateContent>
  <bookViews>
    <workbookView xWindow="480" yWindow="240" windowWidth="20730" windowHeight="11760" activeTab="1"/>
  </bookViews>
  <sheets>
    <sheet name="Summary" sheetId="9" r:id="rId1"/>
    <sheet name="Unit costs" sheetId="6" r:id="rId2"/>
    <sheet name="Bibliography-all" sheetId="7" r:id="rId3"/>
    <sheet name="inflation_gdp" sheetId="8" r:id="rId4"/>
  </sheets>
  <calcPr calcId="162913"/>
</workbook>
</file>

<file path=xl/calcChain.xml><?xml version="1.0" encoding="utf-8"?>
<calcChain xmlns="http://schemas.openxmlformats.org/spreadsheetml/2006/main">
  <c r="F126" i="6" l="1"/>
  <c r="F125" i="6"/>
  <c r="I119" i="6" l="1"/>
  <c r="P4" i="8"/>
  <c r="I120" i="6" s="1"/>
  <c r="O3" i="8"/>
  <c r="N3" i="8"/>
  <c r="M3" i="8"/>
  <c r="L3" i="8"/>
  <c r="J3" i="8"/>
  <c r="I3" i="8"/>
  <c r="H3" i="8"/>
  <c r="F3" i="8"/>
  <c r="G3" i="8"/>
  <c r="I121" i="6" l="1"/>
  <c r="F123" i="6"/>
  <c r="I46" i="6" l="1"/>
  <c r="I47" i="6"/>
  <c r="K47" i="6" s="1"/>
  <c r="I48" i="6"/>
  <c r="K48" i="6" s="1"/>
  <c r="I49" i="6"/>
  <c r="K49" i="6" s="1"/>
  <c r="I50" i="6"/>
  <c r="I51" i="6"/>
  <c r="I52" i="6"/>
  <c r="I53" i="6"/>
  <c r="K53" i="6" s="1"/>
  <c r="I54" i="6"/>
  <c r="K54" i="6" s="1"/>
  <c r="I55" i="6"/>
  <c r="K55" i="6" s="1"/>
  <c r="I45" i="6"/>
  <c r="K45" i="6" s="1"/>
  <c r="N76" i="6"/>
  <c r="E32" i="6"/>
  <c r="D32" i="6"/>
  <c r="E148" i="6" l="1"/>
  <c r="E149" i="6"/>
  <c r="E150" i="6"/>
  <c r="E147" i="6"/>
  <c r="I142" i="6" l="1"/>
  <c r="I150" i="6" l="1"/>
  <c r="K150" i="6" s="1"/>
  <c r="E160" i="6"/>
  <c r="E151" i="6"/>
  <c r="K60" i="6"/>
  <c r="K61" i="6"/>
  <c r="K62" i="6"/>
  <c r="K63" i="6"/>
  <c r="F82" i="6"/>
  <c r="E82" i="6"/>
  <c r="K142" i="6" l="1"/>
  <c r="F76" i="6"/>
  <c r="I76" i="6" s="1"/>
  <c r="K76" i="6" s="1"/>
  <c r="E76" i="6"/>
  <c r="F66" i="6" l="1"/>
  <c r="F65" i="6"/>
  <c r="F64" i="6"/>
  <c r="F71" i="6"/>
  <c r="I6" i="6"/>
  <c r="K6" i="6" s="1"/>
  <c r="I7" i="6"/>
  <c r="K7" i="6" s="1"/>
  <c r="I8" i="6"/>
  <c r="K8" i="6" s="1"/>
  <c r="I9" i="6"/>
  <c r="K9" i="6" s="1"/>
  <c r="I10" i="6"/>
  <c r="K10" i="6" s="1"/>
  <c r="I11" i="6"/>
  <c r="K11" i="6" s="1"/>
  <c r="I5" i="6"/>
  <c r="D31" i="6"/>
  <c r="E31" i="6"/>
  <c r="I42" i="6"/>
  <c r="K42" i="6" s="1"/>
  <c r="I43" i="6"/>
  <c r="K43" i="6" s="1"/>
  <c r="I41" i="6"/>
  <c r="K41" i="6" s="1"/>
  <c r="I39" i="6"/>
  <c r="K39" i="6" s="1"/>
  <c r="I118" i="6"/>
  <c r="K118" i="6" s="1"/>
  <c r="I147" i="6"/>
  <c r="K147" i="6" s="1"/>
  <c r="I82" i="6"/>
  <c r="K3" i="8"/>
  <c r="E3" i="8"/>
  <c r="I29" i="6" s="1"/>
  <c r="K29" i="6" s="1"/>
  <c r="D3" i="8"/>
  <c r="C3" i="8"/>
  <c r="I13" i="6" l="1"/>
  <c r="K13" i="6" s="1"/>
  <c r="I14" i="6"/>
  <c r="K14" i="6" s="1"/>
  <c r="I12" i="6"/>
  <c r="K12" i="6" s="1"/>
  <c r="I149" i="6"/>
  <c r="K149" i="6" s="1"/>
  <c r="I148" i="6"/>
  <c r="K148" i="6" s="1"/>
  <c r="K152" i="6" s="1"/>
  <c r="I160" i="6"/>
  <c r="K160" i="6" s="1"/>
  <c r="I151" i="6"/>
  <c r="K151" i="6" s="1"/>
  <c r="I102" i="6"/>
  <c r="K102" i="6" s="1"/>
  <c r="I26" i="6"/>
  <c r="K26" i="6" s="1"/>
  <c r="I103" i="6"/>
  <c r="K103" i="6" s="1"/>
  <c r="I140" i="6"/>
  <c r="I15" i="6"/>
  <c r="K15" i="6" s="1"/>
  <c r="I16" i="6"/>
  <c r="K16" i="6" s="1"/>
  <c r="I64" i="6"/>
  <c r="K64" i="6" s="1"/>
  <c r="I66" i="6"/>
  <c r="K66" i="6" s="1"/>
  <c r="I110" i="6"/>
  <c r="K110" i="6" s="1"/>
  <c r="I116" i="6"/>
  <c r="K116" i="6" s="1"/>
  <c r="I117" i="6"/>
  <c r="K117" i="6" s="1"/>
  <c r="I101" i="6"/>
  <c r="K101" i="6" s="1"/>
  <c r="I104" i="6"/>
  <c r="K104" i="6" s="1"/>
  <c r="I27" i="6"/>
  <c r="K27" i="6" s="1"/>
  <c r="I98" i="6"/>
  <c r="I100" i="6"/>
  <c r="I99" i="6"/>
  <c r="K99" i="6" s="1"/>
  <c r="I20" i="6"/>
  <c r="I21" i="6"/>
  <c r="K21" i="6" s="1"/>
  <c r="I22" i="6"/>
  <c r="K22" i="6" s="1"/>
  <c r="I23" i="6"/>
  <c r="K23" i="6" s="1"/>
  <c r="I24" i="6"/>
  <c r="K24" i="6" s="1"/>
  <c r="I139" i="6"/>
  <c r="I137" i="6"/>
  <c r="I38" i="6"/>
  <c r="K38" i="6" s="1"/>
  <c r="I18" i="6"/>
  <c r="K18" i="6" s="1"/>
  <c r="I17" i="6"/>
  <c r="K17" i="6" s="1"/>
  <c r="I28" i="6"/>
  <c r="K28" i="6" s="1"/>
  <c r="I25" i="6"/>
  <c r="K25" i="6" s="1"/>
  <c r="I111" i="6"/>
  <c r="K111" i="6" s="1"/>
  <c r="I113" i="6"/>
  <c r="K113" i="6" s="1"/>
  <c r="I112" i="6"/>
  <c r="K112" i="6" s="1"/>
  <c r="I108" i="6"/>
  <c r="K108" i="6" s="1"/>
  <c r="I109" i="6"/>
  <c r="K109" i="6" s="1"/>
  <c r="I115" i="6"/>
  <c r="K115" i="6" s="1"/>
  <c r="I114" i="6"/>
  <c r="K114" i="6" s="1"/>
  <c r="K121" i="6"/>
  <c r="K119" i="6"/>
  <c r="K120" i="6"/>
  <c r="I105" i="6"/>
  <c r="K105" i="6" s="1"/>
  <c r="I141" i="6"/>
  <c r="I40" i="6"/>
  <c r="K40" i="6" s="1"/>
  <c r="K5" i="6"/>
  <c r="I65" i="6"/>
  <c r="K65" i="6" s="1"/>
  <c r="K100" i="6" l="1"/>
  <c r="K56" i="6"/>
  <c r="I33" i="6"/>
  <c r="I32" i="6"/>
  <c r="K20" i="6"/>
  <c r="L34" i="6" s="1"/>
  <c r="I124" i="6"/>
  <c r="I123" i="6"/>
  <c r="K98" i="6"/>
  <c r="I31" i="6"/>
  <c r="K31" i="6"/>
  <c r="N69" i="6"/>
  <c r="N70" i="6"/>
  <c r="N61" i="6"/>
  <c r="N62" i="6"/>
  <c r="N63" i="6"/>
  <c r="N60" i="6"/>
  <c r="M34" i="6" l="1"/>
  <c r="L33" i="6"/>
  <c r="K33" i="6"/>
  <c r="K34" i="6"/>
  <c r="K35" i="6"/>
  <c r="K126" i="6"/>
  <c r="L126" i="6" s="1"/>
  <c r="K125" i="6"/>
  <c r="L125" i="6" s="1"/>
  <c r="K123" i="6"/>
  <c r="L123" i="6" s="1"/>
  <c r="K124" i="6"/>
  <c r="L124" i="6" s="1"/>
  <c r="K127" i="6"/>
  <c r="K128" i="6"/>
  <c r="K32" i="6"/>
  <c r="N59" i="6"/>
  <c r="N77" i="6" s="1"/>
  <c r="I71" i="6"/>
  <c r="K71" i="6" s="1"/>
  <c r="F72" i="6"/>
  <c r="I72" i="6" s="1"/>
  <c r="K72" i="6" s="1"/>
  <c r="F75" i="6"/>
  <c r="I75" i="6" s="1"/>
  <c r="K75" i="6" s="1"/>
  <c r="E73" i="6"/>
  <c r="F73" i="6" s="1"/>
  <c r="F70" i="6"/>
  <c r="I70" i="6" s="1"/>
  <c r="K70" i="6" s="1"/>
  <c r="E70" i="6"/>
  <c r="F69" i="6"/>
  <c r="I69" i="6" s="1"/>
  <c r="K69" i="6" s="1"/>
  <c r="E69" i="6"/>
  <c r="F68" i="6"/>
  <c r="E74" i="6"/>
  <c r="F74" i="6" s="1"/>
  <c r="I74" i="6" s="1"/>
  <c r="K74" i="6" s="1"/>
  <c r="I68" i="6" l="1"/>
  <c r="I73" i="6"/>
  <c r="K73" i="6" s="1"/>
  <c r="F61" i="6"/>
  <c r="F62" i="6"/>
  <c r="F63" i="6"/>
  <c r="F60" i="6"/>
  <c r="E61" i="6"/>
  <c r="E62" i="6"/>
  <c r="E63" i="6"/>
  <c r="E60" i="6"/>
  <c r="I77" i="6" l="1"/>
  <c r="K68" i="6"/>
  <c r="K79" i="6" l="1"/>
  <c r="M78" i="6"/>
  <c r="L78" i="6"/>
  <c r="L77" i="6"/>
  <c r="K78" i="6"/>
  <c r="K77" i="6"/>
</calcChain>
</file>

<file path=xl/sharedStrings.xml><?xml version="1.0" encoding="utf-8"?>
<sst xmlns="http://schemas.openxmlformats.org/spreadsheetml/2006/main" count="912" uniqueCount="374">
  <si>
    <t>Country</t>
  </si>
  <si>
    <t>Secondary source</t>
  </si>
  <si>
    <t>Primary source</t>
  </si>
  <si>
    <t>Germany</t>
  </si>
  <si>
    <t>EWASE 2008</t>
  </si>
  <si>
    <t>Forster and Kneis 2005</t>
  </si>
  <si>
    <t>Gocht 2004</t>
  </si>
  <si>
    <t>Merz, Gocht 2001</t>
  </si>
  <si>
    <t>Holub and Fuchs, 2008</t>
  </si>
  <si>
    <t>√</t>
  </si>
  <si>
    <t>primary source accessed?</t>
  </si>
  <si>
    <t>UK</t>
  </si>
  <si>
    <t>year</t>
  </si>
  <si>
    <t>Thompson, Wigg, Parker 1991</t>
  </si>
  <si>
    <t>Larsson 2012</t>
  </si>
  <si>
    <t>Switzerland</t>
  </si>
  <si>
    <t>Fuchs 2006</t>
  </si>
  <si>
    <t>Belgium</t>
  </si>
  <si>
    <t>Projectconsortium MKBA Sigmaplan 2004</t>
  </si>
  <si>
    <t>http://ec.europa.eu/ourcoast/index.cfm?menuID=4&amp;articleID=40</t>
  </si>
  <si>
    <t>Denmark</t>
  </si>
  <si>
    <t>http://en.klimatilpasning.dk/recent/cases/items/aarhusengelsk.aspx</t>
  </si>
  <si>
    <t>Copenhagen Climate Adaptation Plan 2011</t>
  </si>
  <si>
    <t xml:space="preserve">Sistermans and Nieuwenhuis 2005 </t>
  </si>
  <si>
    <t>Sistermans and Nieuwenhuizen</t>
  </si>
  <si>
    <t>OURCOAST website</t>
  </si>
  <si>
    <t>Ireland</t>
  </si>
  <si>
    <t>Netherlands</t>
  </si>
  <si>
    <t>http://www.circle-era.eu/np4/%7B$clientServletPath%7D/?newsId=432&amp;fileName=BOOK_150_dpi.pdf</t>
  </si>
  <si>
    <t>Jha et al., 2012</t>
  </si>
  <si>
    <t>CIRCLE-2</t>
  </si>
  <si>
    <t>mer-perkpolder</t>
  </si>
  <si>
    <t>Kontogianni et al 2014</t>
  </si>
  <si>
    <t>1-3%</t>
  </si>
  <si>
    <t>Woodward et al. 2013</t>
  </si>
  <si>
    <t>Average</t>
  </si>
  <si>
    <t>Kind 2011</t>
  </si>
  <si>
    <t>France</t>
  </si>
  <si>
    <t>Saint-Geours et al 2015</t>
  </si>
  <si>
    <t>Shreve &amp; Kelman 2014</t>
  </si>
  <si>
    <t>Lee Catchment Flood Risk Assessment and Management Study 2010</t>
  </si>
  <si>
    <t>RIZA rapport 2005.025</t>
  </si>
  <si>
    <t>Gersonius et al 2013</t>
  </si>
  <si>
    <t>Gersonius et al 2012</t>
  </si>
  <si>
    <t>Czech Republic</t>
  </si>
  <si>
    <t>Fosumpaur and Satrapa</t>
  </si>
  <si>
    <t>Balesteros 2013</t>
  </si>
  <si>
    <t>Zhou 2013</t>
  </si>
  <si>
    <t>Boettle 2013</t>
  </si>
  <si>
    <t>Meyer 2012</t>
  </si>
  <si>
    <t>Porthin 2013</t>
  </si>
  <si>
    <t>Italy</t>
  </si>
  <si>
    <t>Ward et al 2017</t>
  </si>
  <si>
    <t>Arrighi et al 2018</t>
  </si>
  <si>
    <t>Kreibich et al 2007</t>
  </si>
  <si>
    <t>Pappenberger et al 2015</t>
  </si>
  <si>
    <t>Molinari et al., 2013</t>
  </si>
  <si>
    <t>Gersonius et al 2008</t>
  </si>
  <si>
    <t>Secondary source accessed?</t>
  </si>
  <si>
    <t>Area(km2)</t>
  </si>
  <si>
    <t>Stored volume (Mm3)</t>
  </si>
  <si>
    <t>Costs (MEUR)</t>
  </si>
  <si>
    <t>Arrighi et al (2018)</t>
  </si>
  <si>
    <t>Meyer et al, 2012</t>
  </si>
  <si>
    <t>annual costs</t>
  </si>
  <si>
    <t>Wet proofing 100 cm</t>
  </si>
  <si>
    <t>Dry proofing temp. 90 cm</t>
  </si>
  <si>
    <t>Dry proofing perm. 90 cm</t>
  </si>
  <si>
    <t>Temporary resistance, e.g., flood guards</t>
  </si>
  <si>
    <t>Mobile water barrier</t>
  </si>
  <si>
    <t>Basement or cellar tanking</t>
  </si>
  <si>
    <t>yes</t>
  </si>
  <si>
    <t>Lenk et al., 2017</t>
  </si>
  <si>
    <t>Poussin et al 2015</t>
  </si>
  <si>
    <t>Wet proofing (various measures)</t>
  </si>
  <si>
    <t>Reduction max</t>
  </si>
  <si>
    <t>Reduction min</t>
  </si>
  <si>
    <t>Cost per house min</t>
  </si>
  <si>
    <t>Cost per house max</t>
  </si>
  <si>
    <t>notes</t>
  </si>
  <si>
    <t>costs based on unit costs from US and British studies (see Poussin for refs)</t>
  </si>
  <si>
    <t>Hennequin et al., 2018</t>
  </si>
  <si>
    <t>75% of house value</t>
  </si>
  <si>
    <t>Kick et al 2011</t>
  </si>
  <si>
    <t>Kick et al,, 2011</t>
  </si>
  <si>
    <t>Broekx et al., 2011</t>
  </si>
  <si>
    <t>United Kingdom</t>
  </si>
  <si>
    <t>-</t>
  </si>
  <si>
    <t>Lenk et al. (2017)</t>
  </si>
  <si>
    <t>small dike (&lt;500m3)</t>
  </si>
  <si>
    <t>medium dike (500–5000 m3)</t>
  </si>
  <si>
    <t>large dike (5000 –15000 m3)</t>
  </si>
  <si>
    <t>Very large dike (&gt;15000 m3)</t>
  </si>
  <si>
    <t>Kreibich (2015)</t>
  </si>
  <si>
    <t>Lee Catchment CFRAM (2014)</t>
  </si>
  <si>
    <t>generic  dike</t>
  </si>
  <si>
    <t xml:space="preserve">Standard </t>
  </si>
  <si>
    <t xml:space="preserve">Quay wall (Antwerp) </t>
  </si>
  <si>
    <t>Wall on top</t>
  </si>
  <si>
    <t>Sheet pile wall</t>
  </si>
  <si>
    <t xml:space="preserve">Dyke heightening </t>
  </si>
  <si>
    <t>(€/ha)</t>
  </si>
  <si>
    <t>Broekx et al (2011)</t>
  </si>
  <si>
    <t>Australia</t>
  </si>
  <si>
    <t>Okada et al., 2014</t>
  </si>
  <si>
    <t>compensation costs</t>
  </si>
  <si>
    <t>Okada et al. (2014)</t>
  </si>
  <si>
    <t>costs in Aus $ - total costs are for infrastructure building in the new settlement areas</t>
  </si>
  <si>
    <t>reused by De Moel et al (2011)</t>
  </si>
  <si>
    <t>Mazza et al 2011</t>
  </si>
  <si>
    <t>Romania/Bulgaria</t>
  </si>
  <si>
    <t>EEA (2017)</t>
  </si>
  <si>
    <t>ICPR (2006)</t>
  </si>
  <si>
    <t>Land acquisition and compensation</t>
  </si>
  <si>
    <t>Overall costs</t>
  </si>
  <si>
    <t>Schwarz (2010)</t>
  </si>
  <si>
    <t>Full reference</t>
  </si>
  <si>
    <r>
      <t xml:space="preserve">Kick EL, Fraser JC, Fulkerson GM, et al. </t>
    </r>
    <r>
      <rPr>
        <b/>
        <sz val="10"/>
        <color theme="1"/>
        <rFont val="Verdana"/>
        <family val="2"/>
      </rPr>
      <t>Repetitive flood victims and acceptance of FEMA mitigation offers: an analysis with community–system policy implications</t>
    </r>
    <r>
      <rPr>
        <sz val="10"/>
        <color theme="1"/>
        <rFont val="Verdana"/>
        <family val="2"/>
      </rPr>
      <t>. Disasters 35, 510–539 (2011), doi:10.1111/j.1467- 7717.2011.01226.x</t>
    </r>
  </si>
  <si>
    <r>
      <t>Lee Catchment Flood Risk Assessment and Management (CFRAM) Study</t>
    </r>
    <r>
      <rPr>
        <sz val="10"/>
        <color theme="1"/>
        <rFont val="Verdana"/>
        <family val="2"/>
      </rPr>
      <t>, Final Report. Halcrow Group Ireland Ltd (2014).</t>
    </r>
  </si>
  <si>
    <r>
      <t xml:space="preserve">Gersonius, B., Zevenbergen, C., Puyan, N., Billah, M.M.M. </t>
    </r>
    <r>
      <rPr>
        <b/>
        <sz val="10"/>
        <color theme="1"/>
        <rFont val="Verdana"/>
        <family val="2"/>
      </rPr>
      <t>Efficiency of private flood proofing of new buildings—adapted redevelopment of a floodplain in the Netherlands</t>
    </r>
    <r>
      <rPr>
        <sz val="10"/>
        <color theme="1"/>
        <rFont val="Verdana"/>
        <family val="2"/>
      </rPr>
      <t xml:space="preserve">. </t>
    </r>
    <r>
      <rPr>
        <i/>
        <sz val="10"/>
        <color theme="1"/>
        <rFont val="Verdana"/>
        <family val="2"/>
      </rPr>
      <t>WIT Transactions on Ecology and the Environment</t>
    </r>
    <r>
      <rPr>
        <sz val="10"/>
        <color theme="1"/>
        <rFont val="Verdana"/>
        <family val="2"/>
      </rPr>
      <t>, Vol 118: Flood Recovery, Innovation and Response (2008), DOI 10.2495/FRIAR080241</t>
    </r>
  </si>
  <si>
    <r>
      <t xml:space="preserve">Lenk, S., Rybski, D., Heidrich, O., Dawson, R. J., and Kropp, J. P. </t>
    </r>
    <r>
      <rPr>
        <b/>
        <sz val="10"/>
        <color theme="1"/>
        <rFont val="Verdana"/>
        <family val="2"/>
      </rPr>
      <t>Costs of sea dikes – regressions and uncertainty estimates</t>
    </r>
    <r>
      <rPr>
        <sz val="10"/>
        <color theme="1"/>
        <rFont val="Verdana"/>
        <family val="2"/>
      </rPr>
      <t xml:space="preserve">, </t>
    </r>
    <r>
      <rPr>
        <i/>
        <sz val="10"/>
        <color theme="1"/>
        <rFont val="Verdana"/>
        <family val="2"/>
      </rPr>
      <t>Nat. Hazards Earth Syst. Sci.</t>
    </r>
    <r>
      <rPr>
        <sz val="10"/>
        <color theme="1"/>
        <rFont val="Verdana"/>
        <family val="2"/>
      </rPr>
      <t>, 17, 765-779, https://doi.org/10.5194/nhess-17-765-2017, 2017.</t>
    </r>
  </si>
  <si>
    <r>
      <t xml:space="preserve">Kreibich, H., Müller, M., Thieken, A.H., et al. </t>
    </r>
    <r>
      <rPr>
        <b/>
        <sz val="10"/>
        <color theme="1"/>
        <rFont val="Verdana"/>
        <family val="2"/>
      </rPr>
      <t xml:space="preserve"> Flood precaution of companies and their ability to cope with the flood in August 2002 in Saxony, Germany</t>
    </r>
    <r>
      <rPr>
        <sz val="10"/>
        <color theme="1"/>
        <rFont val="Verdana"/>
        <family val="2"/>
      </rPr>
      <t>. Water Resour Res 43:W03408 (2007), doi:10.1029/2005WR00469</t>
    </r>
  </si>
  <si>
    <r>
      <t xml:space="preserve">Arrighi, C., Rossi, L., Trasforini, E., Rudari, R., Ferraris, L., Brugioni, M., ... &amp; Castelli, F. </t>
    </r>
    <r>
      <rPr>
        <b/>
        <sz val="10"/>
        <color theme="1"/>
        <rFont val="Verdana"/>
        <family val="2"/>
      </rPr>
      <t>Quantification of Flood risk mitigation benefits: A building-scale damage assessment through the RASOR platform</t>
    </r>
    <r>
      <rPr>
        <sz val="10"/>
        <color theme="1"/>
        <rFont val="Verdana"/>
        <family val="2"/>
      </rPr>
      <t>. Journal of environmental management, 207, 92-104 (2018).</t>
    </r>
  </si>
  <si>
    <t>Kreibich et al 2015</t>
  </si>
  <si>
    <r>
      <t xml:space="preserve">Kreibich H, Bubeck P, Van Vliet M, De Moel H. </t>
    </r>
    <r>
      <rPr>
        <b/>
        <sz val="10"/>
        <color theme="1"/>
        <rFont val="Verdana"/>
        <family val="2"/>
      </rPr>
      <t>A review of damage-reducing measures to manage fluvial flood risks in a changing climate</t>
    </r>
    <r>
      <rPr>
        <sz val="10"/>
        <color theme="1"/>
        <rFont val="Verdana"/>
        <family val="2"/>
      </rPr>
      <t>,</t>
    </r>
    <r>
      <rPr>
        <b/>
        <sz val="10"/>
        <color theme="1"/>
        <rFont val="Verdana"/>
        <family val="2"/>
      </rPr>
      <t xml:space="preserve"> </t>
    </r>
    <r>
      <rPr>
        <i/>
        <sz val="10"/>
        <color theme="1"/>
        <rFont val="Verdana"/>
        <family val="2"/>
      </rPr>
      <t xml:space="preserve">Mitig Adapt Strateg Glob Change </t>
    </r>
    <r>
      <rPr>
        <sz val="10"/>
        <color theme="1"/>
        <rFont val="Verdana"/>
        <family val="2"/>
      </rPr>
      <t>20, 967–989 (2015), doi:10.1007/s11027-014-9629-5</t>
    </r>
  </si>
  <si>
    <r>
      <t xml:space="preserve">Meyer, V., Priest, S., Kuhlicke, C. </t>
    </r>
    <r>
      <rPr>
        <b/>
        <sz val="10"/>
        <color theme="1"/>
        <rFont val="Verdana"/>
        <family val="2"/>
      </rPr>
      <t xml:space="preserve">Economic evaluation of structural and non-structural flood risk management measures: examples from the Mulde River. </t>
    </r>
    <r>
      <rPr>
        <sz val="10"/>
        <color theme="1"/>
        <rFont val="Verdana"/>
        <family val="2"/>
      </rPr>
      <t>Nat Hazards (2012) 62:301–324,  DOI 10.1007/s11069-011-9997-z</t>
    </r>
  </si>
  <si>
    <r>
      <t xml:space="preserve">Molinari D., Ballio F., Menoni S. </t>
    </r>
    <r>
      <rPr>
        <b/>
        <sz val="10"/>
        <color theme="1"/>
        <rFont val="Verdana"/>
        <family val="2"/>
      </rPr>
      <t>Modelling the benefits of flood emergency management measures in reducing damages: A case study on Sondrio, Italy</t>
    </r>
    <r>
      <rPr>
        <sz val="10"/>
        <color theme="1"/>
        <rFont val="Verdana"/>
        <family val="2"/>
      </rPr>
      <t xml:space="preserve">. </t>
    </r>
    <r>
      <rPr>
        <i/>
        <sz val="10"/>
        <color theme="1"/>
        <rFont val="Verdana"/>
        <family val="2"/>
      </rPr>
      <t>Nat. Hazards Earth Syst. Sci.</t>
    </r>
    <r>
      <rPr>
        <sz val="10"/>
        <color theme="1"/>
        <rFont val="Verdana"/>
        <family val="2"/>
      </rPr>
      <t>, 13, 1913-1927 (2013).</t>
    </r>
  </si>
  <si>
    <r>
      <t xml:space="preserve">Pappenberger F., Cloke, H. L., Parker, D.J., Wetterhall, F., Richardson, D.S, Thielen, J. </t>
    </r>
    <r>
      <rPr>
        <b/>
        <sz val="10"/>
        <color theme="1"/>
        <rFont val="Verdana"/>
        <family val="2"/>
      </rPr>
      <t>The monetary benefit of early flood warnings in Europe</t>
    </r>
    <r>
      <rPr>
        <sz val="10"/>
        <color theme="1"/>
        <rFont val="Verdana"/>
        <family val="2"/>
      </rPr>
      <t xml:space="preserve">. </t>
    </r>
    <r>
      <rPr>
        <i/>
        <sz val="10"/>
        <color theme="1"/>
        <rFont val="Verdana"/>
        <family val="2"/>
      </rPr>
      <t xml:space="preserve">Environmental Science &amp; Policy </t>
    </r>
    <r>
      <rPr>
        <sz val="10"/>
        <color theme="1"/>
        <rFont val="Verdana"/>
        <family val="2"/>
      </rPr>
      <t>51, 278-291 (2015).</t>
    </r>
  </si>
  <si>
    <r>
      <t xml:space="preserve">Ward, P. J., Jongman, B., Aerts, J. C., Bates, P. D., Botzen, W. J., Loaiza, A. D., ... &amp; Winsemius, H. C. </t>
    </r>
    <r>
      <rPr>
        <b/>
        <sz val="10"/>
        <color theme="1"/>
        <rFont val="Verdana"/>
        <family val="2"/>
      </rPr>
      <t>A global framework for future costs and benefits of river-flood protection in urban areas</t>
    </r>
    <r>
      <rPr>
        <sz val="10"/>
        <color theme="1"/>
        <rFont val="Verdana"/>
        <family val="2"/>
      </rPr>
      <t>.</t>
    </r>
    <r>
      <rPr>
        <i/>
        <sz val="10"/>
        <color theme="1"/>
        <rFont val="Verdana"/>
        <family val="2"/>
      </rPr>
      <t xml:space="preserve"> Nature Climate Change</t>
    </r>
    <r>
      <rPr>
        <sz val="10"/>
        <color theme="1"/>
        <rFont val="Verdana"/>
        <family val="2"/>
      </rPr>
      <t>, 7(9), 642 (2017).</t>
    </r>
  </si>
  <si>
    <r>
      <t xml:space="preserve">Broekx S, Smets S, Liekens I, Bulckaen D, De Nocker L. </t>
    </r>
    <r>
      <rPr>
        <b/>
        <sz val="10"/>
        <color theme="1"/>
        <rFont val="Verdana"/>
        <family val="2"/>
      </rPr>
      <t xml:space="preserve">Designing a long-term flood risk management plan for the Scheldt estuary using a risk-based approach. </t>
    </r>
    <r>
      <rPr>
        <sz val="10"/>
        <color theme="1"/>
        <rFont val="Verdana"/>
        <family val="2"/>
      </rPr>
      <t>Nat Hazards (2011) 57:245–266 DOI 10.1007/s11069-010-9610-x</t>
    </r>
  </si>
  <si>
    <r>
      <t>Holub M., Fuchs S.</t>
    </r>
    <r>
      <rPr>
        <b/>
        <sz val="11"/>
        <color theme="1"/>
        <rFont val="Calibri"/>
        <family val="2"/>
        <scheme val="minor"/>
      </rPr>
      <t xml:space="preserve"> Benefits of local structural protection to mitigate torrent-related hazards</t>
    </r>
    <r>
      <rPr>
        <sz val="11"/>
        <color theme="1"/>
        <rFont val="Calibri"/>
        <family val="2"/>
        <scheme val="minor"/>
      </rPr>
      <t>. Risk Analysis, doi:10.2495/RISK080391</t>
    </r>
  </si>
  <si>
    <r>
      <rPr>
        <b/>
        <sz val="11"/>
        <color theme="1"/>
        <rFont val="Calibri"/>
        <family val="2"/>
        <scheme val="minor"/>
      </rPr>
      <t xml:space="preserve"> Shreve CM, Kelman I. Does mitigation save? Reviewing cost-benefit analyses of disaster risk reduction</t>
    </r>
    <r>
      <rPr>
        <sz val="11"/>
        <color theme="1"/>
        <rFont val="Calibri"/>
        <family val="2"/>
        <scheme val="minor"/>
      </rPr>
      <t>. International Journalof Disaster Risk Reduction 10, 213–235 (2014)</t>
    </r>
  </si>
  <si>
    <r>
      <t xml:space="preserve">European Environment Agency. </t>
    </r>
    <r>
      <rPr>
        <b/>
        <sz val="11"/>
        <color theme="1"/>
        <rFont val="Calibri"/>
        <family val="2"/>
        <scheme val="minor"/>
      </rPr>
      <t>Green Infrastructure and Flood Management. Promoting cost-efficient flood risk reduction via green infrastructure solutions, 155 pp (2017) — . doi:10.2800/324289</t>
    </r>
  </si>
  <si>
    <t>Grossmann and Hartje (2012)</t>
  </si>
  <si>
    <t>Crops and pastures</t>
  </si>
  <si>
    <t>Other adaptation measures</t>
  </si>
  <si>
    <t>River re-meandering</t>
  </si>
  <si>
    <t>Stella, 2012</t>
  </si>
  <si>
    <t>Construction and rehabilitation</t>
  </si>
  <si>
    <t>Operation and maintenance</t>
  </si>
  <si>
    <t>(€/km)</t>
  </si>
  <si>
    <t>wetland restoration and management</t>
  </si>
  <si>
    <t>Kohler &amp; Heinrichs, 2011</t>
  </si>
  <si>
    <t>Naumann et al, 2011</t>
  </si>
  <si>
    <t>(CH, AT, IT, FR, DE)</t>
  </si>
  <si>
    <t>Nocker and Mazza, 2011</t>
  </si>
  <si>
    <t>streambed re-naturalisation</t>
  </si>
  <si>
    <t>NWRM, 2014a</t>
  </si>
  <si>
    <t>Jongepierova et al, 2012</t>
  </si>
  <si>
    <t>Longitudinal barriers</t>
  </si>
  <si>
    <t>(€/km/y)</t>
  </si>
  <si>
    <t>(€/ha/y)</t>
  </si>
  <si>
    <t>(M€/m)</t>
  </si>
  <si>
    <t>5%-10%</t>
  </si>
  <si>
    <t>Europe</t>
  </si>
  <si>
    <t>Hillen et al. (2010)</t>
  </si>
  <si>
    <t>Linham and Nicholls (2010)</t>
  </si>
  <si>
    <t>not found</t>
  </si>
  <si>
    <t>Grossmann et al (2010)</t>
  </si>
  <si>
    <t>Tröltzsch et al (2011)</t>
  </si>
  <si>
    <t>Dehnhardt et al (2008)</t>
  </si>
  <si>
    <t>CPB (2000)</t>
  </si>
  <si>
    <t>dike building</t>
  </si>
  <si>
    <t>Dike reinforcement</t>
  </si>
  <si>
    <r>
      <t xml:space="preserve">TetsuyaOkada T,Haynes K, Deanne Bird D,van den Honert R,King D. </t>
    </r>
    <r>
      <rPr>
        <b/>
        <sz val="11"/>
        <color theme="1"/>
        <rFont val="Calibri"/>
        <family val="2"/>
        <scheme val="minor"/>
      </rPr>
      <t>Recovery and resettlement following the 2011 flash flooding in the Lockyer Valley</t>
    </r>
    <r>
      <rPr>
        <sz val="11"/>
        <color theme="1"/>
        <rFont val="Calibri"/>
        <family val="2"/>
        <scheme val="minor"/>
      </rPr>
      <t>. International Journal of Disaster Risk Reduction 8 20–31 (2014)</t>
    </r>
  </si>
  <si>
    <t>Poussin 2015</t>
  </si>
  <si>
    <t xml:space="preserve"> Poussin JK, Wouter Botzen WJ, Aerts JCJH. Effectiveness of flood damage mitigation measures: Empirical evidence from French flood disasters. Global Environmental Change 31, 74–84  (2015)</t>
  </si>
  <si>
    <t>generic  dike (heightening)</t>
  </si>
  <si>
    <t>global</t>
  </si>
  <si>
    <t>flood risk mapping and communication</t>
  </si>
  <si>
    <t>flood forecasting and early warning systems</t>
  </si>
  <si>
    <t>increasing retention capabilty of soils</t>
  </si>
  <si>
    <t>forecasting period extended by up to 100%</t>
  </si>
  <si>
    <t>restore streams</t>
  </si>
  <si>
    <t>develop nature, re-afforest</t>
  </si>
  <si>
    <t>works for flood retention</t>
  </si>
  <si>
    <t>increase of agricultural areas</t>
  </si>
  <si>
    <t>reduce impervious areas</t>
  </si>
  <si>
    <t>revitalise flood plains</t>
  </si>
  <si>
    <t>km2</t>
  </si>
  <si>
    <t>retention pool and constrining dam</t>
  </si>
  <si>
    <t>retention pool and cbackward dyke reolocation</t>
  </si>
  <si>
    <t>retention pool</t>
  </si>
  <si>
    <t>dyke heightening with sheet pile wall</t>
  </si>
  <si>
    <t>flood protection wall</t>
  </si>
  <si>
    <t>1'200'000 annual operational costs</t>
  </si>
  <si>
    <t>citizens information, training of flood management professionals</t>
  </si>
  <si>
    <t>establishment of emergency plans</t>
  </si>
  <si>
    <t>creation of new resevoirs</t>
  </si>
  <si>
    <t>reactivation  of floodplain areas</t>
  </si>
  <si>
    <t>creaction of retention areas</t>
  </si>
  <si>
    <t>OIE (2005)</t>
  </si>
  <si>
    <t>Office International de l'Eau. Evaluation of the impact of floods and associated protection policies. Final Report Annexes, 2005</t>
  </si>
  <si>
    <t>limit the use of floodplains</t>
  </si>
  <si>
    <t>Total cost (M€)</t>
  </si>
  <si>
    <t>6km of total length</t>
  </si>
  <si>
    <t>2.8km of total length</t>
  </si>
  <si>
    <t>total costs</t>
  </si>
  <si>
    <t>extent</t>
  </si>
  <si>
    <t>storage areas &lt;20'000 m3</t>
  </si>
  <si>
    <t>storage areas 20'000-50'000 m3</t>
  </si>
  <si>
    <t>storage areas 50'000-75'000 m3</t>
  </si>
  <si>
    <t>storage areas &gt;75'000 m3</t>
  </si>
  <si>
    <t>flood wall - retaining</t>
  </si>
  <si>
    <t>flood wall - retaining and cut off</t>
  </si>
  <si>
    <t>flood wall - retaining and piled</t>
  </si>
  <si>
    <t>flood wall - wall raising foundations</t>
  </si>
  <si>
    <t>flood wall - wave</t>
  </si>
  <si>
    <t>Earth embankment (500-5000 m3)</t>
  </si>
  <si>
    <t>Earth embankment (5000-55000 m3)</t>
  </si>
  <si>
    <t>Earth embankment (&gt;15000 m3)</t>
  </si>
  <si>
    <t>generic  dike (rural areas)</t>
  </si>
  <si>
    <t>generic  dike (urban areas)</t>
  </si>
  <si>
    <t>Construction costs- storage areas</t>
  </si>
  <si>
    <t>Construction costs-storage areas</t>
  </si>
  <si>
    <t>improve forecasting tools and development of early warning procedures</t>
  </si>
  <si>
    <t>Dispropriation cost - farms</t>
  </si>
  <si>
    <t>demolition costs</t>
  </si>
  <si>
    <t>Vulnerability reduction</t>
  </si>
  <si>
    <t>Land acquisition and compensation - residential areas</t>
  </si>
  <si>
    <t>Land acquisition and compensation - industrial areas</t>
  </si>
  <si>
    <t>Land acquisition and compensation - recreational areas</t>
  </si>
  <si>
    <t>Land acquisition and compensation - average</t>
  </si>
  <si>
    <t>compensation costs for buyout programme</t>
  </si>
  <si>
    <t>compensation and infrastructure building</t>
  </si>
  <si>
    <t>relocation</t>
  </si>
  <si>
    <t xml:space="preserve">Dyke building </t>
  </si>
  <si>
    <t>varying costs according to dike height</t>
  </si>
  <si>
    <t>EUR 2012 values</t>
  </si>
  <si>
    <t>Unit cost min (€/m/m)</t>
  </si>
  <si>
    <t>Unit cost max (€/m/m)</t>
  </si>
  <si>
    <t>ratio volume/area</t>
  </si>
  <si>
    <t>Costs reported in literature</t>
  </si>
  <si>
    <t>unit cost in US$ derived from literature review</t>
  </si>
  <si>
    <t>Actualized avg unit cost (€/m/m)</t>
  </si>
  <si>
    <t>EUR 2002 values</t>
  </si>
  <si>
    <t>Actualized avg unit cost</t>
  </si>
  <si>
    <t>Inner dike adaptation (€/m)</t>
  </si>
  <si>
    <t>Outer dike construction (€/m)</t>
  </si>
  <si>
    <t>Outlet sluices (€/ha)</t>
  </si>
  <si>
    <t>Inlet sluices CRT (€/ha)</t>
  </si>
  <si>
    <t>annual maintenance of retention areas</t>
  </si>
  <si>
    <t>0.5%-1.5%</t>
  </si>
  <si>
    <t>land acquisition and relocation</t>
  </si>
  <si>
    <t>7000 US$</t>
  </si>
  <si>
    <t>Total cost (MEUR)</t>
  </si>
  <si>
    <t>Year</t>
  </si>
  <si>
    <t>inflation correction (to 2015)</t>
  </si>
  <si>
    <t>EUR-US dollar</t>
  </si>
  <si>
    <t>EUR CHF</t>
  </si>
  <si>
    <t>Exchange rates</t>
  </si>
  <si>
    <t>annual inflation in EU28 ( %, source OECD)</t>
  </si>
  <si>
    <t>annual costs (€/m)</t>
  </si>
  <si>
    <t>Actualized avg unit cost (€/m3)</t>
  </si>
  <si>
    <t>not considered because unit costs are much larger than average costs for othe countries</t>
  </si>
  <si>
    <t>Espropriation and relocation of crops (sugar beet, potato, vegetables, orchards,tree nurseries)</t>
  </si>
  <si>
    <t>Elevation</t>
  </si>
  <si>
    <t>United States</t>
  </si>
  <si>
    <t>Stilts bamboo, reinforced concrete</t>
  </si>
  <si>
    <t>Fill sand +2 m</t>
  </si>
  <si>
    <t>Bangladesh</t>
  </si>
  <si>
    <t>Bangladesh/Vietnam</t>
  </si>
  <si>
    <t>building type</t>
  </si>
  <si>
    <t>Average residential building</t>
  </si>
  <si>
    <t>Average building</t>
  </si>
  <si>
    <t>Rural house, wooden frame</t>
  </si>
  <si>
    <t>Aerts (2018)</t>
  </si>
  <si>
    <t>reported in Aerts (2018)</t>
  </si>
  <si>
    <t>not specified</t>
  </si>
  <si>
    <t>Dry proofing temp. 60 cm</t>
  </si>
  <si>
    <t>residential</t>
  </si>
  <si>
    <t>Dry proofing temp. 200 cm</t>
  </si>
  <si>
    <t>average building</t>
  </si>
  <si>
    <t>Dry proofing temp. 100 cm</t>
  </si>
  <si>
    <t>waste water pump station</t>
  </si>
  <si>
    <t>Brazil</t>
  </si>
  <si>
    <t>Vietnam</t>
  </si>
  <si>
    <t>$516/m2</t>
  </si>
  <si>
    <t>Elevation existing building +60cm</t>
  </si>
  <si>
    <t>Elevation existing building +120cm</t>
  </si>
  <si>
    <t>Elevation existing building +190 cm</t>
  </si>
  <si>
    <t>Basement waterproof</t>
  </si>
  <si>
    <t>office</t>
  </si>
  <si>
    <t xml:space="preserve">Wet proofing </t>
  </si>
  <si>
    <t>Wet proofing 60 cm</t>
  </si>
  <si>
    <t>Wet proofing 270 cm</t>
  </si>
  <si>
    <t>Wet proofing 90 cm</t>
  </si>
  <si>
    <t>retention area</t>
  </si>
  <si>
    <t>annual costs (M€/year)</t>
  </si>
  <si>
    <t>Peru</t>
  </si>
  <si>
    <t>NOTE: more adaptation measures and related souces are reported in Aerts (2018)</t>
  </si>
  <si>
    <r>
      <t xml:space="preserve">Aerts, J. </t>
    </r>
    <r>
      <rPr>
        <b/>
        <sz val="11"/>
        <color theme="1"/>
        <rFont val="Calibri"/>
        <family val="2"/>
        <scheme val="minor"/>
      </rPr>
      <t xml:space="preserve">A Review of Cost Estimates for Flood Adaptation. </t>
    </r>
    <r>
      <rPr>
        <i/>
        <sz val="11"/>
        <color theme="1"/>
        <rFont val="Calibri"/>
        <family val="2"/>
        <scheme val="minor"/>
      </rPr>
      <t xml:space="preserve">Water </t>
    </r>
    <r>
      <rPr>
        <sz val="11"/>
        <color theme="1"/>
        <rFont val="Calibri"/>
        <family val="2"/>
        <scheme val="minor"/>
      </rPr>
      <t xml:space="preserve"> 10, 1646; doi:10.3390/w10111646r (2018)</t>
    </r>
  </si>
  <si>
    <t>Costruction cost coefficient (EU=100)</t>
  </si>
  <si>
    <t>Final normalized cost (EU ref)</t>
  </si>
  <si>
    <t>Storage areas - not used (not enough data to compute unit costs, or not EU countries)</t>
  </si>
  <si>
    <t>Cost per building</t>
  </si>
  <si>
    <t xml:space="preserve">AUS$ 35000 </t>
  </si>
  <si>
    <r>
      <rPr>
        <sz val="11"/>
        <color theme="1"/>
        <rFont val="Calibri"/>
        <family val="2"/>
        <scheme val="minor"/>
      </rPr>
      <t>AUS$ 18</t>
    </r>
    <r>
      <rPr>
        <sz val="11"/>
        <color rgb="FFFF0000"/>
        <rFont val="Calibri"/>
        <family val="2"/>
        <scheme val="minor"/>
      </rPr>
      <t xml:space="preserve"> </t>
    </r>
  </si>
  <si>
    <t>year of value</t>
  </si>
  <si>
    <t>Cost per areal unit</t>
  </si>
  <si>
    <t>Cost per storage unit  (€-$/m3)</t>
  </si>
  <si>
    <t>Cost per areal unit (€-$/m2)</t>
  </si>
  <si>
    <t>average unit costs (dispropriation+demolition)</t>
  </si>
  <si>
    <t>Wet proofing (65 m2)</t>
  </si>
  <si>
    <t>Wet proofing 60-270 cm (m2)</t>
  </si>
  <si>
    <t>Wet proofing (m2)</t>
  </si>
  <si>
    <t>Dry proofing temp. 100 cm (m2)</t>
  </si>
  <si>
    <t>Dry proofing (up to 1m)</t>
  </si>
  <si>
    <t>Poussin et al (2012</t>
  </si>
  <si>
    <t>ICPR (2002)</t>
  </si>
  <si>
    <t>ICPR: Non Structural Flood Plain Management: Measures and Their Effectiveness, International Commission for the Protection of the Rhine (ICPR), Koblenz, 2003</t>
  </si>
  <si>
    <t>Poussin, J. K., Bubeck, P., Aerts, J. C. J. H., and Ward, P. J.: Potential of semi-structural and non-structural adaptation strategies to reduce future flood risk: case study for the Meuse, Nat. Hazards Earth Syst. Sci., 12, 3455-3471, https://doi.org/10.5194/nhess-12-3455-2012, 2012.</t>
  </si>
  <si>
    <t>Dispropriation + demolition cost - houses</t>
  </si>
  <si>
    <t>Dispropriation + demolition cost - companies</t>
  </si>
  <si>
    <t>standard deviation</t>
  </si>
  <si>
    <t>River dike</t>
  </si>
  <si>
    <t>Canada</t>
  </si>
  <si>
    <t>Laos</t>
  </si>
  <si>
    <t>Rural dike</t>
  </si>
  <si>
    <t>small earthen dike</t>
  </si>
  <si>
    <t>Deployable floodwall</t>
  </si>
  <si>
    <t>T-wall</t>
  </si>
  <si>
    <t>0.01%-1%</t>
  </si>
  <si>
    <t>0.05%-1%</t>
  </si>
  <si>
    <t>Philippines/Mozambique</t>
  </si>
  <si>
    <t>Indonesia</t>
  </si>
  <si>
    <t>Dyke heightening - not used (either small or special structures, or not EU countries)</t>
  </si>
  <si>
    <t>unit cost per storage unit derived assuming 3.5 as ratio volume/area</t>
  </si>
  <si>
    <t>unit cost per storage unit derived assuming 2 as ratio volume/area</t>
  </si>
  <si>
    <t>Dike systems - building and reinforcement</t>
  </si>
  <si>
    <t>average unit costs - building</t>
  </si>
  <si>
    <t>average unit costs - heightening</t>
  </si>
  <si>
    <t>river wall (urban areas only)</t>
  </si>
  <si>
    <t>total number of entries used</t>
  </si>
  <si>
    <t>total average and median of costs</t>
  </si>
  <si>
    <t>quantiles of distribution (25%,75%) -st deviation</t>
  </si>
  <si>
    <t>Constr. cost coefficient (EU=100)</t>
  </si>
  <si>
    <t>Normalized cost (EU ref)</t>
  </si>
  <si>
    <t>total average and median of costs (not including relocation costs)</t>
  </si>
  <si>
    <t>average ratio volume/area</t>
  </si>
  <si>
    <t>quantiles of distribution (75%) -st deviation</t>
  </si>
  <si>
    <t>quantiles of distribution (25%) -st deviation</t>
  </si>
  <si>
    <t>Richert et al (2019)</t>
  </si>
  <si>
    <t>Waterproof cellar sealing (area 65m2)</t>
  </si>
  <si>
    <t>Dry proofing (50cm) (area 95-130m2)</t>
  </si>
  <si>
    <t>Dry proofing (100cm)  (area 95-130m2)</t>
  </si>
  <si>
    <t>component adaptation  (area 95-130m2)</t>
  </si>
  <si>
    <t>NOTE: given the low number of entries for this category, we calculated implementation costs by using construction costs from Huizinga et al (2017)</t>
  </si>
  <si>
    <t>€/m/m</t>
  </si>
  <si>
    <t>25% quantile</t>
  </si>
  <si>
    <t>75% quantile</t>
  </si>
  <si>
    <t>unit</t>
  </si>
  <si>
    <t>Retention areas and storage Systems</t>
  </si>
  <si>
    <t>€/m3</t>
  </si>
  <si>
    <t>Flood-proofing measures for buildings</t>
  </si>
  <si>
    <t>Relocation of buildings and population</t>
  </si>
  <si>
    <t>€/m2</t>
  </si>
  <si>
    <t>Normalized unit cost (average 2015)</t>
  </si>
  <si>
    <t>no</t>
  </si>
  <si>
    <t>Poussin 2012</t>
  </si>
  <si>
    <t xml:space="preserve">Source number </t>
  </si>
  <si>
    <t>PESETA IV references</t>
  </si>
  <si>
    <t>Richert et al 2019</t>
  </si>
  <si>
    <t>Richert, C., Boisgontier, H., and Grelot, F.: Economic assessment of precautionary measures against floods: insights from a non-contextual approach, Nat. Hazards Earth Syst. Sci., 19, 2525–2539, https://doi.org/10.5194/nhess-19-2525-2019, 2019.</t>
  </si>
  <si>
    <t>Kreibich et al 2012</t>
  </si>
  <si>
    <t>Vulnerability reduction - not used (elevation of buildings not considered - not enough data to compute benefits, or not EU countries)</t>
  </si>
  <si>
    <t>estimated area</t>
  </si>
  <si>
    <t>Other data (not enough data to compute unit costs)</t>
  </si>
  <si>
    <t>average unit costs (m2 assuming average damage reduction / theoretical 100% reduction)</t>
  </si>
  <si>
    <t>median of costs (m2 assuming average damage reduction / theoretical 100% reduction)</t>
  </si>
  <si>
    <t>primary /secondary source</t>
  </si>
  <si>
    <t>Meyer et al (2012)</t>
  </si>
  <si>
    <t>Gersonius et al. (2008) - Kreibich (2015)</t>
  </si>
  <si>
    <t>ICPR report (2002) - Poussin et al 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</si>
</sst>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&quot;$&quot;* #,##0.00_);_(&quot;$&quot;* \(#,##0.00\);_(&quot;$&quot;* &quot;-&quot;??_);_(@_)"/>
    <numFmt numFmtId="165" formatCode="0.0"/>
    <numFmt numFmtId="166" formatCode="[$€-2]\ #,##0;[Red]\-[$€-2]\ #,##0"/>
    <numFmt numFmtId="167" formatCode="#,##0.0"/>
    <numFmt numFmtId="168" formatCode="0.0000"/>
    <numFmt numFmtId="169" formatCode="_([$$-409]* #,##0.00_);_([$$-409]* \(#,##0.00\);_([$$-409]* &quot;-&quot;??_);_(@_)"/>
    <numFmt numFmtId="170" formatCode="_(&quot;$&quot;* #,##0_);_(&quot;$&quot;* \(#,##0\);_(&quot;$&quot;* &quot;-&quot;??_);_(@_)"/>
    <numFmt numFmtId="171" formatCode="_([$$-409]* #,##0_);_([$$-409]* \(#,##0\);_([$$-409]* &quot;-&quot;??_);_(@_)"/>
    <numFmt numFmtId="172" formatCode="_([$€-2]\ * #,##0.00_);_([$€-2]\ * \(#,##0.00\);_([$€-2]\ * &quot;-&quot;??_);_(@_)"/>
    <numFmt numFmtId="173" formatCode="[$€-2]\ #,##0.00;[Red][$€-2]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charset val="238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10">
    <xf numFmtId="0" fontId="0" fillId="0" borderId="0"/>
    <xf numFmtId="0" fontId="1" fillId="2" borderId="1" applyNumberFormat="0" applyFont="0" applyAlignment="0" applyProtection="0"/>
    <xf numFmtId="0" fontId="4" fillId="0" borderId="0"/>
    <xf numFmtId="0" fontId="3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wrapText="1"/>
    </xf>
    <xf numFmtId="0" fontId="0" fillId="2" borderId="1" xfId="1" applyFont="1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0" applyFont="1"/>
    <xf numFmtId="0" fontId="0" fillId="2" borderId="2" xfId="1" applyFont="1" applyBorder="1" applyAlignment="1">
      <alignment wrapText="1"/>
    </xf>
    <xf numFmtId="0" fontId="0" fillId="0" borderId="0" xfId="0" applyFill="1"/>
    <xf numFmtId="0" fontId="0" fillId="0" borderId="0" xfId="0" applyFill="1" applyBorder="1" applyAlignment="1"/>
    <xf numFmtId="0" fontId="0" fillId="0" borderId="0" xfId="0"/>
    <xf numFmtId="0" fontId="0" fillId="0" borderId="0" xfId="0" applyFill="1" applyBorder="1"/>
    <xf numFmtId="0" fontId="8" fillId="0" borderId="0" xfId="0" applyFont="1"/>
    <xf numFmtId="0" fontId="0" fillId="0" borderId="0" xfId="0" applyFill="1" applyAlignment="1">
      <alignment wrapText="1"/>
    </xf>
    <xf numFmtId="0" fontId="2" fillId="0" borderId="0" xfId="0" applyFont="1" applyFill="1"/>
    <xf numFmtId="0" fontId="0" fillId="0" borderId="0" xfId="0" applyFont="1"/>
    <xf numFmtId="3" fontId="0" fillId="0" borderId="0" xfId="0" applyNumberFormat="1"/>
    <xf numFmtId="0" fontId="0" fillId="3" borderId="0" xfId="0" applyFont="1" applyFill="1"/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7" fillId="0" borderId="0" xfId="6" applyFill="1"/>
    <xf numFmtId="167" fontId="0" fillId="0" borderId="0" xfId="0" applyNumberFormat="1"/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Font="1" applyAlignment="1">
      <alignment wrapText="1"/>
    </xf>
    <xf numFmtId="3" fontId="14" fillId="0" borderId="0" xfId="0" applyNumberFormat="1" applyFont="1"/>
    <xf numFmtId="3" fontId="16" fillId="0" borderId="0" xfId="0" applyNumberFormat="1" applyFont="1"/>
    <xf numFmtId="0" fontId="17" fillId="0" borderId="0" xfId="0" applyFont="1"/>
    <xf numFmtId="3" fontId="18" fillId="0" borderId="0" xfId="0" applyNumberFormat="1" applyFont="1"/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0" fillId="0" borderId="0" xfId="8" applyFont="1"/>
    <xf numFmtId="0" fontId="0" fillId="0" borderId="0" xfId="0" applyFont="1" applyFill="1"/>
    <xf numFmtId="2" fontId="0" fillId="0" borderId="0" xfId="0" applyNumberFormat="1" applyFont="1" applyAlignment="1">
      <alignment horizontal="right" vertical="center"/>
    </xf>
    <xf numFmtId="2" fontId="0" fillId="0" borderId="0" xfId="0" applyNumberFormat="1" applyFont="1" applyFill="1" applyAlignment="1">
      <alignment horizontal="right" vertical="center"/>
    </xf>
    <xf numFmtId="2" fontId="0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18" fillId="0" borderId="0" xfId="8" applyFont="1" applyAlignment="1">
      <alignment horizontal="right"/>
    </xf>
    <xf numFmtId="0" fontId="18" fillId="0" borderId="0" xfId="8" applyFont="1"/>
    <xf numFmtId="168" fontId="10" fillId="0" borderId="0" xfId="8" applyNumberFormat="1" applyFont="1" applyAlignment="1">
      <alignment horizontal="right"/>
    </xf>
    <xf numFmtId="0" fontId="10" fillId="0" borderId="0" xfId="8" applyFont="1"/>
    <xf numFmtId="167" fontId="18" fillId="0" borderId="0" xfId="0" applyNumberFormat="1" applyFont="1"/>
    <xf numFmtId="9" fontId="18" fillId="0" borderId="0" xfId="7" applyNumberFormat="1" applyFont="1"/>
    <xf numFmtId="169" fontId="16" fillId="4" borderId="0" xfId="0" applyNumberFormat="1" applyFont="1" applyFill="1"/>
    <xf numFmtId="0" fontId="18" fillId="0" borderId="0" xfId="0" applyFont="1"/>
    <xf numFmtId="0" fontId="0" fillId="5" borderId="0" xfId="0" applyFill="1"/>
    <xf numFmtId="0" fontId="0" fillId="5" borderId="0" xfId="0" applyFont="1" applyFill="1"/>
    <xf numFmtId="3" fontId="0" fillId="5" borderId="0" xfId="0" applyNumberFormat="1" applyFill="1"/>
    <xf numFmtId="0" fontId="8" fillId="5" borderId="0" xfId="0" applyFont="1" applyFill="1"/>
    <xf numFmtId="0" fontId="0" fillId="4" borderId="0" xfId="0" applyFill="1"/>
    <xf numFmtId="0" fontId="0" fillId="4" borderId="0" xfId="0" applyFont="1" applyFill="1"/>
    <xf numFmtId="3" fontId="0" fillId="4" borderId="0" xfId="0" applyNumberFormat="1" applyFill="1"/>
    <xf numFmtId="167" fontId="0" fillId="4" borderId="0" xfId="0" applyNumberFormat="1" applyFill="1"/>
    <xf numFmtId="0" fontId="8" fillId="4" borderId="0" xfId="0" applyFont="1" applyFill="1"/>
    <xf numFmtId="0" fontId="0" fillId="6" borderId="0" xfId="0" applyFill="1"/>
    <xf numFmtId="0" fontId="0" fillId="6" borderId="0" xfId="0" applyFont="1" applyFill="1"/>
    <xf numFmtId="0" fontId="8" fillId="6" borderId="0" xfId="0" applyFont="1" applyFill="1"/>
    <xf numFmtId="0" fontId="0" fillId="7" borderId="0" xfId="0" applyFill="1"/>
    <xf numFmtId="0" fontId="0" fillId="7" borderId="0" xfId="0" applyFont="1" applyFill="1"/>
    <xf numFmtId="3" fontId="0" fillId="7" borderId="0" xfId="0" applyNumberFormat="1" applyFill="1"/>
    <xf numFmtId="167" fontId="0" fillId="7" borderId="0" xfId="0" applyNumberFormat="1" applyFill="1"/>
    <xf numFmtId="3" fontId="16" fillId="7" borderId="0" xfId="0" applyNumberFormat="1" applyFont="1" applyFill="1"/>
    <xf numFmtId="0" fontId="8" fillId="7" borderId="0" xfId="0" applyFont="1" applyFill="1"/>
    <xf numFmtId="3" fontId="18" fillId="7" borderId="0" xfId="0" applyNumberFormat="1" applyFont="1" applyFill="1"/>
    <xf numFmtId="0" fontId="8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0" fillId="7" borderId="0" xfId="0" applyFont="1" applyFill="1" applyBorder="1"/>
    <xf numFmtId="0" fontId="0" fillId="7" borderId="0" xfId="0" applyFill="1" applyBorder="1"/>
    <xf numFmtId="3" fontId="0" fillId="7" borderId="0" xfId="0" applyNumberFormat="1" applyFill="1" applyBorder="1"/>
    <xf numFmtId="0" fontId="9" fillId="7" borderId="0" xfId="0" applyFont="1" applyFill="1"/>
    <xf numFmtId="0" fontId="9" fillId="7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2" fontId="16" fillId="4" borderId="0" xfId="0" applyNumberFormat="1" applyFont="1" applyFill="1"/>
    <xf numFmtId="0" fontId="10" fillId="4" borderId="0" xfId="0" applyFont="1" applyFill="1"/>
    <xf numFmtId="2" fontId="0" fillId="4" borderId="0" xfId="0" applyNumberFormat="1" applyFont="1" applyFill="1"/>
    <xf numFmtId="165" fontId="0" fillId="4" borderId="0" xfId="0" applyNumberFormat="1" applyFill="1"/>
    <xf numFmtId="2" fontId="0" fillId="4" borderId="0" xfId="0" applyNumberFormat="1" applyFill="1"/>
    <xf numFmtId="0" fontId="0" fillId="4" borderId="0" xfId="0" applyNumberFormat="1" applyFill="1"/>
    <xf numFmtId="10" fontId="0" fillId="4" borderId="0" xfId="0" applyNumberFormat="1" applyFill="1"/>
    <xf numFmtId="170" fontId="0" fillId="4" borderId="0" xfId="9" applyNumberFormat="1" applyFont="1" applyFill="1"/>
    <xf numFmtId="164" fontId="16" fillId="4" borderId="0" xfId="9" applyFont="1" applyFill="1"/>
    <xf numFmtId="0" fontId="10" fillId="4" borderId="0" xfId="0" applyNumberFormat="1" applyFont="1" applyFill="1"/>
    <xf numFmtId="0" fontId="9" fillId="5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2" fontId="0" fillId="5" borderId="0" xfId="0" applyNumberFormat="1" applyFont="1" applyFill="1"/>
    <xf numFmtId="4" fontId="0" fillId="5" borderId="0" xfId="0" applyNumberFormat="1" applyFill="1"/>
    <xf numFmtId="0" fontId="10" fillId="5" borderId="0" xfId="0" applyFont="1" applyFill="1"/>
    <xf numFmtId="2" fontId="15" fillId="5" borderId="0" xfId="0" applyNumberFormat="1" applyFont="1" applyFill="1"/>
    <xf numFmtId="3" fontId="14" fillId="5" borderId="0" xfId="0" applyNumberFormat="1" applyFont="1" applyFill="1"/>
    <xf numFmtId="167" fontId="18" fillId="4" borderId="0" xfId="0" applyNumberFormat="1" applyFont="1" applyFill="1"/>
    <xf numFmtId="0" fontId="9" fillId="6" borderId="0" xfId="0" applyFont="1" applyFill="1" applyAlignment="1">
      <alignment wrapText="1"/>
    </xf>
    <xf numFmtId="0" fontId="8" fillId="6" borderId="0" xfId="0" applyFont="1" applyFill="1" applyAlignment="1">
      <alignment wrapText="1"/>
    </xf>
    <xf numFmtId="166" fontId="0" fillId="6" borderId="0" xfId="0" applyNumberFormat="1" applyFill="1"/>
    <xf numFmtId="9" fontId="0" fillId="6" borderId="0" xfId="7" applyFont="1" applyFill="1"/>
    <xf numFmtId="9" fontId="0" fillId="6" borderId="0" xfId="0" applyNumberFormat="1" applyFill="1"/>
    <xf numFmtId="0" fontId="10" fillId="6" borderId="0" xfId="0" applyFont="1" applyFill="1"/>
    <xf numFmtId="166" fontId="10" fillId="6" borderId="0" xfId="0" applyNumberFormat="1" applyFont="1" applyFill="1"/>
    <xf numFmtId="9" fontId="10" fillId="6" borderId="0" xfId="0" applyNumberFormat="1" applyFont="1" applyFill="1"/>
    <xf numFmtId="170" fontId="10" fillId="6" borderId="0" xfId="9" applyNumberFormat="1" applyFont="1" applyFill="1"/>
    <xf numFmtId="1" fontId="10" fillId="6" borderId="0" xfId="7" applyNumberFormat="1" applyFont="1" applyFill="1"/>
    <xf numFmtId="170" fontId="0" fillId="6" borderId="0" xfId="9" applyNumberFormat="1" applyFont="1" applyFill="1"/>
    <xf numFmtId="167" fontId="18" fillId="6" borderId="0" xfId="0" applyNumberFormat="1" applyFont="1" applyFill="1"/>
    <xf numFmtId="9" fontId="18" fillId="6" borderId="0" xfId="7" applyNumberFormat="1" applyFont="1" applyFill="1"/>
    <xf numFmtId="0" fontId="0" fillId="6" borderId="0" xfId="0" applyFill="1" applyAlignment="1">
      <alignment horizontal="right"/>
    </xf>
    <xf numFmtId="2" fontId="0" fillId="6" borderId="0" xfId="0" applyNumberFormat="1" applyFill="1"/>
    <xf numFmtId="2" fontId="0" fillId="7" borderId="0" xfId="0" applyNumberFormat="1" applyFill="1"/>
    <xf numFmtId="2" fontId="0" fillId="5" borderId="0" xfId="0" applyNumberFormat="1" applyFill="1"/>
    <xf numFmtId="4" fontId="18" fillId="4" borderId="0" xfId="0" applyNumberFormat="1" applyFont="1" applyFill="1"/>
    <xf numFmtId="3" fontId="18" fillId="0" borderId="0" xfId="0" applyNumberFormat="1" applyFont="1" applyFill="1"/>
    <xf numFmtId="0" fontId="9" fillId="0" borderId="0" xfId="0" applyFont="1" applyFill="1"/>
    <xf numFmtId="3" fontId="0" fillId="0" borderId="0" xfId="0" applyNumberFormat="1" applyFill="1"/>
    <xf numFmtId="167" fontId="18" fillId="0" borderId="0" xfId="0" applyNumberFormat="1" applyFont="1" applyFill="1"/>
    <xf numFmtId="171" fontId="10" fillId="6" borderId="0" xfId="0" applyNumberFormat="1" applyFont="1" applyFill="1"/>
    <xf numFmtId="172" fontId="0" fillId="6" borderId="0" xfId="0" applyNumberFormat="1" applyFill="1"/>
    <xf numFmtId="172" fontId="0" fillId="5" borderId="0" xfId="0" applyNumberFormat="1" applyFill="1"/>
    <xf numFmtId="172" fontId="18" fillId="6" borderId="0" xfId="0" applyNumberFormat="1" applyFont="1" applyFill="1"/>
    <xf numFmtId="172" fontId="18" fillId="4" borderId="0" xfId="0" applyNumberFormat="1" applyFont="1" applyFill="1"/>
    <xf numFmtId="172" fontId="18" fillId="7" borderId="0" xfId="0" applyNumberFormat="1" applyFont="1" applyFill="1"/>
    <xf numFmtId="169" fontId="10" fillId="5" borderId="0" xfId="0" applyNumberFormat="1" applyFont="1" applyFill="1"/>
    <xf numFmtId="3" fontId="0" fillId="5" borderId="0" xfId="0" applyNumberFormat="1" applyFont="1" applyFill="1"/>
    <xf numFmtId="0" fontId="14" fillId="5" borderId="0" xfId="0" applyFont="1" applyFill="1" applyAlignment="1">
      <alignment horizontal="right"/>
    </xf>
    <xf numFmtId="0" fontId="0" fillId="5" borderId="0" xfId="0" applyFont="1" applyFill="1" applyAlignment="1">
      <alignment wrapText="1"/>
    </xf>
    <xf numFmtId="169" fontId="18" fillId="5" borderId="0" xfId="0" applyNumberFormat="1" applyFont="1" applyFill="1"/>
    <xf numFmtId="172" fontId="8" fillId="5" borderId="0" xfId="0" applyNumberFormat="1" applyFont="1" applyFill="1"/>
    <xf numFmtId="3" fontId="8" fillId="5" borderId="0" xfId="0" applyNumberFormat="1" applyFont="1" applyFill="1"/>
    <xf numFmtId="4" fontId="8" fillId="5" borderId="0" xfId="0" applyNumberFormat="1" applyFont="1" applyFill="1"/>
    <xf numFmtId="0" fontId="18" fillId="5" borderId="0" xfId="0" applyFont="1" applyFill="1"/>
    <xf numFmtId="169" fontId="10" fillId="0" borderId="0" xfId="0" applyNumberFormat="1" applyFont="1" applyFill="1"/>
    <xf numFmtId="172" fontId="0" fillId="0" borderId="0" xfId="0" applyNumberFormat="1" applyFill="1"/>
    <xf numFmtId="4" fontId="0" fillId="0" borderId="0" xfId="0" applyNumberFormat="1" applyFill="1"/>
    <xf numFmtId="0" fontId="10" fillId="0" borderId="0" xfId="0" applyFont="1" applyFill="1"/>
    <xf numFmtId="173" fontId="0" fillId="6" borderId="0" xfId="0" applyNumberFormat="1" applyFill="1"/>
    <xf numFmtId="4" fontId="0" fillId="4" borderId="0" xfId="0" applyNumberFormat="1" applyFill="1"/>
    <xf numFmtId="172" fontId="18" fillId="5" borderId="0" xfId="0" applyNumberFormat="1" applyFont="1" applyFill="1"/>
    <xf numFmtId="172" fontId="18" fillId="8" borderId="0" xfId="0" applyNumberFormat="1" applyFont="1" applyFill="1"/>
    <xf numFmtId="172" fontId="18" fillId="0" borderId="0" xfId="0" applyNumberFormat="1" applyFont="1" applyFill="1"/>
    <xf numFmtId="167" fontId="0" fillId="0" borderId="0" xfId="0" applyNumberFormat="1" applyFill="1"/>
    <xf numFmtId="4" fontId="18" fillId="6" borderId="0" xfId="0" applyNumberFormat="1" applyFont="1" applyFill="1"/>
    <xf numFmtId="172" fontId="8" fillId="8" borderId="0" xfId="0" applyNumberFormat="1" applyFont="1" applyFill="1"/>
    <xf numFmtId="3" fontId="0" fillId="6" borderId="0" xfId="0" applyNumberFormat="1" applyFill="1"/>
    <xf numFmtId="4" fontId="0" fillId="6" borderId="0" xfId="0" applyNumberFormat="1" applyFill="1"/>
    <xf numFmtId="0" fontId="18" fillId="7" borderId="0" xfId="0" applyNumberFormat="1" applyFont="1" applyFill="1"/>
    <xf numFmtId="0" fontId="18" fillId="6" borderId="0" xfId="0" applyNumberFormat="1" applyFont="1" applyFill="1"/>
    <xf numFmtId="0" fontId="8" fillId="9" borderId="0" xfId="0" applyFont="1" applyFill="1"/>
    <xf numFmtId="0" fontId="0" fillId="9" borderId="0" xfId="0" applyFont="1" applyFill="1"/>
    <xf numFmtId="0" fontId="0" fillId="9" borderId="0" xfId="0" applyFill="1"/>
    <xf numFmtId="3" fontId="18" fillId="9" borderId="0" xfId="0" applyNumberFormat="1" applyFont="1" applyFill="1"/>
    <xf numFmtId="0" fontId="18" fillId="9" borderId="0" xfId="0" applyNumberFormat="1" applyFont="1" applyFill="1"/>
    <xf numFmtId="172" fontId="18" fillId="9" borderId="0" xfId="0" applyNumberFormat="1" applyFont="1" applyFill="1"/>
    <xf numFmtId="4" fontId="18" fillId="9" borderId="0" xfId="0" applyNumberFormat="1" applyFont="1" applyFill="1"/>
    <xf numFmtId="0" fontId="8" fillId="3" borderId="0" xfId="0" applyFont="1" applyFill="1"/>
    <xf numFmtId="3" fontId="0" fillId="3" borderId="0" xfId="0" applyNumberFormat="1" applyFill="1"/>
    <xf numFmtId="4" fontId="18" fillId="3" borderId="0" xfId="0" applyNumberFormat="1" applyFont="1" applyFill="1"/>
    <xf numFmtId="4" fontId="0" fillId="3" borderId="0" xfId="0" applyNumberFormat="1" applyFill="1"/>
    <xf numFmtId="4" fontId="18" fillId="0" borderId="0" xfId="0" applyNumberFormat="1" applyFont="1" applyFill="1"/>
    <xf numFmtId="0" fontId="18" fillId="0" borderId="0" xfId="0" applyNumberFormat="1" applyFont="1" applyFill="1"/>
    <xf numFmtId="0" fontId="0" fillId="7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1" fontId="10" fillId="0" borderId="0" xfId="0" applyNumberFormat="1" applyFont="1" applyFill="1"/>
    <xf numFmtId="2" fontId="10" fillId="0" borderId="0" xfId="0" applyNumberFormat="1" applyFont="1" applyFill="1"/>
    <xf numFmtId="1" fontId="0" fillId="0" borderId="0" xfId="0" applyNumberFormat="1" applyFont="1"/>
    <xf numFmtId="9" fontId="18" fillId="6" borderId="0" xfId="0" applyNumberFormat="1" applyFont="1" applyFill="1"/>
    <xf numFmtId="0" fontId="0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wrapText="1"/>
    </xf>
  </cellXfs>
  <cellStyles count="10">
    <cellStyle name="Currency" xfId="9" builtinId="4"/>
    <cellStyle name="Excel Built-in Hyperlink" xfId="2"/>
    <cellStyle name="Excel Built-in Normal" xfId="3"/>
    <cellStyle name="Hyperlink" xfId="6" builtinId="8"/>
    <cellStyle name="Normal" xfId="0" builtinId="0"/>
    <cellStyle name="Normal 2" xfId="4"/>
    <cellStyle name="Normal 3" xfId="5"/>
    <cellStyle name="Normal 4" xfId="8"/>
    <cellStyle name="Note" xfId="1" builtinId="10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n.klimatilpasning.dk/recent/cases/items/aarhusengelsk.a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F3" sqref="F3"/>
    </sheetView>
  </sheetViews>
  <sheetFormatPr defaultRowHeight="14.5" x14ac:dyDescent="0.35"/>
  <cols>
    <col min="1" max="1" width="21.1796875" customWidth="1"/>
    <col min="3" max="3" width="13.7265625" customWidth="1"/>
    <col min="4" max="5" width="9.6328125" bestFit="1" customWidth="1"/>
  </cols>
  <sheetData>
    <row r="2" spans="1:6" x14ac:dyDescent="0.35">
      <c r="B2" t="s">
        <v>351</v>
      </c>
      <c r="C2" s="167" t="s">
        <v>357</v>
      </c>
      <c r="D2" s="167"/>
      <c r="E2" s="167"/>
      <c r="F2" s="36"/>
    </row>
    <row r="3" spans="1:6" s="8" customFormat="1" x14ac:dyDescent="0.35">
      <c r="C3" s="162" t="s">
        <v>35</v>
      </c>
      <c r="D3" s="36" t="s">
        <v>349</v>
      </c>
      <c r="E3" s="36" t="s">
        <v>350</v>
      </c>
      <c r="F3" s="36"/>
    </row>
    <row r="4" spans="1:6" ht="29" x14ac:dyDescent="0.35">
      <c r="A4" s="161" t="s">
        <v>329</v>
      </c>
      <c r="B4" t="s">
        <v>348</v>
      </c>
      <c r="C4" s="163">
        <v>6405.2786341043129</v>
      </c>
      <c r="D4" s="163">
        <v>1828.9952891344835</v>
      </c>
      <c r="E4" s="163">
        <v>9513.6557871423756</v>
      </c>
    </row>
    <row r="5" spans="1:6" ht="29" x14ac:dyDescent="0.35">
      <c r="A5" s="1" t="s">
        <v>352</v>
      </c>
      <c r="B5" s="8" t="s">
        <v>353</v>
      </c>
      <c r="C5" s="164">
        <v>3.7344336681177372</v>
      </c>
      <c r="D5" s="164">
        <v>1.0461865132526573</v>
      </c>
      <c r="E5" s="164">
        <v>4.9970989757463489</v>
      </c>
    </row>
    <row r="6" spans="1:6" ht="29" x14ac:dyDescent="0.35">
      <c r="A6" s="1" t="s">
        <v>354</v>
      </c>
      <c r="B6" s="8" t="s">
        <v>356</v>
      </c>
      <c r="C6" s="165">
        <v>375.6524916278172</v>
      </c>
      <c r="D6" s="165">
        <v>492.81724317499277</v>
      </c>
      <c r="E6" s="165">
        <v>156.05162122447175</v>
      </c>
    </row>
    <row r="7" spans="1:6" ht="29" x14ac:dyDescent="0.35">
      <c r="A7" s="1" t="s">
        <v>355</v>
      </c>
      <c r="B7" s="8" t="s">
        <v>356</v>
      </c>
      <c r="C7" s="165">
        <v>1373</v>
      </c>
      <c r="D7" s="165">
        <v>906.18000000000006</v>
      </c>
      <c r="E7" s="165">
        <v>1826.0900000000001</v>
      </c>
    </row>
  </sheetData>
  <mergeCells count="1">
    <mergeCell ref="C2:E2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0"/>
  <sheetViews>
    <sheetView tabSelected="1" workbookViewId="0">
      <selection activeCell="A37" sqref="A37"/>
    </sheetView>
  </sheetViews>
  <sheetFormatPr defaultRowHeight="14.5" x14ac:dyDescent="0.35"/>
  <cols>
    <col min="1" max="1" width="42.7265625" customWidth="1"/>
    <col min="2" max="2" width="12.7265625" style="13" customWidth="1"/>
    <col min="3" max="6" width="12.7265625" customWidth="1"/>
    <col min="7" max="7" width="12.7265625" style="8" customWidth="1"/>
    <col min="8" max="8" width="12.7265625" customWidth="1"/>
    <col min="9" max="11" width="12.7265625" style="8" customWidth="1"/>
    <col min="12" max="12" width="19.7265625" style="8" customWidth="1"/>
    <col min="13" max="13" width="23.81640625" customWidth="1"/>
  </cols>
  <sheetData>
    <row r="1" spans="1:24" s="8" customFormat="1" ht="18.5" x14ac:dyDescent="0.45">
      <c r="A1" s="23" t="s">
        <v>232</v>
      </c>
      <c r="B1" s="13"/>
    </row>
    <row r="2" spans="1:24" s="8" customFormat="1" ht="18.5" x14ac:dyDescent="0.45">
      <c r="A2" s="23"/>
      <c r="B2" s="27"/>
      <c r="C2" s="28"/>
    </row>
    <row r="3" spans="1:24" s="1" customFormat="1" ht="37" x14ac:dyDescent="0.45">
      <c r="A3" s="74" t="s">
        <v>329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24" s="1" customFormat="1" ht="43.5" x14ac:dyDescent="0.35">
      <c r="A4" s="68" t="s">
        <v>100</v>
      </c>
      <c r="B4" s="68"/>
      <c r="C4" s="68" t="s">
        <v>194</v>
      </c>
      <c r="D4" s="68" t="s">
        <v>229</v>
      </c>
      <c r="E4" s="68" t="s">
        <v>230</v>
      </c>
      <c r="F4" s="69"/>
      <c r="G4" s="68" t="s">
        <v>12</v>
      </c>
      <c r="H4" s="68" t="s">
        <v>252</v>
      </c>
      <c r="I4" s="68" t="s">
        <v>234</v>
      </c>
      <c r="J4" s="68" t="s">
        <v>336</v>
      </c>
      <c r="K4" s="68" t="s">
        <v>337</v>
      </c>
      <c r="L4" s="68" t="s">
        <v>0</v>
      </c>
      <c r="M4" s="68" t="s">
        <v>370</v>
      </c>
      <c r="N4" s="68" t="s">
        <v>79</v>
      </c>
    </row>
    <row r="5" spans="1:24" s="8" customFormat="1" x14ac:dyDescent="0.35">
      <c r="A5" s="61" t="s">
        <v>92</v>
      </c>
      <c r="B5" s="62"/>
      <c r="C5" s="61"/>
      <c r="D5" s="63">
        <v>1160</v>
      </c>
      <c r="E5" s="63">
        <v>1160</v>
      </c>
      <c r="F5" s="61"/>
      <c r="G5" s="61" t="s">
        <v>228</v>
      </c>
      <c r="H5" s="61"/>
      <c r="I5" s="64">
        <f>AVERAGE(D5:E5)*inflation_gdp!$M$3</f>
        <v>1214.0524619999997</v>
      </c>
      <c r="J5" s="110">
        <v>112.08740235755744</v>
      </c>
      <c r="K5" s="110">
        <f>I5*(100/J5)</f>
        <v>1083.1301613424737</v>
      </c>
      <c r="L5" s="62" t="s">
        <v>86</v>
      </c>
      <c r="M5" s="61" t="s">
        <v>88</v>
      </c>
      <c r="N5" s="61"/>
      <c r="O5" s="61"/>
    </row>
    <row r="6" spans="1:24" s="8" customFormat="1" x14ac:dyDescent="0.35">
      <c r="A6" s="61" t="s">
        <v>95</v>
      </c>
      <c r="B6" s="62"/>
      <c r="C6" s="61"/>
      <c r="D6" s="61">
        <v>400</v>
      </c>
      <c r="E6" s="63">
        <v>3300</v>
      </c>
      <c r="F6" s="61"/>
      <c r="G6" s="61" t="s">
        <v>228</v>
      </c>
      <c r="H6" s="61"/>
      <c r="I6" s="64">
        <f>AVERAGE(D6:E6)*inflation_gdp!$M$3</f>
        <v>1936.2043574999993</v>
      </c>
      <c r="J6" s="110">
        <v>112.08740235755744</v>
      </c>
      <c r="K6" s="110">
        <f t="shared" ref="K6:K18" si="0">I6*(100/J6)</f>
        <v>1727.4058607617037</v>
      </c>
      <c r="L6" s="62" t="s">
        <v>86</v>
      </c>
      <c r="M6" s="61" t="s">
        <v>88</v>
      </c>
      <c r="N6" s="61"/>
      <c r="O6" s="61"/>
    </row>
    <row r="7" spans="1:24" s="8" customFormat="1" x14ac:dyDescent="0.35">
      <c r="A7" s="61" t="s">
        <v>211</v>
      </c>
      <c r="B7" s="62"/>
      <c r="C7" s="61"/>
      <c r="D7" s="63">
        <v>9600</v>
      </c>
      <c r="E7" s="63">
        <v>11500</v>
      </c>
      <c r="F7" s="61"/>
      <c r="G7" s="61" t="s">
        <v>228</v>
      </c>
      <c r="H7" s="61"/>
      <c r="I7" s="64">
        <f>AVERAGE(D7:E7)*inflation_gdp!$M$3</f>
        <v>11041.597822499996</v>
      </c>
      <c r="J7" s="64">
        <v>112.48519026947474</v>
      </c>
      <c r="K7" s="110">
        <f t="shared" si="0"/>
        <v>9816.0458243865105</v>
      </c>
      <c r="L7" s="62" t="s">
        <v>27</v>
      </c>
      <c r="M7" s="61" t="s">
        <v>88</v>
      </c>
      <c r="N7" s="61"/>
      <c r="O7" s="61"/>
    </row>
    <row r="8" spans="1:24" s="8" customFormat="1" x14ac:dyDescent="0.35">
      <c r="A8" s="61" t="s">
        <v>211</v>
      </c>
      <c r="B8" s="62"/>
      <c r="C8" s="61"/>
      <c r="D8" s="63">
        <v>4700</v>
      </c>
      <c r="E8" s="63">
        <v>13800</v>
      </c>
      <c r="F8" s="61"/>
      <c r="G8" s="61" t="s">
        <v>228</v>
      </c>
      <c r="H8" s="61"/>
      <c r="I8" s="64">
        <f>AVERAGE(D8:E8)*inflation_gdp!$M$3</f>
        <v>9681.0217874999962</v>
      </c>
      <c r="J8" s="64">
        <v>112.48519026947474</v>
      </c>
      <c r="K8" s="110">
        <f t="shared" si="0"/>
        <v>8606.4856754099728</v>
      </c>
      <c r="L8" s="62" t="s">
        <v>27</v>
      </c>
      <c r="M8" s="61" t="s">
        <v>88</v>
      </c>
      <c r="N8" s="61"/>
      <c r="O8" s="61"/>
    </row>
    <row r="9" spans="1:24" s="8" customFormat="1" x14ac:dyDescent="0.35">
      <c r="A9" s="61" t="s">
        <v>211</v>
      </c>
      <c r="B9" s="62"/>
      <c r="C9" s="61"/>
      <c r="D9" s="63">
        <v>8000</v>
      </c>
      <c r="E9" s="63">
        <v>8000</v>
      </c>
      <c r="F9" s="61"/>
      <c r="G9" s="61" t="s">
        <v>228</v>
      </c>
      <c r="H9" s="61"/>
      <c r="I9" s="64">
        <f>AVERAGE(D9:E9)*inflation_gdp!$M$3</f>
        <v>8372.7755999999972</v>
      </c>
      <c r="J9" s="64">
        <v>112.48519026947474</v>
      </c>
      <c r="K9" s="110">
        <f t="shared" si="0"/>
        <v>7443.4470706248421</v>
      </c>
      <c r="L9" s="62" t="s">
        <v>27</v>
      </c>
      <c r="M9" s="61" t="s">
        <v>88</v>
      </c>
      <c r="N9" s="61"/>
      <c r="O9" s="61"/>
    </row>
    <row r="10" spans="1:24" s="8" customFormat="1" x14ac:dyDescent="0.35">
      <c r="A10" s="61" t="s">
        <v>212</v>
      </c>
      <c r="B10" s="62"/>
      <c r="C10" s="61"/>
      <c r="D10" s="63">
        <v>19200</v>
      </c>
      <c r="E10" s="63">
        <v>23000</v>
      </c>
      <c r="F10" s="61"/>
      <c r="G10" s="61" t="s">
        <v>228</v>
      </c>
      <c r="H10" s="61"/>
      <c r="I10" s="64">
        <f>AVERAGE(D10:E10)*inflation_gdp!$M$3</f>
        <v>22083.195644999993</v>
      </c>
      <c r="J10" s="64">
        <v>112.48519026947474</v>
      </c>
      <c r="K10" s="110">
        <f t="shared" si="0"/>
        <v>19632.091648773021</v>
      </c>
      <c r="L10" s="62" t="s">
        <v>27</v>
      </c>
      <c r="M10" s="61" t="s">
        <v>88</v>
      </c>
      <c r="N10" s="61"/>
      <c r="O10" s="61"/>
    </row>
    <row r="11" spans="1:24" s="8" customFormat="1" x14ac:dyDescent="0.35">
      <c r="A11" s="61" t="s">
        <v>212</v>
      </c>
      <c r="B11" s="62"/>
      <c r="C11" s="61"/>
      <c r="D11" s="63">
        <v>15900</v>
      </c>
      <c r="E11" s="63">
        <v>15900</v>
      </c>
      <c r="F11" s="61"/>
      <c r="G11" s="61" t="s">
        <v>228</v>
      </c>
      <c r="H11" s="61"/>
      <c r="I11" s="64">
        <f>AVERAGE(D11:E11)*inflation_gdp!$M$3</f>
        <v>16640.891504999996</v>
      </c>
      <c r="J11" s="64">
        <v>112.48519026947474</v>
      </c>
      <c r="K11" s="110">
        <f t="shared" si="0"/>
        <v>14793.851052866874</v>
      </c>
      <c r="L11" s="62" t="s">
        <v>27</v>
      </c>
      <c r="M11" s="61" t="s">
        <v>88</v>
      </c>
      <c r="N11" s="61"/>
      <c r="O11" s="61"/>
    </row>
    <row r="12" spans="1:24" x14ac:dyDescent="0.35">
      <c r="A12" s="62" t="s">
        <v>96</v>
      </c>
      <c r="B12" s="62"/>
      <c r="C12" s="61"/>
      <c r="D12" s="63">
        <v>300</v>
      </c>
      <c r="E12" s="63">
        <v>2000</v>
      </c>
      <c r="F12" s="61"/>
      <c r="G12" s="61" t="s">
        <v>235</v>
      </c>
      <c r="H12" s="61"/>
      <c r="I12" s="64">
        <f>AVERAGE(D12:E12)*inflation_gdp!$C$3</f>
        <v>1522.4334166590122</v>
      </c>
      <c r="J12" s="64">
        <v>108.49249610469384</v>
      </c>
      <c r="K12" s="110">
        <f t="shared" si="0"/>
        <v>1403.2614893382893</v>
      </c>
      <c r="L12" s="61" t="s">
        <v>17</v>
      </c>
      <c r="M12" s="61" t="s">
        <v>102</v>
      </c>
      <c r="N12" s="61"/>
      <c r="O12" s="61"/>
    </row>
    <row r="13" spans="1:24" x14ac:dyDescent="0.35">
      <c r="A13" s="62" t="s">
        <v>98</v>
      </c>
      <c r="B13" s="62"/>
      <c r="C13" s="61"/>
      <c r="D13" s="63">
        <v>800</v>
      </c>
      <c r="E13" s="63">
        <v>2500</v>
      </c>
      <c r="F13" s="61"/>
      <c r="G13" s="61" t="s">
        <v>235</v>
      </c>
      <c r="H13" s="61"/>
      <c r="I13" s="64">
        <f>AVERAGE(D13:E13)*inflation_gdp!$C$3</f>
        <v>2184.3609891194524</v>
      </c>
      <c r="J13" s="64">
        <v>108.49249610469384</v>
      </c>
      <c r="K13" s="110">
        <f t="shared" si="0"/>
        <v>2013.3751803549367</v>
      </c>
      <c r="L13" s="61" t="s">
        <v>17</v>
      </c>
      <c r="M13" s="61" t="s">
        <v>102</v>
      </c>
      <c r="N13" s="61"/>
      <c r="O13" s="61"/>
    </row>
    <row r="14" spans="1:24" x14ac:dyDescent="0.35">
      <c r="A14" s="62" t="s">
        <v>99</v>
      </c>
      <c r="B14" s="62"/>
      <c r="C14" s="61"/>
      <c r="D14" s="63">
        <v>3500</v>
      </c>
      <c r="E14" s="63">
        <v>5000</v>
      </c>
      <c r="F14" s="61"/>
      <c r="G14" s="61" t="s">
        <v>235</v>
      </c>
      <c r="H14" s="61"/>
      <c r="I14" s="64">
        <f>AVERAGE(D14:E14)*inflation_gdp!$C$3</f>
        <v>5626.384365913741</v>
      </c>
      <c r="J14" s="64">
        <v>108.49249610469384</v>
      </c>
      <c r="K14" s="110">
        <f t="shared" si="0"/>
        <v>5185.9663736415041</v>
      </c>
      <c r="L14" s="61" t="s">
        <v>17</v>
      </c>
      <c r="M14" s="61" t="s">
        <v>102</v>
      </c>
      <c r="N14" s="61"/>
      <c r="O14" s="61"/>
    </row>
    <row r="15" spans="1:24" x14ac:dyDescent="0.35">
      <c r="A15" s="62" t="s">
        <v>97</v>
      </c>
      <c r="B15" s="62"/>
      <c r="C15" s="61"/>
      <c r="D15" s="63">
        <v>16100</v>
      </c>
      <c r="E15" s="63">
        <v>16100</v>
      </c>
      <c r="F15" s="61"/>
      <c r="G15" s="61" t="s">
        <v>235</v>
      </c>
      <c r="H15" s="61"/>
      <c r="I15" s="64">
        <f>E15*inflation_gdp!$C$3</f>
        <v>21314.06783322617</v>
      </c>
      <c r="J15" s="64">
        <v>108.49249610469384</v>
      </c>
      <c r="K15" s="64">
        <f>I15*(100/J15)</f>
        <v>19645.660850736047</v>
      </c>
      <c r="L15" s="61" t="s">
        <v>17</v>
      </c>
      <c r="M15" s="61" t="s">
        <v>102</v>
      </c>
      <c r="N15" s="61" t="s">
        <v>195</v>
      </c>
      <c r="O15" s="61"/>
    </row>
    <row r="16" spans="1:24" s="8" customFormat="1" x14ac:dyDescent="0.35">
      <c r="A16" s="62" t="s">
        <v>183</v>
      </c>
      <c r="B16" s="62"/>
      <c r="C16" s="63">
        <v>16700000</v>
      </c>
      <c r="D16" s="65">
        <v>2783.3</v>
      </c>
      <c r="E16" s="65">
        <v>2783.3</v>
      </c>
      <c r="F16" s="61"/>
      <c r="G16" s="61"/>
      <c r="H16" s="61"/>
      <c r="I16" s="64">
        <f>E16*inflation_gdp!$F$3</f>
        <v>3441.7177053222358</v>
      </c>
      <c r="J16" s="64">
        <v>109.33308117077252</v>
      </c>
      <c r="K16" s="110">
        <f t="shared" si="0"/>
        <v>3147.9197956073822</v>
      </c>
      <c r="L16" s="62" t="s">
        <v>3</v>
      </c>
      <c r="M16" s="61" t="s">
        <v>191</v>
      </c>
      <c r="N16" s="61"/>
      <c r="T16" s="3"/>
      <c r="V16" s="4"/>
      <c r="W16" s="1"/>
      <c r="X16" s="1"/>
    </row>
    <row r="17" spans="1:24" s="8" customFormat="1" x14ac:dyDescent="0.35">
      <c r="A17" s="61" t="s">
        <v>163</v>
      </c>
      <c r="B17" s="61"/>
      <c r="C17" s="61"/>
      <c r="D17" s="63">
        <v>4000</v>
      </c>
      <c r="E17" s="63">
        <v>6000</v>
      </c>
      <c r="F17" s="61"/>
      <c r="G17" s="61"/>
      <c r="H17" s="69"/>
      <c r="I17" s="64">
        <f>AVERAGE(D17:E17)*inflation_gdp!$J$3</f>
        <v>5563.5916963729705</v>
      </c>
      <c r="J17" s="64">
        <v>109.33308117077252</v>
      </c>
      <c r="K17" s="64">
        <f t="shared" si="0"/>
        <v>5088.6626781174609</v>
      </c>
      <c r="L17" s="61" t="s">
        <v>3</v>
      </c>
      <c r="M17" s="61" t="s">
        <v>111</v>
      </c>
      <c r="N17" s="61"/>
      <c r="T17" s="3"/>
      <c r="V17" s="4"/>
      <c r="W17" s="1"/>
      <c r="X17" s="1"/>
    </row>
    <row r="18" spans="1:24" s="8" customFormat="1" x14ac:dyDescent="0.35">
      <c r="A18" s="61" t="s">
        <v>163</v>
      </c>
      <c r="B18" s="61"/>
      <c r="C18" s="61"/>
      <c r="D18" s="63">
        <v>3000</v>
      </c>
      <c r="E18" s="63">
        <v>5000</v>
      </c>
      <c r="F18" s="61"/>
      <c r="G18" s="61"/>
      <c r="H18" s="69"/>
      <c r="I18" s="64">
        <f>AVERAGE(D18:E18)*inflation_gdp!$J$3</f>
        <v>4450.8733570983759</v>
      </c>
      <c r="J18" s="64">
        <v>112.48519026947474</v>
      </c>
      <c r="K18" s="64">
        <f t="shared" si="0"/>
        <v>3956.8527611818563</v>
      </c>
      <c r="L18" s="61" t="s">
        <v>27</v>
      </c>
      <c r="M18" s="61" t="s">
        <v>111</v>
      </c>
      <c r="N18" s="61"/>
      <c r="O18" s="61"/>
    </row>
    <row r="19" spans="1:24" s="8" customFormat="1" ht="43.5" x14ac:dyDescent="0.35">
      <c r="A19" s="68" t="s">
        <v>226</v>
      </c>
      <c r="B19" s="68"/>
      <c r="C19" s="68" t="s">
        <v>194</v>
      </c>
      <c r="D19" s="68" t="s">
        <v>229</v>
      </c>
      <c r="E19" s="68" t="s">
        <v>230</v>
      </c>
      <c r="F19" s="69"/>
      <c r="G19" s="68" t="s">
        <v>12</v>
      </c>
      <c r="H19" s="68" t="s">
        <v>252</v>
      </c>
      <c r="I19" s="68" t="s">
        <v>234</v>
      </c>
      <c r="J19" s="68" t="s">
        <v>336</v>
      </c>
      <c r="K19" s="68" t="s">
        <v>337</v>
      </c>
      <c r="L19" s="68" t="s">
        <v>0</v>
      </c>
      <c r="M19" s="68" t="s">
        <v>370</v>
      </c>
      <c r="N19" s="68" t="s">
        <v>79</v>
      </c>
    </row>
    <row r="20" spans="1:24" s="8" customFormat="1" ht="15" customHeight="1" x14ac:dyDescent="0.35">
      <c r="A20" s="70" t="s">
        <v>203</v>
      </c>
      <c r="B20" s="71"/>
      <c r="C20" s="71"/>
      <c r="D20" s="72">
        <v>2385</v>
      </c>
      <c r="E20" s="71">
        <v>3484</v>
      </c>
      <c r="F20" s="71"/>
      <c r="G20" s="71"/>
      <c r="H20" s="71"/>
      <c r="I20" s="64">
        <f>E20*inflation_gdp!$N$3</f>
        <v>3553.9412999999995</v>
      </c>
      <c r="J20" s="64">
        <v>126.6772206943287</v>
      </c>
      <c r="K20" s="64">
        <f t="shared" ref="K20:K29" si="1">I20*(100/J20)</f>
        <v>2805.5093729721434</v>
      </c>
      <c r="L20" s="62" t="s">
        <v>26</v>
      </c>
      <c r="M20" s="61" t="s">
        <v>94</v>
      </c>
      <c r="N20" s="61" t="s">
        <v>227</v>
      </c>
    </row>
    <row r="21" spans="1:24" s="8" customFormat="1" ht="15" customHeight="1" x14ac:dyDescent="0.35">
      <c r="A21" s="70" t="s">
        <v>204</v>
      </c>
      <c r="B21" s="71"/>
      <c r="C21" s="71"/>
      <c r="D21" s="72">
        <v>1396</v>
      </c>
      <c r="E21" s="71">
        <v>4619</v>
      </c>
      <c r="F21" s="71"/>
      <c r="G21" s="71"/>
      <c r="H21" s="71"/>
      <c r="I21" s="64">
        <f>E21*inflation_gdp!$N$3</f>
        <v>4711.7264249999989</v>
      </c>
      <c r="J21" s="64">
        <v>126.6772206943287</v>
      </c>
      <c r="K21" s="64">
        <f t="shared" si="1"/>
        <v>3719.4741084266157</v>
      </c>
      <c r="L21" s="62" t="s">
        <v>26</v>
      </c>
      <c r="M21" s="61" t="s">
        <v>94</v>
      </c>
      <c r="N21" s="61" t="s">
        <v>227</v>
      </c>
    </row>
    <row r="22" spans="1:24" s="8" customFormat="1" ht="15" customHeight="1" x14ac:dyDescent="0.35">
      <c r="A22" s="70" t="s">
        <v>205</v>
      </c>
      <c r="B22" s="71"/>
      <c r="C22" s="71"/>
      <c r="D22" s="71">
        <v>4071</v>
      </c>
      <c r="E22" s="72">
        <v>13897</v>
      </c>
      <c r="F22" s="71"/>
      <c r="G22" s="71"/>
      <c r="H22" s="71"/>
      <c r="I22" s="64">
        <f>E22*inflation_gdp!$N$3</f>
        <v>14175.982274999998</v>
      </c>
      <c r="J22" s="64">
        <v>126.6772206943287</v>
      </c>
      <c r="K22" s="64">
        <f t="shared" si="1"/>
        <v>11190.632536220975</v>
      </c>
      <c r="L22" s="62" t="s">
        <v>26</v>
      </c>
      <c r="M22" s="61" t="s">
        <v>94</v>
      </c>
      <c r="N22" s="61" t="s">
        <v>227</v>
      </c>
    </row>
    <row r="23" spans="1:24" s="8" customFormat="1" ht="15" customHeight="1" x14ac:dyDescent="0.35">
      <c r="A23" s="70" t="s">
        <v>206</v>
      </c>
      <c r="B23" s="71"/>
      <c r="C23" s="71"/>
      <c r="D23" s="72">
        <v>1175</v>
      </c>
      <c r="E23" s="72">
        <v>1980</v>
      </c>
      <c r="F23" s="71"/>
      <c r="G23" s="71"/>
      <c r="H23" s="71"/>
      <c r="I23" s="64">
        <f>E23*inflation_gdp!$N$3</f>
        <v>2019.7484999999997</v>
      </c>
      <c r="J23" s="64">
        <v>126.6772206943287</v>
      </c>
      <c r="K23" s="64">
        <f t="shared" si="1"/>
        <v>1594.4054415857761</v>
      </c>
      <c r="L23" s="62" t="s">
        <v>26</v>
      </c>
      <c r="M23" s="61" t="s">
        <v>94</v>
      </c>
      <c r="N23" s="61" t="s">
        <v>227</v>
      </c>
    </row>
    <row r="24" spans="1:24" s="8" customFormat="1" x14ac:dyDescent="0.35">
      <c r="A24" s="70" t="s">
        <v>207</v>
      </c>
      <c r="B24" s="71"/>
      <c r="C24" s="71"/>
      <c r="D24" s="72">
        <v>1871</v>
      </c>
      <c r="E24" s="72">
        <v>2195</v>
      </c>
      <c r="F24" s="71"/>
      <c r="G24" s="71"/>
      <c r="H24" s="71"/>
      <c r="I24" s="64">
        <f>E24*inflation_gdp!$N$3</f>
        <v>2239.0646249999995</v>
      </c>
      <c r="J24" s="64">
        <v>126.6772206943287</v>
      </c>
      <c r="K24" s="64">
        <f t="shared" si="1"/>
        <v>1767.5353253943324</v>
      </c>
      <c r="L24" s="62" t="s">
        <v>26</v>
      </c>
      <c r="M24" s="61" t="s">
        <v>94</v>
      </c>
      <c r="N24" s="61"/>
      <c r="T24" s="3"/>
      <c r="V24" s="4"/>
      <c r="W24" s="1"/>
      <c r="X24" s="1"/>
    </row>
    <row r="25" spans="1:24" s="8" customFormat="1" x14ac:dyDescent="0.35">
      <c r="A25" s="61" t="s">
        <v>162</v>
      </c>
      <c r="B25" s="61"/>
      <c r="C25" s="61"/>
      <c r="D25" s="63">
        <v>1500</v>
      </c>
      <c r="E25" s="63">
        <v>2800</v>
      </c>
      <c r="F25" s="61"/>
      <c r="G25" s="61"/>
      <c r="H25" s="69"/>
      <c r="I25" s="64">
        <f>E25*inflation_gdp!$J$3</f>
        <v>3115.6113499688636</v>
      </c>
      <c r="J25" s="64">
        <v>109.33308117077252</v>
      </c>
      <c r="K25" s="64">
        <f t="shared" si="1"/>
        <v>2849.6510997457781</v>
      </c>
      <c r="L25" s="61" t="s">
        <v>3</v>
      </c>
      <c r="M25" s="61" t="s">
        <v>111</v>
      </c>
      <c r="N25" s="61"/>
      <c r="T25" s="3"/>
      <c r="V25" s="4"/>
      <c r="W25" s="1"/>
      <c r="X25" s="1"/>
    </row>
    <row r="26" spans="1:24" s="8" customFormat="1" x14ac:dyDescent="0.35">
      <c r="A26" s="61" t="s">
        <v>162</v>
      </c>
      <c r="B26" s="61"/>
      <c r="C26" s="61"/>
      <c r="D26" s="63">
        <v>700</v>
      </c>
      <c r="E26" s="63">
        <v>700</v>
      </c>
      <c r="F26" s="61"/>
      <c r="G26" s="61"/>
      <c r="H26" s="69"/>
      <c r="I26" s="64">
        <f>E26*inflation_gdp!$K$3</f>
        <v>771.19092821011463</v>
      </c>
      <c r="J26" s="64">
        <v>109.33308117077252</v>
      </c>
      <c r="K26" s="64">
        <f t="shared" si="1"/>
        <v>705.35918310539057</v>
      </c>
      <c r="L26" s="61" t="s">
        <v>3</v>
      </c>
      <c r="M26" s="61" t="s">
        <v>111</v>
      </c>
      <c r="N26" s="61"/>
      <c r="T26" s="3"/>
      <c r="V26" s="4"/>
      <c r="W26" s="1"/>
      <c r="X26" s="1"/>
    </row>
    <row r="27" spans="1:24" s="8" customFormat="1" x14ac:dyDescent="0.35">
      <c r="A27" s="61" t="s">
        <v>162</v>
      </c>
      <c r="B27" s="61"/>
      <c r="C27" s="61"/>
      <c r="D27" s="63">
        <v>4000</v>
      </c>
      <c r="E27" s="63">
        <v>4000</v>
      </c>
      <c r="F27" s="61"/>
      <c r="G27" s="61"/>
      <c r="H27" s="69"/>
      <c r="I27" s="64">
        <f>E27*inflation_gdp!$H$3</f>
        <v>4726.3290074224815</v>
      </c>
      <c r="J27" s="64">
        <v>109.33308117077252</v>
      </c>
      <c r="K27" s="64">
        <f t="shared" si="1"/>
        <v>4322.8718671526367</v>
      </c>
      <c r="L27" s="61" t="s">
        <v>3</v>
      </c>
      <c r="M27" s="61" t="s">
        <v>111</v>
      </c>
      <c r="N27" s="61"/>
      <c r="T27" s="3"/>
      <c r="V27" s="4"/>
      <c r="W27" s="1"/>
      <c r="X27" s="1"/>
    </row>
    <row r="28" spans="1:24" x14ac:dyDescent="0.35">
      <c r="A28" s="61" t="s">
        <v>332</v>
      </c>
      <c r="B28" s="61"/>
      <c r="C28" s="61"/>
      <c r="D28" s="61">
        <v>14000</v>
      </c>
      <c r="E28" s="63">
        <v>17000</v>
      </c>
      <c r="F28" s="61"/>
      <c r="G28" s="61"/>
      <c r="H28" s="69"/>
      <c r="I28" s="64">
        <f>E28*inflation_gdp!$J$3</f>
        <v>18916.211767668101</v>
      </c>
      <c r="J28" s="64">
        <v>109.33308117077252</v>
      </c>
      <c r="K28" s="64">
        <f t="shared" si="1"/>
        <v>17301.453105599368</v>
      </c>
      <c r="L28" s="61" t="s">
        <v>3</v>
      </c>
      <c r="M28" s="61" t="s">
        <v>111</v>
      </c>
      <c r="N28" s="61" t="s">
        <v>196</v>
      </c>
    </row>
    <row r="29" spans="1:24" s="8" customFormat="1" ht="15" customHeight="1" x14ac:dyDescent="0.35">
      <c r="A29" s="62" t="s">
        <v>184</v>
      </c>
      <c r="B29" s="62"/>
      <c r="C29" s="63">
        <v>9500000</v>
      </c>
      <c r="D29" s="65">
        <v>3392.9</v>
      </c>
      <c r="E29" s="65">
        <v>3392.9</v>
      </c>
      <c r="F29" s="61"/>
      <c r="G29" s="61"/>
      <c r="H29" s="61"/>
      <c r="I29" s="64">
        <f>E29*inflation_gdp!$E$3</f>
        <v>4292.0218066477682</v>
      </c>
      <c r="J29" s="64">
        <v>109.33308117077252</v>
      </c>
      <c r="K29" s="64">
        <f t="shared" si="1"/>
        <v>3925.6387551576049</v>
      </c>
      <c r="L29" s="62" t="s">
        <v>3</v>
      </c>
      <c r="M29" s="61" t="s">
        <v>191</v>
      </c>
      <c r="N29" s="61"/>
    </row>
    <row r="30" spans="1:24" s="8" customFormat="1" ht="15" customHeight="1" x14ac:dyDescent="0.35">
      <c r="A30" s="62"/>
      <c r="B30" s="62"/>
      <c r="C30" s="63"/>
      <c r="D30" s="65"/>
      <c r="E30" s="65"/>
      <c r="F30" s="61"/>
      <c r="G30" s="61"/>
      <c r="H30" s="61"/>
      <c r="I30" s="64"/>
      <c r="J30" s="64"/>
      <c r="K30" s="64"/>
      <c r="L30" s="62"/>
      <c r="M30" s="61"/>
      <c r="N30" s="61"/>
    </row>
    <row r="31" spans="1:24" s="8" customFormat="1" x14ac:dyDescent="0.35">
      <c r="A31" s="66" t="s">
        <v>331</v>
      </c>
      <c r="B31" s="62"/>
      <c r="C31" s="63"/>
      <c r="D31" s="67">
        <f>AVERAGE(D5:D16)</f>
        <v>6870.2750000000005</v>
      </c>
      <c r="E31" s="67">
        <f>AVERAGE(E5:E16)</f>
        <v>8753.6083333333336</v>
      </c>
      <c r="F31" s="61"/>
      <c r="G31" s="61"/>
      <c r="H31" s="61"/>
      <c r="I31" s="122">
        <f>AVERAGE(I5:I18)</f>
        <v>8219.5120388008527</v>
      </c>
      <c r="J31" s="67"/>
      <c r="K31" s="122">
        <f>AVERAGE(K5:K18)</f>
        <v>7396.0111730816334</v>
      </c>
      <c r="L31" s="62"/>
      <c r="M31" s="61"/>
      <c r="N31" s="61"/>
      <c r="O31" s="61"/>
    </row>
    <row r="32" spans="1:24" s="8" customFormat="1" ht="15" customHeight="1" x14ac:dyDescent="0.45">
      <c r="A32" s="66" t="s">
        <v>330</v>
      </c>
      <c r="B32" s="62"/>
      <c r="C32" s="61"/>
      <c r="D32" s="67">
        <f>AVERAGE(D20:D29)</f>
        <v>3449.09</v>
      </c>
      <c r="E32" s="67">
        <f>AVERAGE(E21,E20,E22,E23,E24,E25,E26,E27,E29,E28,E29)</f>
        <v>5223.7090909090912</v>
      </c>
      <c r="F32" s="61"/>
      <c r="G32" s="61"/>
      <c r="H32" s="61"/>
      <c r="I32" s="122">
        <f>AVERAGE(I20:I29)</f>
        <v>5852.1827984917327</v>
      </c>
      <c r="J32" s="67"/>
      <c r="K32" s="122">
        <f>AVERAGE(K20:K29)</f>
        <v>5018.2530795360617</v>
      </c>
      <c r="L32" s="73"/>
      <c r="M32" s="61"/>
      <c r="N32" s="61"/>
    </row>
    <row r="33" spans="1:14" s="8" customFormat="1" ht="15" customHeight="1" x14ac:dyDescent="0.35">
      <c r="A33" s="66" t="s">
        <v>334</v>
      </c>
      <c r="B33" s="62"/>
      <c r="C33" s="61"/>
      <c r="D33" s="67"/>
      <c r="E33" s="67"/>
      <c r="F33" s="61"/>
      <c r="G33" s="61"/>
      <c r="H33" s="61"/>
      <c r="I33" s="122">
        <f>AVERAGE(I5:I18,I20:I29)</f>
        <v>7233.1248553387195</v>
      </c>
      <c r="J33" s="67"/>
      <c r="K33" s="139">
        <f>AVERAGE(K5:K18,K20:K29)</f>
        <v>6405.2786341043129</v>
      </c>
      <c r="L33" s="139">
        <f>MEDIAN(K5:K18,K20:K29)</f>
        <v>3941.2457581697308</v>
      </c>
      <c r="M33" s="61"/>
      <c r="N33" s="61"/>
    </row>
    <row r="34" spans="1:14" s="8" customFormat="1" ht="15" customHeight="1" x14ac:dyDescent="0.35">
      <c r="A34" s="66" t="s">
        <v>335</v>
      </c>
      <c r="B34" s="62"/>
      <c r="C34" s="61"/>
      <c r="D34" s="67"/>
      <c r="E34" s="67"/>
      <c r="F34" s="61"/>
      <c r="G34" s="61"/>
      <c r="H34" s="61"/>
      <c r="I34" s="67"/>
      <c r="J34" s="67"/>
      <c r="K34" s="139">
        <f>_xlfn.PERCENTILE.EXC(K5:K29,0.25)</f>
        <v>1828.9952891344835</v>
      </c>
      <c r="L34" s="139">
        <f>_xlfn.PERCENTILE.EXC(K5:K29,0.75)</f>
        <v>9513.6557871423756</v>
      </c>
      <c r="M34" s="139">
        <f>_xlfn.STDEV.S(K5:K18,K20:K29)</f>
        <v>5951.2179780633805</v>
      </c>
      <c r="N34" s="61"/>
    </row>
    <row r="35" spans="1:14" s="8" customFormat="1" x14ac:dyDescent="0.35">
      <c r="A35" s="66" t="s">
        <v>333</v>
      </c>
      <c r="B35" s="62"/>
      <c r="C35" s="61"/>
      <c r="D35" s="67"/>
      <c r="E35" s="67"/>
      <c r="F35" s="61"/>
      <c r="G35" s="61"/>
      <c r="H35" s="61"/>
      <c r="I35" s="67"/>
      <c r="J35" s="67"/>
      <c r="K35" s="146">
        <f>COUNT(K5:K18,K20:K29)</f>
        <v>24</v>
      </c>
      <c r="L35" s="61"/>
      <c r="M35" s="61"/>
    </row>
    <row r="36" spans="1:14" s="150" customFormat="1" x14ac:dyDescent="0.35">
      <c r="A36" s="148"/>
      <c r="B36" s="149"/>
      <c r="D36" s="151"/>
      <c r="E36" s="151"/>
      <c r="I36" s="151"/>
      <c r="J36" s="151"/>
      <c r="K36" s="152"/>
      <c r="L36" s="153"/>
      <c r="M36" s="154"/>
    </row>
    <row r="37" spans="1:14" s="6" customFormat="1" ht="32.25" customHeight="1" x14ac:dyDescent="0.35">
      <c r="A37" s="30" t="s">
        <v>326</v>
      </c>
      <c r="B37" s="13"/>
      <c r="C37" s="14"/>
      <c r="D37" s="29"/>
      <c r="E37" s="29"/>
      <c r="F37" s="8"/>
      <c r="G37" s="8"/>
      <c r="H37" s="8"/>
      <c r="I37" s="8"/>
      <c r="J37" s="8"/>
      <c r="K37" s="8"/>
      <c r="L37" s="13"/>
      <c r="M37" s="8"/>
    </row>
    <row r="38" spans="1:14" s="6" customFormat="1" ht="15" customHeight="1" x14ac:dyDescent="0.35">
      <c r="A38" s="36" t="s">
        <v>208</v>
      </c>
      <c r="D38" s="115"/>
      <c r="E38" s="115">
        <v>99</v>
      </c>
      <c r="I38" s="141">
        <f>E38*inflation_gdp!$N$3</f>
        <v>100.98742499999999</v>
      </c>
      <c r="J38" s="141">
        <v>126.6772206943287</v>
      </c>
      <c r="K38" s="141">
        <f>I38*(100/J38)</f>
        <v>79.720272079288804</v>
      </c>
      <c r="L38" s="36" t="s">
        <v>26</v>
      </c>
      <c r="M38" s="6" t="s">
        <v>94</v>
      </c>
    </row>
    <row r="39" spans="1:14" s="6" customFormat="1" ht="15" customHeight="1" x14ac:dyDescent="0.35">
      <c r="A39" s="36" t="s">
        <v>209</v>
      </c>
      <c r="D39" s="115"/>
      <c r="E39" s="6">
        <v>70</v>
      </c>
      <c r="I39" s="141">
        <f>E39*inflation_gdp!$N$3</f>
        <v>71.405249999999995</v>
      </c>
      <c r="J39" s="141">
        <v>126.6772206943287</v>
      </c>
      <c r="K39" s="141">
        <f>I39*(100/J39)</f>
        <v>56.367869146971891</v>
      </c>
      <c r="L39" s="36" t="s">
        <v>26</v>
      </c>
      <c r="M39" s="6" t="s">
        <v>94</v>
      </c>
    </row>
    <row r="40" spans="1:14" s="8" customFormat="1" x14ac:dyDescent="0.35">
      <c r="A40" s="36" t="s">
        <v>210</v>
      </c>
      <c r="B40" s="6"/>
      <c r="C40" s="6"/>
      <c r="D40" s="6"/>
      <c r="E40" s="6">
        <v>37</v>
      </c>
      <c r="F40" s="6"/>
      <c r="G40" s="6"/>
      <c r="H40" s="6"/>
      <c r="I40" s="141">
        <f>E40*inflation_gdp!$N$3</f>
        <v>37.742774999999995</v>
      </c>
      <c r="J40" s="141">
        <v>126.6772206943287</v>
      </c>
      <c r="K40" s="141">
        <f>I40*(100/J40)</f>
        <v>29.794445120542282</v>
      </c>
      <c r="L40" s="36" t="s">
        <v>26</v>
      </c>
      <c r="M40" s="6" t="s">
        <v>94</v>
      </c>
    </row>
    <row r="41" spans="1:14" s="8" customFormat="1" x14ac:dyDescent="0.35">
      <c r="A41" s="8" t="s">
        <v>89</v>
      </c>
      <c r="B41" s="13" t="s">
        <v>87</v>
      </c>
      <c r="E41" s="14">
        <v>140</v>
      </c>
      <c r="G41" s="8" t="s">
        <v>228</v>
      </c>
      <c r="I41" s="22">
        <f>E41*inflation_gdp!$M$3</f>
        <v>146.52357299999994</v>
      </c>
      <c r="J41" s="22">
        <v>112.08740235755744</v>
      </c>
      <c r="K41" s="141">
        <f t="shared" ref="K41:K43" si="2">I41*(100/J41)</f>
        <v>130.72260567926406</v>
      </c>
      <c r="L41" s="13" t="s">
        <v>86</v>
      </c>
      <c r="M41" s="8" t="s">
        <v>88</v>
      </c>
    </row>
    <row r="42" spans="1:14" s="8" customFormat="1" x14ac:dyDescent="0.35">
      <c r="A42" s="8" t="s">
        <v>90</v>
      </c>
      <c r="B42" s="13" t="s">
        <v>87</v>
      </c>
      <c r="D42" s="8">
        <v>10</v>
      </c>
      <c r="E42" s="14">
        <v>960</v>
      </c>
      <c r="G42" s="8" t="s">
        <v>228</v>
      </c>
      <c r="I42" s="22">
        <f>E42*inflation_gdp!$M$3</f>
        <v>1004.7330719999997</v>
      </c>
      <c r="J42" s="22">
        <v>112.08740235755744</v>
      </c>
      <c r="K42" s="141">
        <f t="shared" si="2"/>
        <v>896.38358180066791</v>
      </c>
      <c r="L42" s="13" t="s">
        <v>86</v>
      </c>
      <c r="M42" s="8" t="s">
        <v>88</v>
      </c>
    </row>
    <row r="43" spans="1:14" s="8" customFormat="1" x14ac:dyDescent="0.35">
      <c r="A43" s="8" t="s">
        <v>91</v>
      </c>
      <c r="B43" s="13" t="s">
        <v>87</v>
      </c>
      <c r="D43" s="8">
        <v>550</v>
      </c>
      <c r="E43" s="14">
        <v>16670</v>
      </c>
      <c r="G43" s="8" t="s">
        <v>228</v>
      </c>
      <c r="I43" s="22">
        <f>E43*inflation_gdp!$M$3</f>
        <v>17446.771156499995</v>
      </c>
      <c r="J43" s="22">
        <v>112.087402357557</v>
      </c>
      <c r="K43" s="141">
        <f t="shared" si="2"/>
        <v>15565.327404809577</v>
      </c>
      <c r="L43" s="13" t="s">
        <v>86</v>
      </c>
      <c r="M43" s="8" t="s">
        <v>88</v>
      </c>
      <c r="N43" s="8" t="s">
        <v>233</v>
      </c>
    </row>
    <row r="44" spans="1:14" x14ac:dyDescent="0.35">
      <c r="A44" s="8" t="s">
        <v>167</v>
      </c>
      <c r="B44" s="10"/>
      <c r="C44" s="8"/>
      <c r="D44" s="8"/>
      <c r="E44" s="26" t="s">
        <v>244</v>
      </c>
      <c r="F44" s="8"/>
      <c r="H44" s="8"/>
      <c r="L44" s="13" t="s">
        <v>168</v>
      </c>
      <c r="M44" s="8"/>
      <c r="N44" s="8"/>
    </row>
    <row r="45" spans="1:14" s="8" customFormat="1" x14ac:dyDescent="0.35">
      <c r="A45" s="13" t="s">
        <v>315</v>
      </c>
      <c r="B45" s="13"/>
      <c r="C45" s="14"/>
      <c r="D45" s="14">
        <v>10900</v>
      </c>
      <c r="E45" s="14">
        <v>16800</v>
      </c>
      <c r="G45" s="8">
        <v>2016</v>
      </c>
      <c r="H45" s="34" t="s">
        <v>322</v>
      </c>
      <c r="I45" s="22">
        <f>E45/inflation_gdp!$Q$7</f>
        <v>15177.522811455416</v>
      </c>
      <c r="J45" s="134">
        <v>99.81</v>
      </c>
      <c r="K45" s="141">
        <f t="shared" ref="K45:K47" si="3">I45*(100/J45)</f>
        <v>15206.414999955332</v>
      </c>
      <c r="L45" s="13" t="s">
        <v>257</v>
      </c>
      <c r="M45" s="135" t="s">
        <v>266</v>
      </c>
    </row>
    <row r="46" spans="1:14" s="8" customFormat="1" x14ac:dyDescent="0.35">
      <c r="A46" s="13" t="s">
        <v>315</v>
      </c>
      <c r="B46" s="13"/>
      <c r="C46" s="14"/>
      <c r="D46" s="14"/>
      <c r="E46" s="14">
        <v>4100</v>
      </c>
      <c r="G46" s="8">
        <v>2016</v>
      </c>
      <c r="H46" s="33"/>
      <c r="I46" s="22">
        <f>E46/inflation_gdp!$Q$7</f>
        <v>3704.0383051766194</v>
      </c>
      <c r="K46" s="141"/>
      <c r="L46" s="13" t="s">
        <v>317</v>
      </c>
      <c r="M46" s="135" t="s">
        <v>266</v>
      </c>
    </row>
    <row r="47" spans="1:14" s="8" customFormat="1" x14ac:dyDescent="0.35">
      <c r="A47" s="13" t="s">
        <v>315</v>
      </c>
      <c r="B47" s="13"/>
      <c r="C47" s="14"/>
      <c r="D47" s="14"/>
      <c r="E47" s="14">
        <v>5300</v>
      </c>
      <c r="G47" s="8">
        <v>2016</v>
      </c>
      <c r="H47" s="34" t="s">
        <v>322</v>
      </c>
      <c r="I47" s="22">
        <f>E47/inflation_gdp!$Q$7</f>
        <v>4788.1470774234349</v>
      </c>
      <c r="J47" s="134">
        <v>99.81</v>
      </c>
      <c r="K47" s="141">
        <f t="shared" si="3"/>
        <v>4797.2618749859084</v>
      </c>
      <c r="L47" s="13" t="s">
        <v>316</v>
      </c>
      <c r="M47" s="135" t="s">
        <v>266</v>
      </c>
    </row>
    <row r="48" spans="1:14" s="8" customFormat="1" x14ac:dyDescent="0.35">
      <c r="A48" s="13" t="s">
        <v>318</v>
      </c>
      <c r="B48" s="13"/>
      <c r="C48" s="14"/>
      <c r="D48" s="14">
        <v>5000</v>
      </c>
      <c r="E48" s="14">
        <v>14000</v>
      </c>
      <c r="G48" s="8">
        <v>2016</v>
      </c>
      <c r="H48" s="34" t="s">
        <v>323</v>
      </c>
      <c r="I48" s="22">
        <f>E48/inflation_gdp!$Q$7</f>
        <v>12647.935676212846</v>
      </c>
      <c r="J48" s="141">
        <v>112.48519026947474</v>
      </c>
      <c r="K48" s="141">
        <f t="shared" ref="K48:K55" si="4">I48*(100/J48)</f>
        <v>11244.08968497352</v>
      </c>
      <c r="L48" s="13" t="s">
        <v>27</v>
      </c>
      <c r="M48" s="135" t="s">
        <v>266</v>
      </c>
    </row>
    <row r="49" spans="1:16" s="8" customFormat="1" x14ac:dyDescent="0.35">
      <c r="A49" s="13" t="s">
        <v>318</v>
      </c>
      <c r="B49" s="13"/>
      <c r="C49" s="14"/>
      <c r="D49" s="14"/>
      <c r="E49" s="14">
        <v>1900</v>
      </c>
      <c r="G49" s="8">
        <v>2016</v>
      </c>
      <c r="H49" s="33"/>
      <c r="I49" s="22">
        <f>E49/inflation_gdp!$Q$7</f>
        <v>1716.5055560574579</v>
      </c>
      <c r="J49" s="134">
        <v>99.81</v>
      </c>
      <c r="K49" s="141">
        <f t="shared" si="4"/>
        <v>1719.7731249949484</v>
      </c>
      <c r="L49" s="13" t="s">
        <v>316</v>
      </c>
      <c r="M49" s="135" t="s">
        <v>266</v>
      </c>
    </row>
    <row r="50" spans="1:16" s="8" customFormat="1" x14ac:dyDescent="0.35">
      <c r="A50" s="13" t="s">
        <v>319</v>
      </c>
      <c r="B50" s="13"/>
      <c r="C50" s="14"/>
      <c r="D50" s="14">
        <v>100</v>
      </c>
      <c r="E50" s="14">
        <v>200</v>
      </c>
      <c r="G50" s="8">
        <v>2016</v>
      </c>
      <c r="H50" s="33"/>
      <c r="I50" s="22">
        <f>E50/inflation_gdp!$Q$7</f>
        <v>180.68479537446925</v>
      </c>
      <c r="K50" s="141"/>
      <c r="L50" s="13" t="s">
        <v>324</v>
      </c>
      <c r="M50" s="135" t="s">
        <v>266</v>
      </c>
    </row>
    <row r="51" spans="1:16" s="8" customFormat="1" x14ac:dyDescent="0.35">
      <c r="A51" s="13" t="s">
        <v>318</v>
      </c>
      <c r="B51" s="13"/>
      <c r="C51" s="14"/>
      <c r="D51" s="14">
        <v>1</v>
      </c>
      <c r="E51" s="14">
        <v>1700</v>
      </c>
      <c r="G51" s="8">
        <v>2016</v>
      </c>
      <c r="H51" s="33"/>
      <c r="I51" s="22">
        <f>E51/inflation_gdp!$Q$7</f>
        <v>1535.8207606829885</v>
      </c>
      <c r="K51" s="141"/>
      <c r="L51" s="13" t="s">
        <v>276</v>
      </c>
      <c r="M51" s="135" t="s">
        <v>266</v>
      </c>
    </row>
    <row r="52" spans="1:16" s="8" customFormat="1" x14ac:dyDescent="0.35">
      <c r="A52" s="13" t="s">
        <v>318</v>
      </c>
      <c r="B52" s="13"/>
      <c r="C52" s="14"/>
      <c r="D52" s="14">
        <v>3400</v>
      </c>
      <c r="E52" s="14">
        <v>3900</v>
      </c>
      <c r="G52" s="8">
        <v>2016</v>
      </c>
      <c r="H52" s="33"/>
      <c r="I52" s="22">
        <f>E52/inflation_gdp!$Q$7</f>
        <v>3523.3535098021503</v>
      </c>
      <c r="K52" s="141"/>
      <c r="L52" s="13" t="s">
        <v>325</v>
      </c>
      <c r="M52" s="135" t="s">
        <v>266</v>
      </c>
    </row>
    <row r="53" spans="1:16" s="8" customFormat="1" x14ac:dyDescent="0.35">
      <c r="A53" s="13" t="s">
        <v>320</v>
      </c>
      <c r="B53" s="13"/>
      <c r="C53" s="14"/>
      <c r="D53" s="14"/>
      <c r="E53" s="14">
        <v>5600</v>
      </c>
      <c r="G53" s="8">
        <v>2016</v>
      </c>
      <c r="H53" s="33"/>
      <c r="I53" s="22">
        <f>E53/inflation_gdp!$Q$7</f>
        <v>5059.1742704851385</v>
      </c>
      <c r="J53" s="134">
        <v>99.81</v>
      </c>
      <c r="K53" s="141">
        <f t="shared" si="4"/>
        <v>5068.804999985111</v>
      </c>
      <c r="L53" s="13" t="s">
        <v>257</v>
      </c>
      <c r="M53" s="135" t="s">
        <v>266</v>
      </c>
    </row>
    <row r="54" spans="1:16" s="8" customFormat="1" x14ac:dyDescent="0.35">
      <c r="A54" s="13" t="s">
        <v>321</v>
      </c>
      <c r="B54" s="13"/>
      <c r="C54" s="14"/>
      <c r="D54" s="14"/>
      <c r="E54" s="14">
        <v>13800</v>
      </c>
      <c r="G54" s="8">
        <v>2016</v>
      </c>
      <c r="H54" s="34" t="s">
        <v>322</v>
      </c>
      <c r="I54" s="22">
        <f>E54/inflation_gdp!$Q$7</f>
        <v>12467.250880838377</v>
      </c>
      <c r="J54" s="134">
        <v>99.81</v>
      </c>
      <c r="K54" s="141">
        <f t="shared" si="4"/>
        <v>12490.983749963309</v>
      </c>
      <c r="L54" s="13" t="s">
        <v>257</v>
      </c>
      <c r="M54" s="135" t="s">
        <v>266</v>
      </c>
    </row>
    <row r="55" spans="1:16" s="8" customFormat="1" x14ac:dyDescent="0.35">
      <c r="A55" s="13" t="s">
        <v>321</v>
      </c>
      <c r="B55" s="13"/>
      <c r="C55" s="14"/>
      <c r="D55" s="14"/>
      <c r="E55" s="14">
        <v>29300</v>
      </c>
      <c r="G55" s="8">
        <v>2016</v>
      </c>
      <c r="H55" s="34" t="s">
        <v>322</v>
      </c>
      <c r="I55" s="22">
        <f>E55/inflation_gdp!$Q$7</f>
        <v>26470.322522359744</v>
      </c>
      <c r="J55" s="134">
        <v>99.81</v>
      </c>
      <c r="K55" s="141">
        <f t="shared" si="4"/>
        <v>26520.711874922097</v>
      </c>
      <c r="L55" s="13" t="s">
        <v>257</v>
      </c>
      <c r="M55" s="135" t="s">
        <v>266</v>
      </c>
    </row>
    <row r="56" spans="1:16" x14ac:dyDescent="0.35">
      <c r="K56" s="122">
        <f>AVERAGE(K38:K55)</f>
        <v>7215.8735760320424</v>
      </c>
    </row>
    <row r="57" spans="1:16" s="1" customFormat="1" ht="59" x14ac:dyDescent="0.45">
      <c r="A57" s="75" t="s">
        <v>352</v>
      </c>
      <c r="B57" s="76" t="s">
        <v>59</v>
      </c>
      <c r="C57" s="76" t="s">
        <v>245</v>
      </c>
      <c r="D57" s="76" t="s">
        <v>60</v>
      </c>
      <c r="E57" s="76" t="s">
        <v>301</v>
      </c>
      <c r="F57" s="76" t="s">
        <v>300</v>
      </c>
      <c r="G57" s="76" t="s">
        <v>12</v>
      </c>
      <c r="H57" s="76" t="s">
        <v>288</v>
      </c>
      <c r="I57" s="76" t="s">
        <v>253</v>
      </c>
      <c r="J57" s="76" t="s">
        <v>292</v>
      </c>
      <c r="K57" s="76" t="s">
        <v>293</v>
      </c>
      <c r="L57" s="76" t="s">
        <v>0</v>
      </c>
      <c r="M57" s="76" t="s">
        <v>370</v>
      </c>
      <c r="N57" s="76" t="s">
        <v>79</v>
      </c>
    </row>
    <row r="58" spans="1:16" s="8" customFormat="1" x14ac:dyDescent="0.35">
      <c r="A58" s="53" t="s">
        <v>241</v>
      </c>
      <c r="B58" s="53"/>
      <c r="C58" s="55"/>
      <c r="D58" s="53"/>
      <c r="E58" s="77"/>
      <c r="F58" s="77"/>
      <c r="G58" s="77"/>
      <c r="H58" s="53" t="s">
        <v>242</v>
      </c>
      <c r="I58" s="53"/>
      <c r="J58" s="81">
        <v>108.49249610469384</v>
      </c>
      <c r="K58" s="81"/>
      <c r="L58" s="78" t="s">
        <v>17</v>
      </c>
      <c r="M58" s="53" t="s">
        <v>102</v>
      </c>
      <c r="N58" s="53" t="s">
        <v>235</v>
      </c>
    </row>
    <row r="59" spans="1:16" s="8" customFormat="1" x14ac:dyDescent="0.35">
      <c r="A59" s="54" t="s">
        <v>222</v>
      </c>
      <c r="B59" s="53"/>
      <c r="C59" s="53"/>
      <c r="D59" s="53"/>
      <c r="E59" s="79">
        <v>5.3</v>
      </c>
      <c r="F59" s="53"/>
      <c r="G59" s="53"/>
      <c r="H59" s="53"/>
      <c r="I59" s="56"/>
      <c r="J59" s="81">
        <v>108.49249610469384</v>
      </c>
      <c r="K59" s="81"/>
      <c r="L59" s="78" t="s">
        <v>17</v>
      </c>
      <c r="M59" s="53" t="s">
        <v>111</v>
      </c>
      <c r="N59" s="80">
        <f>AVERAGE(N60:N63,N69:N70)</f>
        <v>3.9065086532984452</v>
      </c>
    </row>
    <row r="60" spans="1:16" x14ac:dyDescent="0.35">
      <c r="A60" s="53" t="s">
        <v>214</v>
      </c>
      <c r="B60" s="54">
        <v>1.0900000000000001</v>
      </c>
      <c r="C60" s="53">
        <v>15.09</v>
      </c>
      <c r="D60" s="53">
        <v>6.03</v>
      </c>
      <c r="E60" s="77">
        <f>C60/B60</f>
        <v>13.844036697247706</v>
      </c>
      <c r="F60" s="77">
        <f>C60/D60</f>
        <v>2.5024875621890548</v>
      </c>
      <c r="G60" s="77"/>
      <c r="H60" s="53"/>
      <c r="I60" s="56">
        <v>2.5024875621890548</v>
      </c>
      <c r="J60" s="56">
        <v>97.711324830468982</v>
      </c>
      <c r="K60" s="81">
        <f t="shared" ref="K60:K76" si="5">I60*(100/J60)</f>
        <v>2.5611028880540903</v>
      </c>
      <c r="L60" s="53" t="s">
        <v>51</v>
      </c>
      <c r="M60" s="54" t="s">
        <v>62</v>
      </c>
      <c r="N60" s="80">
        <f>D60/B60</f>
        <v>5.5321100917431192</v>
      </c>
      <c r="O60" s="8" t="s">
        <v>231</v>
      </c>
      <c r="P60" s="8"/>
    </row>
    <row r="61" spans="1:16" x14ac:dyDescent="0.35">
      <c r="A61" s="53" t="s">
        <v>214</v>
      </c>
      <c r="B61" s="54">
        <v>1.21</v>
      </c>
      <c r="C61" s="53">
        <v>8</v>
      </c>
      <c r="D61" s="53">
        <v>2.4700000000000002</v>
      </c>
      <c r="E61" s="77">
        <f>C61/B61</f>
        <v>6.6115702479338845</v>
      </c>
      <c r="F61" s="77">
        <f>C61/D61</f>
        <v>3.2388663967611335</v>
      </c>
      <c r="G61" s="77"/>
      <c r="H61" s="53"/>
      <c r="I61" s="56">
        <v>3.2388663967611335</v>
      </c>
      <c r="J61" s="56">
        <v>97.711324830468982</v>
      </c>
      <c r="K61" s="81">
        <f t="shared" si="5"/>
        <v>3.3147297945050163</v>
      </c>
      <c r="L61" s="53" t="s">
        <v>51</v>
      </c>
      <c r="M61" s="54" t="s">
        <v>62</v>
      </c>
      <c r="N61" s="80">
        <f>D61/B61</f>
        <v>2.0413223140495869</v>
      </c>
      <c r="O61" s="8" t="s">
        <v>231</v>
      </c>
    </row>
    <row r="62" spans="1:16" x14ac:dyDescent="0.35">
      <c r="A62" s="53" t="s">
        <v>214</v>
      </c>
      <c r="B62" s="54">
        <v>1.37</v>
      </c>
      <c r="C62" s="53">
        <v>25</v>
      </c>
      <c r="D62" s="53">
        <v>6.6</v>
      </c>
      <c r="E62" s="77">
        <f>C62/B62</f>
        <v>18.248175182481749</v>
      </c>
      <c r="F62" s="77">
        <f>C62/D62</f>
        <v>3.7878787878787881</v>
      </c>
      <c r="G62" s="77"/>
      <c r="H62" s="53"/>
      <c r="I62" s="56">
        <v>3.7878787878787881</v>
      </c>
      <c r="J62" s="56">
        <v>97.711324830468982</v>
      </c>
      <c r="K62" s="81">
        <f t="shared" si="5"/>
        <v>3.8766016062629691</v>
      </c>
      <c r="L62" s="53" t="s">
        <v>51</v>
      </c>
      <c r="M62" s="54" t="s">
        <v>62</v>
      </c>
      <c r="N62" s="80">
        <f>D62/B62</f>
        <v>4.8175182481751815</v>
      </c>
      <c r="O62" s="8" t="s">
        <v>231</v>
      </c>
    </row>
    <row r="63" spans="1:16" x14ac:dyDescent="0.35">
      <c r="A63" s="53" t="s">
        <v>214</v>
      </c>
      <c r="B63" s="54">
        <v>1.34</v>
      </c>
      <c r="C63" s="53">
        <v>25.24</v>
      </c>
      <c r="D63" s="53">
        <v>6.7</v>
      </c>
      <c r="E63" s="77">
        <f>C63/B63</f>
        <v>18.835820895522385</v>
      </c>
      <c r="F63" s="77">
        <f>C63/D63</f>
        <v>3.7671641791044772</v>
      </c>
      <c r="G63" s="77"/>
      <c r="H63" s="53"/>
      <c r="I63" s="56">
        <v>3.7671641791044772</v>
      </c>
      <c r="J63" s="56">
        <v>97.711324830468982</v>
      </c>
      <c r="K63" s="81">
        <f t="shared" si="5"/>
        <v>3.8554018028520018</v>
      </c>
      <c r="L63" s="53" t="s">
        <v>51</v>
      </c>
      <c r="M63" s="54" t="s">
        <v>62</v>
      </c>
      <c r="N63" s="80">
        <f>D63/B63</f>
        <v>5</v>
      </c>
      <c r="O63" s="8" t="s">
        <v>231</v>
      </c>
    </row>
    <row r="64" spans="1:16" s="8" customFormat="1" x14ac:dyDescent="0.35">
      <c r="A64" s="53" t="s">
        <v>213</v>
      </c>
      <c r="B64" s="53"/>
      <c r="C64" s="53"/>
      <c r="D64" s="53"/>
      <c r="E64" s="81">
        <v>36.057299999999998</v>
      </c>
      <c r="F64" s="77">
        <f>E64/3</f>
        <v>12.0191</v>
      </c>
      <c r="G64" s="77"/>
      <c r="H64" s="53"/>
      <c r="I64" s="56">
        <f>F64*inflation_gdp!$F$3</f>
        <v>14.862339407192355</v>
      </c>
      <c r="J64" s="81">
        <v>109.33308117077252</v>
      </c>
      <c r="K64" s="81">
        <f t="shared" si="5"/>
        <v>13.593634468215674</v>
      </c>
      <c r="L64" s="53" t="s">
        <v>3</v>
      </c>
      <c r="M64" s="53" t="s">
        <v>111</v>
      </c>
      <c r="N64" s="80" t="s">
        <v>327</v>
      </c>
    </row>
    <row r="65" spans="1:15" s="8" customFormat="1" x14ac:dyDescent="0.35">
      <c r="A65" s="53" t="s">
        <v>213</v>
      </c>
      <c r="B65" s="53"/>
      <c r="C65" s="53"/>
      <c r="D65" s="53"/>
      <c r="E65" s="81">
        <v>13.654199999999999</v>
      </c>
      <c r="F65" s="77">
        <f>E65/3</f>
        <v>4.5514000000000001</v>
      </c>
      <c r="G65" s="77"/>
      <c r="H65" s="53"/>
      <c r="I65" s="56">
        <f>F65*inflation_gdp!$K$3</f>
        <v>5.0142834152221658</v>
      </c>
      <c r="J65" s="81">
        <v>108.49249610469384</v>
      </c>
      <c r="K65" s="81">
        <f t="shared" si="5"/>
        <v>4.6217790126088056</v>
      </c>
      <c r="L65" s="53" t="s">
        <v>17</v>
      </c>
      <c r="M65" s="53" t="s">
        <v>111</v>
      </c>
      <c r="N65" s="80" t="s">
        <v>327</v>
      </c>
    </row>
    <row r="66" spans="1:15" s="8" customFormat="1" x14ac:dyDescent="0.35">
      <c r="A66" s="53" t="s">
        <v>114</v>
      </c>
      <c r="B66" s="53"/>
      <c r="C66" s="53"/>
      <c r="D66" s="53"/>
      <c r="E66" s="81">
        <v>0.5</v>
      </c>
      <c r="F66" s="77">
        <f>E66/3</f>
        <v>0.16666666666666666</v>
      </c>
      <c r="G66" s="77"/>
      <c r="H66" s="53"/>
      <c r="I66" s="56">
        <f>F66*inflation_gdp!$J$3</f>
        <v>0.18545305654576566</v>
      </c>
      <c r="J66" s="56">
        <v>60</v>
      </c>
      <c r="K66" s="81">
        <f t="shared" si="5"/>
        <v>0.30908842757627614</v>
      </c>
      <c r="L66" s="53" t="s">
        <v>110</v>
      </c>
      <c r="M66" s="53" t="s">
        <v>111</v>
      </c>
      <c r="N66" s="80" t="s">
        <v>327</v>
      </c>
    </row>
    <row r="67" spans="1:15" s="8" customFormat="1" x14ac:dyDescent="0.35">
      <c r="A67" s="53" t="s">
        <v>114</v>
      </c>
      <c r="B67" s="53"/>
      <c r="C67" s="82">
        <v>10550</v>
      </c>
      <c r="D67" s="53"/>
      <c r="E67" s="53"/>
      <c r="F67" s="53"/>
      <c r="G67" s="53"/>
      <c r="H67" s="83">
        <v>3.5000000000000001E-3</v>
      </c>
      <c r="I67" s="53"/>
      <c r="J67" s="81">
        <v>109.33308117077252</v>
      </c>
      <c r="K67" s="81"/>
      <c r="L67" s="53" t="s">
        <v>3</v>
      </c>
      <c r="M67" s="53" t="s">
        <v>111</v>
      </c>
      <c r="N67" s="53" t="s">
        <v>134</v>
      </c>
    </row>
    <row r="68" spans="1:15" x14ac:dyDescent="0.35">
      <c r="A68" s="53" t="s">
        <v>175</v>
      </c>
      <c r="B68" s="54"/>
      <c r="C68" s="55">
        <v>1895</v>
      </c>
      <c r="D68" s="53">
        <v>437</v>
      </c>
      <c r="E68" s="77"/>
      <c r="F68" s="77">
        <f>C68/D68</f>
        <v>4.3363844393592679</v>
      </c>
      <c r="G68" s="77"/>
      <c r="H68" s="53"/>
      <c r="I68" s="56">
        <f>F68*inflation_gdp!$E$3</f>
        <v>5.4855305419369955</v>
      </c>
      <c r="J68" s="81">
        <v>109.33308117077252</v>
      </c>
      <c r="K68" s="81">
        <f t="shared" si="5"/>
        <v>5.0172651160986543</v>
      </c>
      <c r="L68" s="54" t="s">
        <v>3</v>
      </c>
      <c r="M68" s="53" t="s">
        <v>191</v>
      </c>
      <c r="N68" s="80"/>
      <c r="O68" s="8"/>
    </row>
    <row r="69" spans="1:15" x14ac:dyDescent="0.35">
      <c r="A69" s="54" t="s">
        <v>180</v>
      </c>
      <c r="B69" s="53">
        <v>2.5</v>
      </c>
      <c r="C69" s="55">
        <v>35.799999999999997</v>
      </c>
      <c r="D69" s="55">
        <v>8</v>
      </c>
      <c r="E69" s="77">
        <f>C69/B69</f>
        <v>14.319999999999999</v>
      </c>
      <c r="F69" s="77">
        <f>C69/D69</f>
        <v>4.4749999999999996</v>
      </c>
      <c r="G69" s="77"/>
      <c r="H69" s="53"/>
      <c r="I69" s="56">
        <f>F69*inflation_gdp!$E$3</f>
        <v>5.6608793612392816</v>
      </c>
      <c r="J69" s="81">
        <v>109.33308117077252</v>
      </c>
      <c r="K69" s="81">
        <f t="shared" si="5"/>
        <v>5.1776455036488782</v>
      </c>
      <c r="L69" s="54" t="s">
        <v>3</v>
      </c>
      <c r="M69" s="53" t="s">
        <v>191</v>
      </c>
      <c r="N69" s="80">
        <f>D69/B69</f>
        <v>3.2</v>
      </c>
      <c r="O69" s="8" t="s">
        <v>231</v>
      </c>
    </row>
    <row r="70" spans="1:15" x14ac:dyDescent="0.35">
      <c r="A70" s="54" t="s">
        <v>181</v>
      </c>
      <c r="B70" s="53">
        <v>1.58</v>
      </c>
      <c r="C70" s="55">
        <v>19.2</v>
      </c>
      <c r="D70" s="55">
        <v>4.5</v>
      </c>
      <c r="E70" s="77">
        <f>C70/B70</f>
        <v>12.151898734177214</v>
      </c>
      <c r="F70" s="77">
        <f>C70/D70</f>
        <v>4.2666666666666666</v>
      </c>
      <c r="G70" s="77"/>
      <c r="H70" s="53"/>
      <c r="I70" s="56">
        <f>F70*inflation_gdp!$E$3</f>
        <v>5.3973374915354055</v>
      </c>
      <c r="J70" s="81">
        <v>109.33308117077252</v>
      </c>
      <c r="K70" s="81">
        <f t="shared" si="5"/>
        <v>4.9366005546894343</v>
      </c>
      <c r="L70" s="54" t="s">
        <v>3</v>
      </c>
      <c r="M70" s="53" t="s">
        <v>191</v>
      </c>
      <c r="N70" s="80">
        <f>D70/B70</f>
        <v>2.8481012658227849</v>
      </c>
      <c r="O70" s="8" t="s">
        <v>231</v>
      </c>
    </row>
    <row r="71" spans="1:15" x14ac:dyDescent="0.35">
      <c r="A71" s="54" t="s">
        <v>182</v>
      </c>
      <c r="B71" s="54"/>
      <c r="C71" s="55">
        <v>1.0249999999999999</v>
      </c>
      <c r="D71" s="56">
        <v>0.5</v>
      </c>
      <c r="E71" s="77"/>
      <c r="F71" s="77">
        <f>C71/D71</f>
        <v>2.0499999999999998</v>
      </c>
      <c r="G71" s="77"/>
      <c r="H71" s="53"/>
      <c r="I71" s="56">
        <f>F71*inflation_gdp!$E$3</f>
        <v>2.5932519978861515</v>
      </c>
      <c r="J71" s="81">
        <v>109.33308117077252</v>
      </c>
      <c r="K71" s="81">
        <f t="shared" si="5"/>
        <v>2.3718822977609388</v>
      </c>
      <c r="L71" s="54" t="s">
        <v>3</v>
      </c>
      <c r="M71" s="53" t="s">
        <v>191</v>
      </c>
      <c r="N71" s="80"/>
      <c r="O71" s="8"/>
    </row>
    <row r="72" spans="1:15" x14ac:dyDescent="0.35">
      <c r="A72" s="53" t="s">
        <v>188</v>
      </c>
      <c r="B72" s="54"/>
      <c r="C72" s="55">
        <v>7</v>
      </c>
      <c r="D72" s="56">
        <v>1.4</v>
      </c>
      <c r="E72" s="77"/>
      <c r="F72" s="77">
        <f>C72/D72</f>
        <v>5</v>
      </c>
      <c r="G72" s="77"/>
      <c r="H72" s="53"/>
      <c r="I72" s="56">
        <f>F72*inflation_gdp!$E$3</f>
        <v>6.3250048728930528</v>
      </c>
      <c r="J72" s="56">
        <v>104.66872959278555</v>
      </c>
      <c r="K72" s="81">
        <f t="shared" si="5"/>
        <v>6.0428791841656331</v>
      </c>
      <c r="L72" s="54" t="s">
        <v>37</v>
      </c>
      <c r="M72" s="53" t="s">
        <v>191</v>
      </c>
      <c r="N72" s="80"/>
      <c r="O72" s="8"/>
    </row>
    <row r="73" spans="1:15" x14ac:dyDescent="0.35">
      <c r="A73" s="53" t="s">
        <v>190</v>
      </c>
      <c r="B73" s="53">
        <v>10</v>
      </c>
      <c r="C73" s="55">
        <v>15</v>
      </c>
      <c r="D73" s="53"/>
      <c r="E73" s="77">
        <f>C73/B73</f>
        <v>1.5</v>
      </c>
      <c r="F73" s="77">
        <f>E73/3</f>
        <v>0.5</v>
      </c>
      <c r="G73" s="77"/>
      <c r="H73" s="53"/>
      <c r="I73" s="56">
        <f>F73*inflation_gdp!$E$3</f>
        <v>0.6325004872893053</v>
      </c>
      <c r="J73" s="56">
        <v>104.66872959278555</v>
      </c>
      <c r="K73" s="81">
        <f t="shared" si="5"/>
        <v>0.60428791841656337</v>
      </c>
      <c r="L73" s="54" t="s">
        <v>37</v>
      </c>
      <c r="M73" s="53" t="s">
        <v>191</v>
      </c>
      <c r="N73" s="80" t="s">
        <v>327</v>
      </c>
      <c r="O73" s="8"/>
    </row>
    <row r="74" spans="1:15" x14ac:dyDescent="0.35">
      <c r="A74" s="53" t="s">
        <v>178</v>
      </c>
      <c r="B74" s="55">
        <v>1160</v>
      </c>
      <c r="C74" s="55">
        <v>680</v>
      </c>
      <c r="D74" s="54"/>
      <c r="E74" s="77">
        <f>C74/B74</f>
        <v>0.58620689655172409</v>
      </c>
      <c r="F74" s="77">
        <f>E74/2</f>
        <v>0.29310344827586204</v>
      </c>
      <c r="G74" s="77"/>
      <c r="H74" s="53"/>
      <c r="I74" s="56">
        <f>F74*inflation_gdp!$E$3</f>
        <v>0.3707761477213169</v>
      </c>
      <c r="J74" s="81">
        <v>109.33308117077252</v>
      </c>
      <c r="K74" s="81">
        <f t="shared" si="5"/>
        <v>0.339125307501564</v>
      </c>
      <c r="L74" s="54" t="s">
        <v>3</v>
      </c>
      <c r="M74" s="53" t="s">
        <v>191</v>
      </c>
      <c r="N74" s="80" t="s">
        <v>328</v>
      </c>
      <c r="O74" s="8"/>
    </row>
    <row r="75" spans="1:15" x14ac:dyDescent="0.35">
      <c r="A75" s="53" t="s">
        <v>189</v>
      </c>
      <c r="B75" s="54"/>
      <c r="C75" s="55">
        <v>3</v>
      </c>
      <c r="D75" s="53">
        <v>6</v>
      </c>
      <c r="E75" s="77"/>
      <c r="F75" s="77">
        <f>C75/D75</f>
        <v>0.5</v>
      </c>
      <c r="G75" s="77"/>
      <c r="H75" s="53"/>
      <c r="I75" s="56">
        <f>F75*inflation_gdp!$E$3</f>
        <v>0.6325004872893053</v>
      </c>
      <c r="J75" s="56">
        <v>104.66872959278555</v>
      </c>
      <c r="K75" s="81">
        <f t="shared" si="5"/>
        <v>0.60428791841656337</v>
      </c>
      <c r="L75" s="54" t="s">
        <v>37</v>
      </c>
      <c r="M75" s="53" t="s">
        <v>191</v>
      </c>
      <c r="N75" s="80"/>
      <c r="O75" s="8"/>
    </row>
    <row r="76" spans="1:15" s="8" customFormat="1" x14ac:dyDescent="0.35">
      <c r="A76" s="53" t="s">
        <v>287</v>
      </c>
      <c r="B76" s="53">
        <v>8.6999999999999993</v>
      </c>
      <c r="C76" s="84">
        <v>98</v>
      </c>
      <c r="D76" s="53">
        <v>32</v>
      </c>
      <c r="E76" s="47">
        <f t="shared" ref="E76" si="6">C76/B76</f>
        <v>11.264367816091955</v>
      </c>
      <c r="F76" s="85">
        <f>C76/D76</f>
        <v>3.0625</v>
      </c>
      <c r="G76" s="86">
        <v>2015</v>
      </c>
      <c r="H76" s="53"/>
      <c r="I76" s="56">
        <f>F76/inflation_gdp!P7</f>
        <v>2.7602523659305995</v>
      </c>
      <c r="J76" s="81">
        <v>109.33308117077252</v>
      </c>
      <c r="K76" s="81">
        <f t="shared" si="5"/>
        <v>2.5246268891107446</v>
      </c>
      <c r="L76" s="54" t="s">
        <v>3</v>
      </c>
      <c r="M76" s="78" t="s">
        <v>266</v>
      </c>
      <c r="N76" s="80">
        <f>D76/B76</f>
        <v>3.6781609195402303</v>
      </c>
      <c r="O76" s="8" t="s">
        <v>231</v>
      </c>
    </row>
    <row r="77" spans="1:15" s="53" customFormat="1" x14ac:dyDescent="0.35">
      <c r="A77" s="57" t="s">
        <v>338</v>
      </c>
      <c r="B77" s="54"/>
      <c r="C77" s="55"/>
      <c r="D77" s="112"/>
      <c r="E77" s="112"/>
      <c r="F77" s="112"/>
      <c r="G77" s="137"/>
      <c r="H77" s="137"/>
      <c r="I77" s="121">
        <f>AVERAGE(I51:I64,I66:I75)</f>
        <v>2584.808627102414</v>
      </c>
      <c r="J77" s="112"/>
      <c r="K77" s="139">
        <f>AVERAGE(K60:K76)</f>
        <v>3.7344336681177372</v>
      </c>
      <c r="L77" s="139">
        <f>MEDIAN(K60:K76)</f>
        <v>3.5850657986785093</v>
      </c>
      <c r="N77" s="112">
        <f>AVERAGE(N59:N76)</f>
        <v>3.8779651865786682</v>
      </c>
      <c r="O77" s="10" t="s">
        <v>339</v>
      </c>
    </row>
    <row r="78" spans="1:15" s="53" customFormat="1" x14ac:dyDescent="0.35">
      <c r="A78" s="57" t="s">
        <v>335</v>
      </c>
      <c r="B78" s="54"/>
      <c r="C78" s="55"/>
      <c r="D78" s="112"/>
      <c r="E78" s="112"/>
      <c r="F78" s="112"/>
      <c r="G78" s="137"/>
      <c r="H78" s="137"/>
      <c r="I78" s="121"/>
      <c r="J78" s="112"/>
      <c r="K78" s="139">
        <f>_xlfn.PERCENTILE.EXC(K58:K76,0.25)</f>
        <v>1.0461865132526573</v>
      </c>
      <c r="L78" s="139">
        <f>_xlfn.PERCENTILE.EXC(K58:K76,0.75)</f>
        <v>4.9970989757463489</v>
      </c>
      <c r="M78" s="139">
        <f>_xlfn.STDEV.S(K60:K76)</f>
        <v>3.2275736902390935</v>
      </c>
    </row>
    <row r="79" spans="1:15" s="8" customFormat="1" ht="15" customHeight="1" x14ac:dyDescent="0.35">
      <c r="A79" s="57" t="s">
        <v>333</v>
      </c>
      <c r="B79" s="54"/>
      <c r="C79" s="53"/>
      <c r="D79" s="53"/>
      <c r="E79" s="112"/>
      <c r="F79" s="112"/>
      <c r="G79" s="94"/>
      <c r="H79" s="53"/>
      <c r="I79" s="112"/>
      <c r="J79" s="112"/>
      <c r="K79" s="112">
        <f>COUNT(K60:K76)</f>
        <v>16</v>
      </c>
      <c r="L79" s="112"/>
      <c r="M79" s="53"/>
      <c r="N79" s="53"/>
    </row>
    <row r="80" spans="1:15" s="8" customFormat="1" ht="15" customHeight="1" x14ac:dyDescent="0.35">
      <c r="A80" s="57"/>
      <c r="B80" s="54"/>
      <c r="C80" s="53"/>
      <c r="D80" s="53"/>
      <c r="E80" s="112"/>
      <c r="F80" s="112"/>
      <c r="G80" s="94"/>
      <c r="H80" s="53"/>
      <c r="I80" s="112"/>
      <c r="J80" s="112"/>
      <c r="K80" s="112"/>
      <c r="L80" s="112"/>
      <c r="M80" s="53"/>
      <c r="N80" s="53"/>
    </row>
    <row r="81" spans="1:15" s="6" customFormat="1" ht="30" x14ac:dyDescent="0.45">
      <c r="A81" s="30" t="s">
        <v>294</v>
      </c>
      <c r="B81" s="36"/>
      <c r="E81" s="113"/>
      <c r="F81" s="116"/>
      <c r="G81" s="116"/>
      <c r="I81" s="116"/>
      <c r="J81" s="116"/>
      <c r="K81" s="116"/>
      <c r="L81" s="114"/>
    </row>
    <row r="82" spans="1:15" s="8" customFormat="1" x14ac:dyDescent="0.35">
      <c r="A82" s="53" t="s">
        <v>287</v>
      </c>
      <c r="B82" s="53">
        <v>26</v>
      </c>
      <c r="C82" s="84">
        <v>429</v>
      </c>
      <c r="D82" s="53">
        <v>373</v>
      </c>
      <c r="E82" s="77">
        <f>C82/B82</f>
        <v>16.5</v>
      </c>
      <c r="F82" s="85">
        <f>C82/D82</f>
        <v>1.1501340482573728</v>
      </c>
      <c r="G82" s="86">
        <v>2005</v>
      </c>
      <c r="H82" s="84">
        <v>5</v>
      </c>
      <c r="I82" s="56">
        <f>F82*inflation_gdp!F$3/inflation_gdp!F$7</f>
        <v>1.1469434395528801</v>
      </c>
      <c r="J82" s="56"/>
      <c r="K82" s="56"/>
      <c r="L82" s="54" t="s">
        <v>289</v>
      </c>
      <c r="M82" s="78" t="s">
        <v>267</v>
      </c>
      <c r="N82" s="80"/>
    </row>
    <row r="83" spans="1:15" x14ac:dyDescent="0.35">
      <c r="A83" s="53" t="s">
        <v>199</v>
      </c>
      <c r="B83" s="54"/>
      <c r="C83" s="53"/>
      <c r="D83" s="57"/>
      <c r="E83" s="53"/>
      <c r="F83" s="53">
        <v>305</v>
      </c>
      <c r="G83" s="53"/>
      <c r="H83" s="53"/>
      <c r="I83" s="56"/>
      <c r="J83" s="56"/>
      <c r="K83" s="56"/>
      <c r="L83" s="54" t="s">
        <v>26</v>
      </c>
      <c r="M83" s="53" t="s">
        <v>94</v>
      </c>
      <c r="N83" s="80" t="s">
        <v>254</v>
      </c>
      <c r="O83" s="8"/>
    </row>
    <row r="84" spans="1:15" s="8" customFormat="1" x14ac:dyDescent="0.35">
      <c r="A84" s="53" t="s">
        <v>200</v>
      </c>
      <c r="B84" s="54"/>
      <c r="C84" s="53"/>
      <c r="D84" s="57"/>
      <c r="E84" s="53"/>
      <c r="F84" s="53">
        <v>206</v>
      </c>
      <c r="G84" s="53"/>
      <c r="H84" s="53"/>
      <c r="I84" s="56"/>
      <c r="J84" s="56"/>
      <c r="K84" s="56"/>
      <c r="L84" s="54" t="s">
        <v>26</v>
      </c>
      <c r="M84" s="53" t="s">
        <v>94</v>
      </c>
      <c r="N84" s="80" t="s">
        <v>254</v>
      </c>
    </row>
    <row r="85" spans="1:15" s="8" customFormat="1" x14ac:dyDescent="0.35">
      <c r="A85" s="53" t="s">
        <v>201</v>
      </c>
      <c r="B85" s="54"/>
      <c r="C85" s="53"/>
      <c r="D85" s="57"/>
      <c r="E85" s="53"/>
      <c r="F85" s="53">
        <v>107</v>
      </c>
      <c r="G85" s="53"/>
      <c r="H85" s="53"/>
      <c r="I85" s="56"/>
      <c r="J85" s="56"/>
      <c r="K85" s="56"/>
      <c r="L85" s="54" t="s">
        <v>26</v>
      </c>
      <c r="M85" s="53" t="s">
        <v>94</v>
      </c>
      <c r="N85" s="80" t="s">
        <v>254</v>
      </c>
    </row>
    <row r="86" spans="1:15" s="8" customFormat="1" x14ac:dyDescent="0.35">
      <c r="A86" s="53" t="s">
        <v>202</v>
      </c>
      <c r="B86" s="54"/>
      <c r="C86" s="53"/>
      <c r="D86" s="57"/>
      <c r="E86" s="53"/>
      <c r="F86" s="53">
        <v>76</v>
      </c>
      <c r="G86" s="53"/>
      <c r="H86" s="53"/>
      <c r="I86" s="56"/>
      <c r="J86" s="56"/>
      <c r="K86" s="56"/>
      <c r="L86" s="54" t="s">
        <v>26</v>
      </c>
      <c r="M86" s="53" t="s">
        <v>94</v>
      </c>
      <c r="N86" s="80" t="s">
        <v>254</v>
      </c>
    </row>
    <row r="87" spans="1:15" s="8" customFormat="1" x14ac:dyDescent="0.35">
      <c r="A87" s="54" t="s">
        <v>141</v>
      </c>
      <c r="B87" s="54"/>
      <c r="C87" s="53"/>
      <c r="D87" s="55"/>
      <c r="E87" s="81">
        <v>0.3075</v>
      </c>
      <c r="F87" s="53"/>
      <c r="G87" s="53"/>
      <c r="H87" s="53"/>
      <c r="I87" s="53"/>
      <c r="J87" s="53"/>
      <c r="K87" s="53"/>
      <c r="L87" s="53" t="s">
        <v>144</v>
      </c>
      <c r="M87" s="53" t="s">
        <v>111</v>
      </c>
      <c r="N87" s="53"/>
    </row>
    <row r="88" spans="1:15" s="8" customFormat="1" x14ac:dyDescent="0.35">
      <c r="A88" s="54" t="s">
        <v>141</v>
      </c>
      <c r="B88" s="54"/>
      <c r="C88" s="53"/>
      <c r="D88" s="55"/>
      <c r="E88" s="81">
        <v>0.22439999999999999</v>
      </c>
      <c r="F88" s="53"/>
      <c r="G88" s="53"/>
      <c r="H88" s="53"/>
      <c r="I88" s="53"/>
      <c r="J88" s="53"/>
      <c r="K88" s="53"/>
      <c r="L88" s="53" t="s">
        <v>17</v>
      </c>
      <c r="M88" s="53" t="s">
        <v>111</v>
      </c>
      <c r="N88" s="53"/>
    </row>
    <row r="89" spans="1:15" s="8" customFormat="1" x14ac:dyDescent="0.35">
      <c r="A89" s="54" t="s">
        <v>141</v>
      </c>
      <c r="B89" s="53"/>
      <c r="C89" s="53"/>
      <c r="D89" s="53"/>
      <c r="E89" s="81">
        <v>0.13589999999999999</v>
      </c>
      <c r="F89" s="53"/>
      <c r="G89" s="53"/>
      <c r="H89" s="53"/>
      <c r="I89" s="53"/>
      <c r="J89" s="53"/>
      <c r="K89" s="53"/>
      <c r="L89" s="53" t="s">
        <v>11</v>
      </c>
      <c r="M89" s="53" t="s">
        <v>111</v>
      </c>
      <c r="N89" s="53"/>
    </row>
    <row r="90" spans="1:15" s="8" customFormat="1" x14ac:dyDescent="0.35">
      <c r="A90" s="54" t="s">
        <v>141</v>
      </c>
      <c r="B90" s="54"/>
      <c r="C90" s="53"/>
      <c r="D90" s="53"/>
      <c r="E90" s="81">
        <v>5.3948999999999998</v>
      </c>
      <c r="F90" s="53"/>
      <c r="G90" s="53"/>
      <c r="H90" s="53"/>
      <c r="I90" s="53"/>
      <c r="J90" s="53"/>
      <c r="K90" s="53"/>
      <c r="L90" s="78" t="s">
        <v>17</v>
      </c>
      <c r="M90" s="53" t="s">
        <v>111</v>
      </c>
      <c r="N90" s="53"/>
    </row>
    <row r="91" spans="1:15" s="8" customFormat="1" x14ac:dyDescent="0.35">
      <c r="A91" s="54" t="s">
        <v>141</v>
      </c>
      <c r="B91" s="54"/>
      <c r="C91" s="53"/>
      <c r="D91" s="53"/>
      <c r="E91" s="81">
        <v>0.58850000000000002</v>
      </c>
      <c r="F91" s="53"/>
      <c r="G91" s="53"/>
      <c r="H91" s="53"/>
      <c r="I91" s="53"/>
      <c r="J91" s="53"/>
      <c r="K91" s="53"/>
      <c r="L91" s="78" t="s">
        <v>20</v>
      </c>
      <c r="M91" s="53" t="s">
        <v>111</v>
      </c>
      <c r="N91" s="53"/>
    </row>
    <row r="92" spans="1:15" x14ac:dyDescent="0.35">
      <c r="A92" s="54" t="s">
        <v>237</v>
      </c>
      <c r="B92" s="54"/>
      <c r="C92" s="53"/>
      <c r="D92" s="53"/>
      <c r="E92" s="53">
        <v>770</v>
      </c>
      <c r="F92" s="53"/>
      <c r="G92" s="53"/>
      <c r="H92" s="53"/>
      <c r="I92" s="56"/>
      <c r="J92" s="56"/>
      <c r="K92" s="56"/>
      <c r="L92" s="53" t="s">
        <v>17</v>
      </c>
      <c r="M92" s="53" t="s">
        <v>102</v>
      </c>
      <c r="N92" s="53" t="s">
        <v>235</v>
      </c>
    </row>
    <row r="93" spans="1:15" x14ac:dyDescent="0.35">
      <c r="A93" s="54" t="s">
        <v>238</v>
      </c>
      <c r="B93" s="54"/>
      <c r="C93" s="53"/>
      <c r="D93" s="53"/>
      <c r="E93" s="53">
        <v>840</v>
      </c>
      <c r="F93" s="53"/>
      <c r="G93" s="53"/>
      <c r="H93" s="53"/>
      <c r="I93" s="56"/>
      <c r="J93" s="56"/>
      <c r="K93" s="56"/>
      <c r="L93" s="53" t="s">
        <v>17</v>
      </c>
      <c r="M93" s="53" t="s">
        <v>102</v>
      </c>
      <c r="N93" s="53" t="s">
        <v>235</v>
      </c>
    </row>
    <row r="94" spans="1:15" x14ac:dyDescent="0.35">
      <c r="A94" s="54" t="s">
        <v>239</v>
      </c>
      <c r="B94" s="54"/>
      <c r="C94" s="53"/>
      <c r="D94" s="53"/>
      <c r="E94" s="56">
        <v>1.9</v>
      </c>
      <c r="F94" s="53"/>
      <c r="G94" s="53"/>
      <c r="H94" s="53"/>
      <c r="I94" s="56"/>
      <c r="J94" s="56"/>
      <c r="K94" s="56"/>
      <c r="L94" s="53" t="s">
        <v>17</v>
      </c>
      <c r="M94" s="53" t="s">
        <v>102</v>
      </c>
      <c r="N94" s="53" t="s">
        <v>235</v>
      </c>
    </row>
    <row r="95" spans="1:15" x14ac:dyDescent="0.35">
      <c r="A95" s="54" t="s">
        <v>240</v>
      </c>
      <c r="B95" s="54"/>
      <c r="C95" s="53"/>
      <c r="D95" s="53"/>
      <c r="E95" s="56">
        <v>0.4</v>
      </c>
      <c r="F95" s="53"/>
      <c r="G95" s="53"/>
      <c r="H95" s="53"/>
      <c r="I95" s="56"/>
      <c r="J95" s="56"/>
      <c r="K95" s="56"/>
      <c r="L95" s="53" t="s">
        <v>17</v>
      </c>
      <c r="M95" s="53" t="s">
        <v>102</v>
      </c>
      <c r="N95" s="53" t="s">
        <v>235</v>
      </c>
    </row>
    <row r="96" spans="1:15" s="8" customFormat="1" x14ac:dyDescent="0.35">
      <c r="A96" s="13"/>
      <c r="B96" s="13"/>
      <c r="H96" s="14"/>
      <c r="I96" s="14"/>
      <c r="J96" s="14"/>
      <c r="K96" s="14"/>
      <c r="L96" s="16"/>
    </row>
    <row r="97" spans="1:14" s="1" customFormat="1" ht="59" x14ac:dyDescent="0.45">
      <c r="A97" s="95" t="s">
        <v>218</v>
      </c>
      <c r="B97" s="96" t="s">
        <v>262</v>
      </c>
      <c r="C97" s="96" t="s">
        <v>77</v>
      </c>
      <c r="D97" s="96" t="s">
        <v>78</v>
      </c>
      <c r="E97" s="96" t="s">
        <v>76</v>
      </c>
      <c r="F97" s="96" t="s">
        <v>75</v>
      </c>
      <c r="G97" s="96" t="s">
        <v>246</v>
      </c>
      <c r="H97" s="96" t="s">
        <v>64</v>
      </c>
      <c r="I97" s="96" t="s">
        <v>236</v>
      </c>
      <c r="J97" s="96" t="s">
        <v>292</v>
      </c>
      <c r="K97" s="96" t="s">
        <v>293</v>
      </c>
      <c r="L97" s="96" t="s">
        <v>0</v>
      </c>
      <c r="M97" s="96" t="s">
        <v>370</v>
      </c>
      <c r="N97" s="96" t="s">
        <v>79</v>
      </c>
    </row>
    <row r="98" spans="1:14" x14ac:dyDescent="0.35">
      <c r="A98" s="58" t="s">
        <v>65</v>
      </c>
      <c r="B98" s="59"/>
      <c r="C98" s="97">
        <v>17700</v>
      </c>
      <c r="D98" s="58"/>
      <c r="E98" s="98">
        <v>0.15</v>
      </c>
      <c r="F98" s="99">
        <v>0.53</v>
      </c>
      <c r="G98" s="99"/>
      <c r="H98" s="58"/>
      <c r="I98" s="97">
        <f>AVERAGE(C98:D98)*inflation_gdp!$H$3/100</f>
        <v>209.14005857844481</v>
      </c>
      <c r="J98" s="109">
        <v>112.48519026947474</v>
      </c>
      <c r="K98" s="118">
        <f t="shared" ref="K98:K118" si="7">I98*(100/J98)</f>
        <v>185.92675007031519</v>
      </c>
      <c r="L98" s="58" t="s">
        <v>27</v>
      </c>
      <c r="M98" s="58" t="s">
        <v>372</v>
      </c>
      <c r="N98" s="58" t="s">
        <v>108</v>
      </c>
    </row>
    <row r="99" spans="1:14" x14ac:dyDescent="0.35">
      <c r="A99" s="58" t="s">
        <v>66</v>
      </c>
      <c r="B99" s="59"/>
      <c r="C99" s="97">
        <v>2300</v>
      </c>
      <c r="D99" s="58"/>
      <c r="E99" s="99">
        <v>0.1</v>
      </c>
      <c r="F99" s="99">
        <v>0.84</v>
      </c>
      <c r="G99" s="99"/>
      <c r="H99" s="58"/>
      <c r="I99" s="97">
        <f>AVERAGE(C99:D99)*inflation_gdp!$H$3/100</f>
        <v>27.176391792679265</v>
      </c>
      <c r="J99" s="109">
        <v>112.48519026947474</v>
      </c>
      <c r="K99" s="118">
        <f t="shared" si="7"/>
        <v>24.159973172978809</v>
      </c>
      <c r="L99" s="58" t="s">
        <v>27</v>
      </c>
      <c r="M99" s="58" t="s">
        <v>372</v>
      </c>
      <c r="N99" s="58" t="s">
        <v>108</v>
      </c>
    </row>
    <row r="100" spans="1:14" x14ac:dyDescent="0.35">
      <c r="A100" s="58" t="s">
        <v>67</v>
      </c>
      <c r="B100" s="59"/>
      <c r="C100" s="97">
        <v>7600</v>
      </c>
      <c r="D100" s="58"/>
      <c r="E100" s="99">
        <v>0.1</v>
      </c>
      <c r="F100" s="99">
        <v>0.84</v>
      </c>
      <c r="G100" s="99"/>
      <c r="H100" s="58"/>
      <c r="I100" s="97">
        <f>AVERAGE(C100:D100)*inflation_gdp!$H$3/100</f>
        <v>89.800251141027147</v>
      </c>
      <c r="J100" s="109">
        <v>112.48519026947474</v>
      </c>
      <c r="K100" s="118">
        <f t="shared" si="7"/>
        <v>79.832954832451719</v>
      </c>
      <c r="L100" s="58" t="s">
        <v>27</v>
      </c>
      <c r="M100" s="58" t="s">
        <v>372</v>
      </c>
      <c r="N100" s="58" t="s">
        <v>108</v>
      </c>
    </row>
    <row r="101" spans="1:14" x14ac:dyDescent="0.35">
      <c r="A101" s="58" t="s">
        <v>68</v>
      </c>
      <c r="B101" s="59"/>
      <c r="C101" s="97">
        <v>2552</v>
      </c>
      <c r="D101" s="97">
        <v>5104</v>
      </c>
      <c r="E101" s="99">
        <v>0.28999999999999998</v>
      </c>
      <c r="F101" s="99">
        <v>0.8</v>
      </c>
      <c r="G101" s="99"/>
      <c r="H101" s="58"/>
      <c r="I101" s="97">
        <f>AVERAGE(C101:D101)*inflation_gdp!$G$3/100</f>
        <v>46.317552159735762</v>
      </c>
      <c r="J101" s="109">
        <v>112.08740235755744</v>
      </c>
      <c r="K101" s="118">
        <f t="shared" si="7"/>
        <v>41.322709943784169</v>
      </c>
      <c r="L101" s="58" t="s">
        <v>86</v>
      </c>
      <c r="M101" s="58" t="s">
        <v>93</v>
      </c>
      <c r="N101" s="58"/>
    </row>
    <row r="102" spans="1:14" x14ac:dyDescent="0.35">
      <c r="A102" s="58" t="s">
        <v>343</v>
      </c>
      <c r="B102" s="59"/>
      <c r="C102" s="97">
        <v>18532</v>
      </c>
      <c r="D102" s="97">
        <v>21148</v>
      </c>
      <c r="E102" s="99">
        <v>0.1</v>
      </c>
      <c r="F102" s="99">
        <v>0.84</v>
      </c>
      <c r="G102" s="99"/>
      <c r="H102" s="58"/>
      <c r="I102" s="97">
        <f>AVERAGE(C102:D102)*inflation_gdp!$K$3/65</f>
        <v>336.27314320194887</v>
      </c>
      <c r="J102" s="81">
        <v>109.33308117077252</v>
      </c>
      <c r="K102" s="118">
        <f t="shared" si="7"/>
        <v>307.56760863320767</v>
      </c>
      <c r="L102" s="58" t="s">
        <v>3</v>
      </c>
      <c r="M102" s="58" t="s">
        <v>93</v>
      </c>
      <c r="N102" s="58"/>
    </row>
    <row r="103" spans="1:14" x14ac:dyDescent="0.35">
      <c r="A103" s="58" t="s">
        <v>69</v>
      </c>
      <c r="B103" s="59"/>
      <c r="C103" s="97">
        <v>6100</v>
      </c>
      <c r="D103" s="58"/>
      <c r="E103" s="99">
        <v>0.28999999999999998</v>
      </c>
      <c r="F103" s="99">
        <v>0.8</v>
      </c>
      <c r="G103" s="99"/>
      <c r="H103" s="58"/>
      <c r="I103" s="97">
        <f>AVERAGE(C103:D103)*inflation_gdp!$K$3/100</f>
        <v>67.203780886881418</v>
      </c>
      <c r="J103" s="81">
        <v>109.33308117077252</v>
      </c>
      <c r="K103" s="118">
        <f t="shared" si="7"/>
        <v>61.467014527755467</v>
      </c>
      <c r="L103" s="58" t="s">
        <v>3</v>
      </c>
      <c r="M103" s="58" t="s">
        <v>93</v>
      </c>
      <c r="N103" s="58"/>
    </row>
    <row r="104" spans="1:14" x14ac:dyDescent="0.35">
      <c r="A104" s="58" t="s">
        <v>70</v>
      </c>
      <c r="B104" s="59"/>
      <c r="C104" s="97">
        <v>7656</v>
      </c>
      <c r="D104" s="97">
        <v>12760</v>
      </c>
      <c r="E104" s="99">
        <v>0.1</v>
      </c>
      <c r="F104" s="99">
        <v>0.84</v>
      </c>
      <c r="G104" s="99"/>
      <c r="H104" s="58"/>
      <c r="I104" s="97">
        <f>AVERAGE(C104:D104)*inflation_gdp!$G$3/100</f>
        <v>123.51347242596202</v>
      </c>
      <c r="J104" s="109">
        <v>112.08740235755744</v>
      </c>
      <c r="K104" s="118">
        <f t="shared" si="7"/>
        <v>110.19389318342445</v>
      </c>
      <c r="L104" s="58" t="s">
        <v>86</v>
      </c>
      <c r="M104" s="58" t="s">
        <v>93</v>
      </c>
      <c r="N104" s="58"/>
    </row>
    <row r="105" spans="1:14" s="16" customFormat="1" x14ac:dyDescent="0.35">
      <c r="A105" s="100" t="s">
        <v>74</v>
      </c>
      <c r="B105" s="100"/>
      <c r="C105" s="101">
        <v>800</v>
      </c>
      <c r="D105" s="101">
        <v>25000</v>
      </c>
      <c r="E105" s="102">
        <v>0.38</v>
      </c>
      <c r="F105" s="102">
        <v>0.84</v>
      </c>
      <c r="G105" s="102"/>
      <c r="H105" s="100"/>
      <c r="I105" s="97">
        <f>AVERAGE(C105:D105)*inflation_gdp!$O$3/100</f>
        <v>129.64499999999998</v>
      </c>
      <c r="J105" s="109">
        <v>104.66872959278555</v>
      </c>
      <c r="K105" s="118">
        <f t="shared" si="7"/>
        <v>123.8622084211634</v>
      </c>
      <c r="L105" s="100" t="s">
        <v>37</v>
      </c>
      <c r="M105" s="100" t="s">
        <v>73</v>
      </c>
      <c r="N105" s="100" t="s">
        <v>80</v>
      </c>
    </row>
    <row r="106" spans="1:14" s="16" customFormat="1" x14ac:dyDescent="0.35">
      <c r="A106" s="100" t="s">
        <v>307</v>
      </c>
      <c r="B106" s="100"/>
      <c r="C106" s="101"/>
      <c r="D106" s="101"/>
      <c r="E106" s="102">
        <v>0.1</v>
      </c>
      <c r="F106" s="102">
        <v>0.6</v>
      </c>
      <c r="G106" s="102"/>
      <c r="H106" s="100"/>
      <c r="I106" s="97"/>
      <c r="J106" s="109"/>
      <c r="K106" s="118"/>
      <c r="L106" s="100" t="s">
        <v>27</v>
      </c>
      <c r="M106" s="100" t="s">
        <v>373</v>
      </c>
      <c r="N106" s="100"/>
    </row>
    <row r="107" spans="1:14" s="16" customFormat="1" x14ac:dyDescent="0.35">
      <c r="A107" s="100" t="s">
        <v>283</v>
      </c>
      <c r="B107" s="100"/>
      <c r="C107" s="101"/>
      <c r="D107" s="101"/>
      <c r="E107" s="102">
        <v>0.4</v>
      </c>
      <c r="F107" s="102">
        <v>0.4</v>
      </c>
      <c r="G107" s="102"/>
      <c r="H107" s="100"/>
      <c r="I107" s="97"/>
      <c r="J107" s="109"/>
      <c r="K107" s="118"/>
      <c r="L107" s="100" t="s">
        <v>27</v>
      </c>
      <c r="M107" s="100" t="s">
        <v>373</v>
      </c>
      <c r="N107" s="100"/>
    </row>
    <row r="108" spans="1:14" s="16" customFormat="1" x14ac:dyDescent="0.35">
      <c r="A108" s="58" t="s">
        <v>269</v>
      </c>
      <c r="B108" s="100" t="s">
        <v>270</v>
      </c>
      <c r="C108" s="103">
        <v>8290</v>
      </c>
      <c r="D108" s="103">
        <v>13690</v>
      </c>
      <c r="E108" s="102"/>
      <c r="F108" s="102"/>
      <c r="G108" s="104">
        <v>2009</v>
      </c>
      <c r="H108" s="100"/>
      <c r="I108" s="97">
        <f>AVERAGE(C108:D108)*inflation_gdp!$J$3/inflation_gdp!J$7/100</f>
        <v>87.674036052679881</v>
      </c>
      <c r="J108" s="109">
        <v>99.81</v>
      </c>
      <c r="K108" s="118">
        <f t="shared" si="7"/>
        <v>87.840933826951101</v>
      </c>
      <c r="L108" s="100" t="s">
        <v>257</v>
      </c>
      <c r="M108" s="100" t="s">
        <v>266</v>
      </c>
      <c r="N108" s="100"/>
    </row>
    <row r="109" spans="1:14" x14ac:dyDescent="0.35">
      <c r="A109" s="58" t="s">
        <v>271</v>
      </c>
      <c r="B109" s="100" t="s">
        <v>270</v>
      </c>
      <c r="C109" s="105">
        <v>12576</v>
      </c>
      <c r="D109" s="105">
        <v>21127</v>
      </c>
      <c r="E109" s="58"/>
      <c r="F109" s="58"/>
      <c r="G109" s="104">
        <v>2009</v>
      </c>
      <c r="H109" s="108"/>
      <c r="I109" s="97">
        <f>AVERAGE(C109:D109)*inflation_gdp!$J$3/inflation_gdp!J$7/100</f>
        <v>134.43485155065832</v>
      </c>
      <c r="J109" s="109">
        <v>99.81</v>
      </c>
      <c r="K109" s="118">
        <f t="shared" si="7"/>
        <v>134.69076400226263</v>
      </c>
      <c r="L109" s="100" t="s">
        <v>257</v>
      </c>
      <c r="M109" s="100" t="s">
        <v>266</v>
      </c>
      <c r="N109" s="58"/>
    </row>
    <row r="110" spans="1:14" x14ac:dyDescent="0.35">
      <c r="A110" s="58" t="s">
        <v>66</v>
      </c>
      <c r="B110" s="100" t="s">
        <v>270</v>
      </c>
      <c r="C110" s="105">
        <v>13000</v>
      </c>
      <c r="D110" s="105">
        <v>18201</v>
      </c>
      <c r="E110" s="58"/>
      <c r="F110" s="58"/>
      <c r="G110" s="104">
        <v>2008</v>
      </c>
      <c r="H110" s="108" t="s">
        <v>33</v>
      </c>
      <c r="I110" s="97">
        <f>AVERAGE(C110:D110)*inflation_gdp!$I$3/inflation_gdp!I$7/100</f>
        <v>122.39083534519904</v>
      </c>
      <c r="J110" s="109">
        <v>112.08740235755744</v>
      </c>
      <c r="K110" s="118">
        <f t="shared" si="7"/>
        <v>109.19232025270223</v>
      </c>
      <c r="L110" s="58" t="s">
        <v>86</v>
      </c>
      <c r="M110" s="100" t="s">
        <v>266</v>
      </c>
      <c r="N110" s="58"/>
    </row>
    <row r="111" spans="1:14" x14ac:dyDescent="0.35">
      <c r="A111" s="58" t="s">
        <v>306</v>
      </c>
      <c r="B111" s="100" t="s">
        <v>272</v>
      </c>
      <c r="C111" s="105"/>
      <c r="D111" s="105">
        <v>732</v>
      </c>
      <c r="E111" s="58"/>
      <c r="F111" s="58"/>
      <c r="G111" s="104">
        <v>2011</v>
      </c>
      <c r="H111" s="58"/>
      <c r="I111" s="97">
        <f>AVERAGE(C111:D111)*inflation_gdp!$J$3/inflation_gdp!J$7</f>
        <v>583.96173239819529</v>
      </c>
      <c r="J111" s="81">
        <v>109.33308117077252</v>
      </c>
      <c r="K111" s="118">
        <f t="shared" si="7"/>
        <v>534.11257246658749</v>
      </c>
      <c r="L111" s="100" t="s">
        <v>3</v>
      </c>
      <c r="M111" s="100" t="s">
        <v>266</v>
      </c>
      <c r="N111" s="58"/>
    </row>
    <row r="112" spans="1:14" s="16" customFormat="1" x14ac:dyDescent="0.35">
      <c r="A112" s="58" t="s">
        <v>304</v>
      </c>
      <c r="B112" s="58" t="s">
        <v>281</v>
      </c>
      <c r="C112" s="103">
        <v>31</v>
      </c>
      <c r="D112" s="103">
        <v>184</v>
      </c>
      <c r="E112" s="102"/>
      <c r="F112" s="102"/>
      <c r="G112" s="104">
        <v>2009</v>
      </c>
      <c r="H112" s="100"/>
      <c r="I112" s="97">
        <f>AVERAGE(C112:D112)*inflation_gdp!$J$3/inflation_gdp!J$7</f>
        <v>85.759407421866115</v>
      </c>
      <c r="J112" s="109">
        <v>99.81</v>
      </c>
      <c r="K112" s="118">
        <f>I112*(100/J112)</f>
        <v>85.922660476771995</v>
      </c>
      <c r="L112" s="100" t="s">
        <v>257</v>
      </c>
      <c r="M112" s="100" t="s">
        <v>266</v>
      </c>
      <c r="N112" s="100"/>
    </row>
    <row r="113" spans="1:14" s="16" customFormat="1" x14ac:dyDescent="0.35">
      <c r="A113" s="58" t="s">
        <v>305</v>
      </c>
      <c r="B113" s="58" t="s">
        <v>281</v>
      </c>
      <c r="C113" s="100"/>
      <c r="D113" s="103">
        <v>606</v>
      </c>
      <c r="E113" s="102"/>
      <c r="F113" s="102"/>
      <c r="G113" s="104">
        <v>2011</v>
      </c>
      <c r="H113" s="100"/>
      <c r="I113" s="97">
        <f>AVERAGE(C113:D113)*inflation_gdp!$J$3/inflation_gdp!J$7</f>
        <v>483.44372928047318</v>
      </c>
      <c r="J113" s="81">
        <v>109.33308117077252</v>
      </c>
      <c r="K113" s="118">
        <f t="shared" si="7"/>
        <v>442.17516245184703</v>
      </c>
      <c r="L113" s="100" t="s">
        <v>3</v>
      </c>
      <c r="M113" s="100" t="s">
        <v>266</v>
      </c>
      <c r="N113" s="100"/>
    </row>
    <row r="114" spans="1:14" s="16" customFormat="1" x14ac:dyDescent="0.35">
      <c r="A114" s="58" t="s">
        <v>284</v>
      </c>
      <c r="B114" s="100" t="s">
        <v>270</v>
      </c>
      <c r="C114" s="103">
        <v>2151</v>
      </c>
      <c r="D114" s="103">
        <v>4869</v>
      </c>
      <c r="E114" s="102"/>
      <c r="F114" s="102"/>
      <c r="G114" s="104">
        <v>2009</v>
      </c>
      <c r="H114" s="100"/>
      <c r="I114" s="97">
        <f>AVERAGE(C114:D114)*inflation_gdp!$J$3/inflation_gdp!J$7/100</f>
        <v>28.001443725651171</v>
      </c>
      <c r="J114" s="109">
        <v>99.81</v>
      </c>
      <c r="K114" s="118">
        <f t="shared" si="7"/>
        <v>28.054747746369276</v>
      </c>
      <c r="L114" s="100" t="s">
        <v>257</v>
      </c>
      <c r="M114" s="100" t="s">
        <v>266</v>
      </c>
      <c r="N114" s="100"/>
    </row>
    <row r="115" spans="1:14" s="16" customFormat="1" x14ac:dyDescent="0.35">
      <c r="A115" s="58" t="s">
        <v>285</v>
      </c>
      <c r="B115" s="100" t="s">
        <v>270</v>
      </c>
      <c r="C115" s="103">
        <v>8531</v>
      </c>
      <c r="D115" s="103">
        <v>19307</v>
      </c>
      <c r="E115" s="102"/>
      <c r="F115" s="102"/>
      <c r="G115" s="104">
        <v>2009</v>
      </c>
      <c r="H115" s="100"/>
      <c r="I115" s="97">
        <f>AVERAGE(C115:D115)*inflation_gdp!$J$3/inflation_gdp!J$7/100</f>
        <v>111.04048296790273</v>
      </c>
      <c r="J115" s="109">
        <v>99.81</v>
      </c>
      <c r="K115" s="118">
        <f t="shared" si="7"/>
        <v>111.25186150476179</v>
      </c>
      <c r="L115" s="100" t="s">
        <v>257</v>
      </c>
      <c r="M115" s="100" t="s">
        <v>266</v>
      </c>
      <c r="N115" s="100"/>
    </row>
    <row r="116" spans="1:14" s="16" customFormat="1" x14ac:dyDescent="0.35">
      <c r="A116" s="58" t="s">
        <v>286</v>
      </c>
      <c r="B116" s="100" t="s">
        <v>270</v>
      </c>
      <c r="C116" s="103">
        <v>8073</v>
      </c>
      <c r="D116" s="103">
        <v>18369</v>
      </c>
      <c r="E116" s="102"/>
      <c r="F116" s="102"/>
      <c r="G116" s="104">
        <v>2008</v>
      </c>
      <c r="H116" s="100"/>
      <c r="I116" s="97">
        <f>AVERAGE(C116:D116)*inflation_gdp!$I$3/inflation_gdp!I$7/100</f>
        <v>103.72290850286055</v>
      </c>
      <c r="J116" s="109">
        <v>112.08740235755744</v>
      </c>
      <c r="K116" s="118">
        <f t="shared" si="7"/>
        <v>92.537525467836019</v>
      </c>
      <c r="L116" s="58" t="s">
        <v>86</v>
      </c>
      <c r="M116" s="100" t="s">
        <v>266</v>
      </c>
      <c r="N116" s="100"/>
    </row>
    <row r="117" spans="1:14" s="16" customFormat="1" x14ac:dyDescent="0.35">
      <c r="A117" s="58" t="s">
        <v>286</v>
      </c>
      <c r="B117" s="100" t="s">
        <v>282</v>
      </c>
      <c r="C117" s="103">
        <v>14937</v>
      </c>
      <c r="D117" s="103">
        <v>24895</v>
      </c>
      <c r="E117" s="102"/>
      <c r="F117" s="102"/>
      <c r="G117" s="104">
        <v>2008</v>
      </c>
      <c r="H117" s="100"/>
      <c r="I117" s="97">
        <f>AVERAGE(C117:D117)*inflation_gdp!$I$3/inflation_gdp!I$7/100</f>
        <v>156.24729186468278</v>
      </c>
      <c r="J117" s="109">
        <v>112.08740235755744</v>
      </c>
      <c r="K117" s="118">
        <f t="shared" si="7"/>
        <v>139.39772764673037</v>
      </c>
      <c r="L117" s="58" t="s">
        <v>86</v>
      </c>
      <c r="M117" s="100" t="s">
        <v>266</v>
      </c>
      <c r="N117" s="100"/>
    </row>
    <row r="118" spans="1:14" s="16" customFormat="1" x14ac:dyDescent="0.35">
      <c r="A118" s="58" t="s">
        <v>303</v>
      </c>
      <c r="B118" s="100" t="s">
        <v>270</v>
      </c>
      <c r="C118" s="100"/>
      <c r="D118" s="103">
        <v>22237</v>
      </c>
      <c r="E118" s="102"/>
      <c r="F118" s="102"/>
      <c r="G118" s="104">
        <v>2011</v>
      </c>
      <c r="H118" s="100"/>
      <c r="I118" s="97">
        <f>AVERAGE(C118:D118)*inflation_gdp!$L$3/inflation_gdp!L$7/65</f>
        <v>265.19280332495185</v>
      </c>
      <c r="J118" s="81">
        <v>109.33308117077252</v>
      </c>
      <c r="K118" s="118">
        <f t="shared" si="7"/>
        <v>242.55495270524267</v>
      </c>
      <c r="L118" s="100" t="s">
        <v>3</v>
      </c>
      <c r="M118" s="100" t="s">
        <v>266</v>
      </c>
      <c r="N118" s="100"/>
    </row>
    <row r="119" spans="1:14" s="16" customFormat="1" x14ac:dyDescent="0.35">
      <c r="A119" s="58" t="s">
        <v>344</v>
      </c>
      <c r="B119" s="100"/>
      <c r="C119" s="97">
        <v>6300</v>
      </c>
      <c r="D119" s="97">
        <v>8600</v>
      </c>
      <c r="E119" s="102">
        <v>0</v>
      </c>
      <c r="F119" s="102">
        <v>0.32</v>
      </c>
      <c r="G119" s="104">
        <v>2019</v>
      </c>
      <c r="H119" s="100"/>
      <c r="I119" s="97">
        <f>AVERAGE(C119:D119)/(130*inflation_gdp!$P$4)</f>
        <v>55.133553464289555</v>
      </c>
      <c r="J119" s="109">
        <v>104.66872959278555</v>
      </c>
      <c r="K119" s="118">
        <f t="shared" ref="K119" si="8">I119*(100/J119)</f>
        <v>52.674331367913837</v>
      </c>
      <c r="L119" s="100" t="s">
        <v>37</v>
      </c>
      <c r="M119" s="100" t="s">
        <v>342</v>
      </c>
      <c r="N119" s="100"/>
    </row>
    <row r="120" spans="1:14" s="16" customFormat="1" x14ac:dyDescent="0.35">
      <c r="A120" s="58" t="s">
        <v>345</v>
      </c>
      <c r="B120" s="100"/>
      <c r="C120" s="97">
        <v>7700</v>
      </c>
      <c r="D120" s="97">
        <v>10400</v>
      </c>
      <c r="E120" s="102">
        <v>0</v>
      </c>
      <c r="F120" s="102">
        <v>0.36</v>
      </c>
      <c r="G120" s="104">
        <v>2019</v>
      </c>
      <c r="H120" s="100"/>
      <c r="I120" s="97">
        <f>AVERAGE(C120:D120)/(130*inflation_gdp!$P$4)</f>
        <v>66.974316624405432</v>
      </c>
      <c r="J120" s="109">
        <v>104.66872959278555</v>
      </c>
      <c r="K120" s="118">
        <f t="shared" ref="K120:K121" si="9">I120*(100/J120)</f>
        <v>63.986939446928886</v>
      </c>
      <c r="L120" s="100" t="s">
        <v>37</v>
      </c>
      <c r="M120" s="100" t="s">
        <v>342</v>
      </c>
      <c r="N120" s="100"/>
    </row>
    <row r="121" spans="1:14" s="16" customFormat="1" x14ac:dyDescent="0.35">
      <c r="A121" s="58" t="s">
        <v>346</v>
      </c>
      <c r="B121" s="100"/>
      <c r="C121" s="101">
        <v>30000</v>
      </c>
      <c r="D121" s="101">
        <v>53900</v>
      </c>
      <c r="E121" s="102">
        <v>0</v>
      </c>
      <c r="F121" s="102">
        <v>0.53600000000000003</v>
      </c>
      <c r="G121" s="104">
        <v>2019</v>
      </c>
      <c r="H121" s="100"/>
      <c r="I121" s="97">
        <f>AVERAGE(C121:D121)/(130*inflation_gdp!$P$4)</f>
        <v>310.4500091042882</v>
      </c>
      <c r="J121" s="109">
        <v>104.66872959278555</v>
      </c>
      <c r="K121" s="118">
        <f t="shared" si="9"/>
        <v>296.60244307167591</v>
      </c>
      <c r="L121" s="100" t="s">
        <v>37</v>
      </c>
      <c r="M121" s="100" t="s">
        <v>342</v>
      </c>
      <c r="N121" s="100"/>
    </row>
    <row r="122" spans="1:14" s="16" customFormat="1" x14ac:dyDescent="0.35">
      <c r="A122" s="58"/>
      <c r="B122" s="100"/>
      <c r="C122" s="103"/>
      <c r="D122" s="103"/>
      <c r="E122" s="102"/>
      <c r="F122" s="102"/>
      <c r="G122" s="104"/>
      <c r="H122" s="100"/>
      <c r="I122" s="136"/>
      <c r="J122" s="97"/>
      <c r="K122" s="136"/>
      <c r="L122" s="100"/>
      <c r="M122" s="100"/>
      <c r="N122" s="100"/>
    </row>
    <row r="123" spans="1:14" x14ac:dyDescent="0.35">
      <c r="A123" s="60" t="s">
        <v>368</v>
      </c>
      <c r="B123" s="59"/>
      <c r="C123" s="58"/>
      <c r="D123" s="58"/>
      <c r="E123" s="106"/>
      <c r="F123" s="107">
        <f>AVERAGE(E98:F121)</f>
        <v>0.40599999999999997</v>
      </c>
      <c r="G123" s="107"/>
      <c r="H123" s="58"/>
      <c r="I123" s="120">
        <f>AVERAGE(I98:I118)</f>
        <v>167.94416698009476</v>
      </c>
      <c r="J123" s="106"/>
      <c r="K123" s="120">
        <f>AVERAGE(K98:K121)</f>
        <v>152.51491160089378</v>
      </c>
      <c r="L123" s="139">
        <f>K123/$F$123</f>
        <v>375.6524916278172</v>
      </c>
      <c r="M123" s="58"/>
      <c r="N123" s="58"/>
    </row>
    <row r="124" spans="1:14" s="8" customFormat="1" x14ac:dyDescent="0.35">
      <c r="A124" s="60" t="s">
        <v>369</v>
      </c>
      <c r="B124" s="59"/>
      <c r="C124" s="58"/>
      <c r="D124" s="58"/>
      <c r="E124" s="106"/>
      <c r="F124" s="106"/>
      <c r="G124" s="107"/>
      <c r="H124" s="58"/>
      <c r="I124" s="120">
        <f>AVERAGE(I96:I108,I110:I122)</f>
        <v>166.14581906019643</v>
      </c>
      <c r="J124" s="106"/>
      <c r="K124" s="138">
        <f>MEDIAN(K98:K121)</f>
        <v>109.69310671806335</v>
      </c>
      <c r="L124" s="139">
        <f>K124/$F$123</f>
        <v>270.1800658080378</v>
      </c>
      <c r="M124" s="58"/>
      <c r="N124" s="58"/>
    </row>
    <row r="125" spans="1:14" s="8" customFormat="1" x14ac:dyDescent="0.35">
      <c r="A125" s="60" t="s">
        <v>340</v>
      </c>
      <c r="B125" s="59"/>
      <c r="C125" s="58"/>
      <c r="D125" s="58"/>
      <c r="E125" s="106"/>
      <c r="F125" s="166">
        <f>_xlfn.PERCENTILE.EXC(E98:F121,0.75)</f>
        <v>0.8</v>
      </c>
      <c r="G125" s="107"/>
      <c r="H125" s="58"/>
      <c r="I125" s="120"/>
      <c r="J125" s="106"/>
      <c r="K125" s="120">
        <f>_xlfn.PERCENTILE.EXC(K98:K121,0.75)</f>
        <v>200.08380072904706</v>
      </c>
      <c r="L125" s="139">
        <f t="shared" ref="L125:L126" si="10">K125/$F$123</f>
        <v>492.81724317499277</v>
      </c>
      <c r="M125" s="58"/>
      <c r="N125" s="58"/>
    </row>
    <row r="126" spans="1:14" s="8" customFormat="1" x14ac:dyDescent="0.35">
      <c r="A126" s="60" t="s">
        <v>341</v>
      </c>
      <c r="B126" s="59"/>
      <c r="C126" s="58"/>
      <c r="D126" s="58"/>
      <c r="E126" s="106"/>
      <c r="F126" s="166">
        <f>_xlfn.PERCENTILE.EXC(E98:F121,0.25)</f>
        <v>0.1</v>
      </c>
      <c r="G126" s="107"/>
      <c r="H126" s="58"/>
      <c r="I126" s="120"/>
      <c r="J126" s="106"/>
      <c r="K126" s="120">
        <f>_xlfn.PERCENTILE.EXC(K98:K121,0.25)</f>
        <v>63.356958217135528</v>
      </c>
      <c r="L126" s="139">
        <f t="shared" si="10"/>
        <v>156.05162122447175</v>
      </c>
      <c r="M126" s="58"/>
      <c r="N126" s="58"/>
    </row>
    <row r="127" spans="1:14" s="58" customFormat="1" x14ac:dyDescent="0.35">
      <c r="A127" s="60" t="s">
        <v>314</v>
      </c>
      <c r="B127" s="59"/>
      <c r="C127" s="144"/>
      <c r="D127" s="142"/>
      <c r="E127" s="142"/>
      <c r="F127" s="142"/>
      <c r="G127" s="145"/>
      <c r="H127" s="145"/>
      <c r="I127" s="120"/>
      <c r="J127" s="142"/>
      <c r="K127" s="120">
        <f>_xlfn.STDEV.S(K98:K121)</f>
        <v>134.190436888878</v>
      </c>
      <c r="L127" s="120"/>
    </row>
    <row r="128" spans="1:14" s="58" customFormat="1" x14ac:dyDescent="0.35">
      <c r="A128" s="60" t="s">
        <v>333</v>
      </c>
      <c r="B128" s="59"/>
      <c r="C128" s="144"/>
      <c r="D128" s="142"/>
      <c r="E128" s="142"/>
      <c r="F128" s="142"/>
      <c r="G128" s="145"/>
      <c r="H128" s="145"/>
      <c r="I128" s="120"/>
      <c r="J128" s="142"/>
      <c r="K128" s="147">
        <f>COUNT(K98:K118)</f>
        <v>19</v>
      </c>
    </row>
    <row r="129" spans="1:14" ht="32.25" customHeight="1" x14ac:dyDescent="0.35">
      <c r="A129" s="30"/>
      <c r="K129" s="140"/>
    </row>
    <row r="130" spans="1:14" s="8" customFormat="1" ht="58" x14ac:dyDescent="0.35">
      <c r="A130" s="96" t="s">
        <v>365</v>
      </c>
      <c r="B130" s="96" t="s">
        <v>262</v>
      </c>
      <c r="C130" s="96" t="s">
        <v>77</v>
      </c>
      <c r="D130" s="96" t="s">
        <v>78</v>
      </c>
      <c r="E130" s="96" t="s">
        <v>76</v>
      </c>
      <c r="F130" s="96" t="s">
        <v>75</v>
      </c>
      <c r="G130" s="96" t="s">
        <v>246</v>
      </c>
      <c r="H130" s="96" t="s">
        <v>64</v>
      </c>
      <c r="I130" s="96" t="s">
        <v>236</v>
      </c>
      <c r="J130" s="96" t="s">
        <v>292</v>
      </c>
      <c r="K130" s="96"/>
      <c r="L130" s="96" t="s">
        <v>0</v>
      </c>
      <c r="M130" s="96" t="s">
        <v>370</v>
      </c>
      <c r="N130" s="96" t="s">
        <v>79</v>
      </c>
    </row>
    <row r="131" spans="1:14" s="100" customFormat="1" ht="15.75" customHeight="1" x14ac:dyDescent="0.35">
      <c r="A131" s="100" t="s">
        <v>278</v>
      </c>
      <c r="B131" s="100" t="s">
        <v>263</v>
      </c>
      <c r="C131" s="117">
        <v>33239</v>
      </c>
      <c r="D131" s="103">
        <v>82498</v>
      </c>
      <c r="E131" s="102" t="s">
        <v>268</v>
      </c>
      <c r="F131" s="102"/>
      <c r="G131" s="100">
        <v>2009</v>
      </c>
      <c r="I131" s="97"/>
      <c r="J131" s="97"/>
      <c r="K131" s="97"/>
      <c r="L131" s="100" t="s">
        <v>257</v>
      </c>
      <c r="M131" s="100" t="s">
        <v>266</v>
      </c>
    </row>
    <row r="132" spans="1:14" s="100" customFormat="1" x14ac:dyDescent="0.35">
      <c r="A132" s="100" t="s">
        <v>279</v>
      </c>
      <c r="B132" s="100" t="s">
        <v>263</v>
      </c>
      <c r="C132" s="117">
        <v>35464</v>
      </c>
      <c r="D132" s="103">
        <v>87535</v>
      </c>
      <c r="E132" s="102" t="s">
        <v>268</v>
      </c>
      <c r="F132" s="102"/>
      <c r="G132" s="100">
        <v>2009</v>
      </c>
      <c r="I132" s="97"/>
      <c r="J132" s="97"/>
      <c r="K132" s="97"/>
      <c r="L132" s="100" t="s">
        <v>257</v>
      </c>
      <c r="M132" s="100" t="s">
        <v>266</v>
      </c>
    </row>
    <row r="133" spans="1:14" s="100" customFormat="1" x14ac:dyDescent="0.35">
      <c r="A133" s="100" t="s">
        <v>280</v>
      </c>
      <c r="B133" s="100" t="s">
        <v>263</v>
      </c>
      <c r="C133" s="117">
        <v>37319</v>
      </c>
      <c r="D133" s="103">
        <v>91732</v>
      </c>
      <c r="E133" s="102" t="s">
        <v>268</v>
      </c>
      <c r="F133" s="102"/>
      <c r="G133" s="100">
        <v>2009</v>
      </c>
      <c r="I133" s="97"/>
      <c r="J133" s="97"/>
      <c r="K133" s="97"/>
      <c r="L133" s="100" t="s">
        <v>257</v>
      </c>
      <c r="M133" s="100" t="s">
        <v>266</v>
      </c>
    </row>
    <row r="134" spans="1:14" s="100" customFormat="1" x14ac:dyDescent="0.35">
      <c r="A134" s="100" t="s">
        <v>256</v>
      </c>
      <c r="B134" s="100" t="s">
        <v>264</v>
      </c>
      <c r="C134" s="117">
        <v>19231</v>
      </c>
      <c r="D134" s="103">
        <v>192000</v>
      </c>
      <c r="E134" s="102" t="s">
        <v>268</v>
      </c>
      <c r="F134" s="102"/>
      <c r="G134" s="100">
        <v>2015</v>
      </c>
      <c r="I134" s="97"/>
      <c r="J134" s="97"/>
      <c r="K134" s="97"/>
      <c r="L134" s="100" t="s">
        <v>257</v>
      </c>
      <c r="M134" s="100" t="s">
        <v>266</v>
      </c>
    </row>
    <row r="135" spans="1:14" s="100" customFormat="1" x14ac:dyDescent="0.35">
      <c r="A135" s="100" t="s">
        <v>258</v>
      </c>
      <c r="B135" s="100" t="s">
        <v>265</v>
      </c>
      <c r="C135" s="117">
        <v>1250</v>
      </c>
      <c r="D135" s="103">
        <v>2500</v>
      </c>
      <c r="E135" s="102" t="s">
        <v>268</v>
      </c>
      <c r="F135" s="102"/>
      <c r="G135" s="100">
        <v>2015</v>
      </c>
      <c r="I135" s="97"/>
      <c r="J135" s="97"/>
      <c r="K135" s="97"/>
      <c r="L135" s="100" t="s">
        <v>261</v>
      </c>
      <c r="M135" s="100" t="s">
        <v>266</v>
      </c>
    </row>
    <row r="136" spans="1:14" s="100" customFormat="1" x14ac:dyDescent="0.35">
      <c r="A136" s="100" t="s">
        <v>259</v>
      </c>
      <c r="B136" s="100" t="s">
        <v>263</v>
      </c>
      <c r="C136" s="117">
        <v>1500</v>
      </c>
      <c r="D136" s="103">
        <v>3000</v>
      </c>
      <c r="E136" s="102" t="s">
        <v>268</v>
      </c>
      <c r="F136" s="102"/>
      <c r="G136" s="100">
        <v>2014</v>
      </c>
      <c r="I136" s="97"/>
      <c r="J136" s="97"/>
      <c r="K136" s="97"/>
      <c r="L136" s="100" t="s">
        <v>260</v>
      </c>
      <c r="M136" s="100" t="s">
        <v>266</v>
      </c>
    </row>
    <row r="137" spans="1:14" s="58" customFormat="1" x14ac:dyDescent="0.35">
      <c r="A137" s="58" t="s">
        <v>273</v>
      </c>
      <c r="B137" s="100" t="s">
        <v>270</v>
      </c>
      <c r="C137" s="105">
        <v>500</v>
      </c>
      <c r="D137" s="105">
        <v>9362</v>
      </c>
      <c r="G137" s="104">
        <v>2013</v>
      </c>
      <c r="I137" s="97">
        <f>AVERAGE(C137:D137)*inflation_gdp!$N$3/inflation_gdp!N$7</f>
        <v>3787.3577479105484</v>
      </c>
      <c r="J137" s="97"/>
      <c r="K137" s="97"/>
      <c r="L137" s="100" t="s">
        <v>276</v>
      </c>
      <c r="M137" s="100" t="s">
        <v>266</v>
      </c>
    </row>
    <row r="138" spans="1:14" x14ac:dyDescent="0.35">
      <c r="A138" s="58" t="s">
        <v>273</v>
      </c>
      <c r="B138" s="100" t="s">
        <v>270</v>
      </c>
      <c r="C138" s="105"/>
      <c r="D138" s="105" t="s">
        <v>277</v>
      </c>
      <c r="E138" s="58"/>
      <c r="F138" s="58"/>
      <c r="G138" s="104">
        <v>2014</v>
      </c>
      <c r="H138" s="58"/>
      <c r="I138" s="97"/>
      <c r="J138" s="97"/>
      <c r="K138" s="97"/>
      <c r="L138" s="100" t="s">
        <v>276</v>
      </c>
      <c r="M138" s="100" t="s">
        <v>266</v>
      </c>
      <c r="N138" s="58"/>
    </row>
    <row r="139" spans="1:14" s="16" customFormat="1" x14ac:dyDescent="0.35">
      <c r="A139" s="58" t="s">
        <v>273</v>
      </c>
      <c r="B139" s="100" t="s">
        <v>270</v>
      </c>
      <c r="C139" s="103">
        <v>679</v>
      </c>
      <c r="D139" s="103">
        <v>1301</v>
      </c>
      <c r="E139" s="102"/>
      <c r="F139" s="102"/>
      <c r="G139" s="104">
        <v>2010</v>
      </c>
      <c r="H139" s="100"/>
      <c r="I139" s="97">
        <f>AVERAGE(C139:D139)*inflation_gdp!$N$3/inflation_gdp!N$7</f>
        <v>760.39021911000668</v>
      </c>
      <c r="J139" s="97"/>
      <c r="K139" s="97"/>
      <c r="L139" s="100" t="s">
        <v>260</v>
      </c>
      <c r="M139" s="100" t="s">
        <v>266</v>
      </c>
      <c r="N139" s="100"/>
    </row>
    <row r="140" spans="1:14" s="16" customFormat="1" x14ac:dyDescent="0.35">
      <c r="A140" s="58" t="s">
        <v>283</v>
      </c>
      <c r="B140" s="100" t="s">
        <v>270</v>
      </c>
      <c r="C140" s="100"/>
      <c r="D140" s="103">
        <v>962</v>
      </c>
      <c r="E140" s="102"/>
      <c r="F140" s="102"/>
      <c r="G140" s="104">
        <v>2010</v>
      </c>
      <c r="H140" s="100"/>
      <c r="I140" s="97">
        <f>AVERAGE(C140:D140)*inflation_gdp!$K$3/inflation_gdp!K$7</f>
        <v>799.45438306245785</v>
      </c>
      <c r="J140" s="97"/>
      <c r="K140" s="97"/>
      <c r="L140" s="100" t="s">
        <v>275</v>
      </c>
      <c r="M140" s="100" t="s">
        <v>266</v>
      </c>
      <c r="N140" s="100"/>
    </row>
    <row r="141" spans="1:14" s="16" customFormat="1" x14ac:dyDescent="0.35">
      <c r="A141" s="58" t="s">
        <v>65</v>
      </c>
      <c r="B141" s="100" t="s">
        <v>270</v>
      </c>
      <c r="C141" s="100"/>
      <c r="D141" s="103">
        <v>962</v>
      </c>
      <c r="E141" s="102"/>
      <c r="F141" s="102"/>
      <c r="G141" s="104">
        <v>2014</v>
      </c>
      <c r="H141" s="100"/>
      <c r="I141" s="97">
        <f>AVERAGE(C141:D141)*inflation_gdp!$O$3/inflation_gdp!O$7</f>
        <v>727.74557771923219</v>
      </c>
      <c r="J141" s="97"/>
      <c r="K141" s="97"/>
      <c r="L141" s="100" t="s">
        <v>276</v>
      </c>
      <c r="M141" s="100" t="s">
        <v>266</v>
      </c>
      <c r="N141" s="100"/>
    </row>
    <row r="142" spans="1:14" x14ac:dyDescent="0.35">
      <c r="A142" s="58" t="s">
        <v>273</v>
      </c>
      <c r="B142" s="58" t="s">
        <v>274</v>
      </c>
      <c r="C142" s="105"/>
      <c r="D142" s="105">
        <v>45571</v>
      </c>
      <c r="E142" s="58"/>
      <c r="F142" s="58"/>
      <c r="G142" s="104">
        <v>2016</v>
      </c>
      <c r="H142" s="58"/>
      <c r="I142" s="97">
        <f>AVERAGE(C142:D142)*inflation_gdp!$P$3/inflation_gdp!P$7/100</f>
        <v>410.73456511942322</v>
      </c>
      <c r="J142" s="109">
        <v>99.81</v>
      </c>
      <c r="K142" s="118">
        <f>I142*(100/J142)</f>
        <v>411.51644636752155</v>
      </c>
      <c r="L142" s="100" t="s">
        <v>257</v>
      </c>
      <c r="M142" s="100" t="s">
        <v>266</v>
      </c>
      <c r="N142" s="58"/>
    </row>
    <row r="143" spans="1:14" s="8" customFormat="1" x14ac:dyDescent="0.35">
      <c r="A143" s="10"/>
      <c r="B143" s="13"/>
      <c r="E143" s="45"/>
      <c r="F143" s="46"/>
      <c r="G143" s="46"/>
      <c r="I143" s="45"/>
      <c r="J143" s="45"/>
      <c r="K143" s="45"/>
    </row>
    <row r="144" spans="1:14" s="8" customFormat="1" x14ac:dyDescent="0.35">
      <c r="B144" s="13"/>
      <c r="D144" s="14"/>
    </row>
    <row r="145" spans="1:16" s="25" customFormat="1" ht="59" x14ac:dyDescent="0.45">
      <c r="A145" s="87" t="s">
        <v>243</v>
      </c>
      <c r="B145" s="88" t="s">
        <v>59</v>
      </c>
      <c r="C145" s="88" t="s">
        <v>61</v>
      </c>
      <c r="D145" s="88" t="s">
        <v>295</v>
      </c>
      <c r="E145" s="88" t="s">
        <v>299</v>
      </c>
      <c r="F145" s="126" t="s">
        <v>366</v>
      </c>
      <c r="G145" s="88" t="s">
        <v>298</v>
      </c>
      <c r="H145" s="88" t="s">
        <v>64</v>
      </c>
      <c r="I145" s="88" t="s">
        <v>236</v>
      </c>
      <c r="J145" s="88" t="s">
        <v>292</v>
      </c>
      <c r="K145" s="88" t="s">
        <v>293</v>
      </c>
      <c r="L145" s="88" t="s">
        <v>0</v>
      </c>
      <c r="M145" s="88" t="s">
        <v>370</v>
      </c>
      <c r="N145" s="88" t="s">
        <v>79</v>
      </c>
    </row>
    <row r="146" spans="1:16" s="6" customFormat="1" x14ac:dyDescent="0.35">
      <c r="A146" s="155" t="s">
        <v>347</v>
      </c>
      <c r="B146" s="15"/>
      <c r="C146" s="156"/>
      <c r="D146" s="157"/>
      <c r="E146" s="157"/>
      <c r="F146" s="157"/>
      <c r="G146" s="158"/>
      <c r="H146" s="158"/>
      <c r="I146" s="140"/>
      <c r="J146" s="159"/>
      <c r="K146" s="160"/>
    </row>
    <row r="147" spans="1:16" s="8" customFormat="1" x14ac:dyDescent="0.35">
      <c r="A147" s="49" t="s">
        <v>225</v>
      </c>
      <c r="B147" s="89">
        <v>5.1810687022900765</v>
      </c>
      <c r="C147" s="90">
        <v>6.7872000000000003</v>
      </c>
      <c r="D147" s="119">
        <v>183437</v>
      </c>
      <c r="E147" s="119">
        <f>D147/F147</f>
        <v>1834.37</v>
      </c>
      <c r="F147" s="49">
        <v>100</v>
      </c>
      <c r="G147" s="91">
        <v>2012</v>
      </c>
      <c r="H147" s="49"/>
      <c r="I147" s="51">
        <f>E147*inflation_gdp!M$3</f>
        <v>1919.8460471714993</v>
      </c>
      <c r="J147" s="111">
        <v>109.33308117077252</v>
      </c>
      <c r="K147" s="119">
        <f>I147*(100/J147)</f>
        <v>1755.9608003480673</v>
      </c>
      <c r="L147" s="49" t="s">
        <v>3</v>
      </c>
      <c r="M147" s="50" t="s">
        <v>371</v>
      </c>
      <c r="N147" s="49"/>
    </row>
    <row r="148" spans="1:16" x14ac:dyDescent="0.35">
      <c r="A148" s="50" t="s">
        <v>312</v>
      </c>
      <c r="B148" s="50"/>
      <c r="C148" s="49"/>
      <c r="D148" s="119">
        <v>130000</v>
      </c>
      <c r="E148" s="119">
        <f t="shared" ref="E148:E150" si="11">D148/F148</f>
        <v>1300</v>
      </c>
      <c r="F148" s="49">
        <v>100</v>
      </c>
      <c r="G148" s="49">
        <v>2002</v>
      </c>
      <c r="H148" s="49"/>
      <c r="I148" s="51">
        <f>E148*inflation_gdp!C$3</f>
        <v>1721.0116883971443</v>
      </c>
      <c r="J148" s="111">
        <v>108.49249610469384</v>
      </c>
      <c r="K148" s="119">
        <f>I148*(100/J148)</f>
        <v>1586.2955966432835</v>
      </c>
      <c r="L148" s="91" t="s">
        <v>17</v>
      </c>
      <c r="M148" s="49" t="s">
        <v>102</v>
      </c>
      <c r="N148" s="49"/>
    </row>
    <row r="149" spans="1:16" x14ac:dyDescent="0.35">
      <c r="A149" s="50" t="s">
        <v>313</v>
      </c>
      <c r="B149" s="50"/>
      <c r="C149" s="49"/>
      <c r="D149" s="119">
        <v>280000</v>
      </c>
      <c r="E149" s="119">
        <f t="shared" si="11"/>
        <v>1866.6666666666667</v>
      </c>
      <c r="F149" s="49">
        <v>150</v>
      </c>
      <c r="G149" s="49">
        <v>2002</v>
      </c>
      <c r="H149" s="49"/>
      <c r="I149" s="51">
        <f>E149*inflation_gdp!C$3</f>
        <v>2471.1962705189762</v>
      </c>
      <c r="J149" s="111">
        <v>108.49249610469384</v>
      </c>
      <c r="K149" s="119">
        <f t="shared" ref="K149:K150" si="12">I149*(100/J149)</f>
        <v>2277.7577797954837</v>
      </c>
      <c r="L149" s="91" t="s">
        <v>17</v>
      </c>
      <c r="M149" s="49" t="s">
        <v>102</v>
      </c>
      <c r="N149" s="49"/>
    </row>
    <row r="150" spans="1:16" s="8" customFormat="1" x14ac:dyDescent="0.35">
      <c r="A150" s="50" t="s">
        <v>225</v>
      </c>
      <c r="B150" s="50"/>
      <c r="C150" s="49"/>
      <c r="D150" s="123">
        <v>349000</v>
      </c>
      <c r="E150" s="119">
        <f t="shared" si="11"/>
        <v>2326.6666666666665</v>
      </c>
      <c r="F150" s="49">
        <v>150</v>
      </c>
      <c r="G150" s="49">
        <v>2015</v>
      </c>
      <c r="H150" s="49"/>
      <c r="I150" s="51">
        <f>E150/inflation_gdp!P7</f>
        <v>2097.0407090280905</v>
      </c>
      <c r="J150" s="90">
        <v>99.81</v>
      </c>
      <c r="K150" s="119">
        <f t="shared" si="12"/>
        <v>2101.0326711031867</v>
      </c>
      <c r="L150" s="91" t="s">
        <v>257</v>
      </c>
      <c r="M150" s="49" t="s">
        <v>266</v>
      </c>
      <c r="N150" s="49"/>
    </row>
    <row r="151" spans="1:16" x14ac:dyDescent="0.35">
      <c r="A151" s="50" t="s">
        <v>217</v>
      </c>
      <c r="B151" s="50"/>
      <c r="C151" s="49"/>
      <c r="D151" s="119">
        <v>30000</v>
      </c>
      <c r="E151" s="119">
        <f t="shared" ref="E151" si="13">D151/100</f>
        <v>300</v>
      </c>
      <c r="F151" s="49"/>
      <c r="G151" s="49">
        <v>2002</v>
      </c>
      <c r="H151" s="49"/>
      <c r="I151" s="51">
        <f>E151*inflation_gdp!C$3</f>
        <v>397.15654347626406</v>
      </c>
      <c r="J151" s="111">
        <v>108.49249610469384</v>
      </c>
      <c r="K151" s="119">
        <f>I151*(100/J151)</f>
        <v>366.0682146099885</v>
      </c>
      <c r="L151" s="91" t="s">
        <v>17</v>
      </c>
      <c r="M151" s="49" t="s">
        <v>102</v>
      </c>
      <c r="N151" s="49"/>
    </row>
    <row r="152" spans="1:16" s="10" customFormat="1" x14ac:dyDescent="0.35">
      <c r="A152" s="52" t="s">
        <v>302</v>
      </c>
      <c r="B152" s="52"/>
      <c r="C152" s="52"/>
      <c r="D152" s="127"/>
      <c r="E152" s="128"/>
      <c r="F152" s="52"/>
      <c r="G152" s="52"/>
      <c r="H152" s="52"/>
      <c r="I152" s="129"/>
      <c r="J152" s="130"/>
      <c r="K152" s="143">
        <f>AVERAGE(K147:K150)</f>
        <v>1930.2617119725053</v>
      </c>
      <c r="L152" s="131"/>
      <c r="M152" s="52"/>
      <c r="N152" s="52"/>
    </row>
    <row r="153" spans="1:16" s="6" customFormat="1" ht="29" x14ac:dyDescent="0.35">
      <c r="A153" s="30" t="s">
        <v>367</v>
      </c>
      <c r="B153" s="36"/>
      <c r="D153" s="132"/>
      <c r="E153" s="133"/>
      <c r="I153" s="115"/>
      <c r="J153" s="134"/>
      <c r="K153" s="140"/>
      <c r="L153" s="135"/>
    </row>
    <row r="154" spans="1:16" s="8" customFormat="1" x14ac:dyDescent="0.35">
      <c r="A154" s="91" t="s">
        <v>224</v>
      </c>
      <c r="B154" s="91">
        <v>0.28999999999999998</v>
      </c>
      <c r="C154" s="125" t="s">
        <v>297</v>
      </c>
      <c r="D154" s="124" t="s">
        <v>296</v>
      </c>
      <c r="E154" s="92"/>
      <c r="F154" s="49"/>
      <c r="G154" s="91">
        <v>2014</v>
      </c>
      <c r="H154" s="91"/>
      <c r="I154" s="93"/>
      <c r="J154" s="93"/>
      <c r="K154" s="119"/>
      <c r="L154" s="91" t="s">
        <v>103</v>
      </c>
      <c r="M154" s="91" t="s">
        <v>106</v>
      </c>
      <c r="N154" s="49" t="s">
        <v>107</v>
      </c>
    </row>
    <row r="155" spans="1:16" x14ac:dyDescent="0.35">
      <c r="A155" s="49" t="s">
        <v>223</v>
      </c>
      <c r="B155" s="91"/>
      <c r="C155" s="91"/>
      <c r="D155" s="91" t="s">
        <v>82</v>
      </c>
      <c r="E155" s="49"/>
      <c r="F155" s="49"/>
      <c r="G155" s="91">
        <v>2011</v>
      </c>
      <c r="H155" s="91"/>
      <c r="I155" s="91"/>
      <c r="J155" s="90">
        <v>99.81</v>
      </c>
      <c r="K155" s="119"/>
      <c r="L155" s="91" t="s">
        <v>257</v>
      </c>
      <c r="M155" s="91" t="s">
        <v>83</v>
      </c>
      <c r="N155" s="49" t="s">
        <v>105</v>
      </c>
      <c r="O155" s="8"/>
      <c r="P155" s="8"/>
    </row>
    <row r="156" spans="1:16" x14ac:dyDescent="0.35">
      <c r="A156" s="50" t="s">
        <v>219</v>
      </c>
      <c r="B156" s="50"/>
      <c r="C156" s="49"/>
      <c r="D156" s="49"/>
      <c r="E156" s="89">
        <v>70</v>
      </c>
      <c r="F156" s="49"/>
      <c r="G156" s="49">
        <v>2002</v>
      </c>
      <c r="H156" s="49"/>
      <c r="I156" s="49"/>
      <c r="J156" s="111">
        <v>108.49249610469384</v>
      </c>
      <c r="K156" s="119"/>
      <c r="L156" s="91" t="s">
        <v>17</v>
      </c>
      <c r="M156" s="49" t="s">
        <v>102</v>
      </c>
      <c r="N156" s="49"/>
    </row>
    <row r="157" spans="1:16" x14ac:dyDescent="0.35">
      <c r="A157" s="50" t="s">
        <v>220</v>
      </c>
      <c r="B157" s="50"/>
      <c r="C157" s="49"/>
      <c r="D157" s="49"/>
      <c r="E157" s="89">
        <v>2.4045999999999998</v>
      </c>
      <c r="F157" s="49"/>
      <c r="G157" s="49">
        <v>2002</v>
      </c>
      <c r="H157" s="49"/>
      <c r="I157" s="49"/>
      <c r="J157" s="111">
        <v>108.49249610469384</v>
      </c>
      <c r="K157" s="119"/>
      <c r="L157" s="91" t="s">
        <v>17</v>
      </c>
      <c r="M157" s="49" t="s">
        <v>102</v>
      </c>
      <c r="N157" s="49"/>
    </row>
    <row r="158" spans="1:16" x14ac:dyDescent="0.35">
      <c r="A158" s="50" t="s">
        <v>221</v>
      </c>
      <c r="B158" s="50"/>
      <c r="C158" s="49"/>
      <c r="D158" s="49"/>
      <c r="E158" s="89">
        <v>1.22</v>
      </c>
      <c r="F158" s="49"/>
      <c r="G158" s="49">
        <v>2002</v>
      </c>
      <c r="H158" s="49"/>
      <c r="I158" s="49"/>
      <c r="J158" s="111">
        <v>108.49249610469384</v>
      </c>
      <c r="K158" s="119"/>
      <c r="L158" s="91" t="s">
        <v>17</v>
      </c>
      <c r="M158" s="49" t="s">
        <v>102</v>
      </c>
      <c r="N158" s="49"/>
    </row>
    <row r="159" spans="1:16" s="8" customFormat="1" x14ac:dyDescent="0.35">
      <c r="A159" s="50" t="s">
        <v>255</v>
      </c>
      <c r="B159" s="49"/>
      <c r="C159" s="49"/>
      <c r="D159" s="49"/>
      <c r="E159" s="89">
        <v>1</v>
      </c>
      <c r="F159" s="49"/>
      <c r="G159" s="49">
        <v>2002</v>
      </c>
      <c r="H159" s="49"/>
      <c r="I159" s="49"/>
      <c r="J159" s="111">
        <v>108.49249610469384</v>
      </c>
      <c r="K159" s="119"/>
      <c r="L159" s="91" t="s">
        <v>17</v>
      </c>
      <c r="M159" s="49" t="s">
        <v>102</v>
      </c>
      <c r="N159" s="49"/>
    </row>
    <row r="160" spans="1:16" x14ac:dyDescent="0.35">
      <c r="A160" s="50" t="s">
        <v>216</v>
      </c>
      <c r="B160" s="50"/>
      <c r="C160" s="49"/>
      <c r="D160" s="119">
        <v>250000</v>
      </c>
      <c r="E160" s="119">
        <f>D160/100</f>
        <v>2500</v>
      </c>
      <c r="F160" s="49"/>
      <c r="G160" s="49">
        <v>2002</v>
      </c>
      <c r="H160" s="49"/>
      <c r="I160" s="51">
        <f>E160*inflation_gdp!C$3</f>
        <v>3309.6378623022006</v>
      </c>
      <c r="J160" s="111">
        <v>108.49249610469384</v>
      </c>
      <c r="K160" s="119">
        <f>I160*(100/J160)</f>
        <v>3050.5684550832375</v>
      </c>
      <c r="L160" s="91" t="s">
        <v>17</v>
      </c>
      <c r="M160" s="49" t="s">
        <v>102</v>
      </c>
      <c r="N160" s="49"/>
    </row>
    <row r="161" spans="1:14" s="8" customFormat="1" x14ac:dyDescent="0.35">
      <c r="A161" s="50"/>
      <c r="B161" s="50"/>
      <c r="C161" s="49"/>
      <c r="D161" s="119"/>
      <c r="E161" s="119"/>
      <c r="F161" s="49"/>
      <c r="G161" s="49"/>
      <c r="H161" s="49"/>
      <c r="I161" s="51"/>
      <c r="J161" s="111"/>
      <c r="K161" s="119"/>
      <c r="L161" s="91"/>
      <c r="M161" s="49"/>
      <c r="N161" s="49"/>
    </row>
    <row r="162" spans="1:14" s="1" customFormat="1" ht="59" x14ac:dyDescent="0.45">
      <c r="A162" s="23" t="s">
        <v>135</v>
      </c>
      <c r="B162" s="24" t="s">
        <v>197</v>
      </c>
      <c r="C162" s="1" t="s">
        <v>198</v>
      </c>
      <c r="E162" s="24" t="s">
        <v>113</v>
      </c>
      <c r="F162" s="24" t="s">
        <v>138</v>
      </c>
      <c r="G162" s="24" t="s">
        <v>246</v>
      </c>
      <c r="H162" s="24" t="s">
        <v>139</v>
      </c>
      <c r="I162" s="24"/>
      <c r="J162" s="24"/>
      <c r="K162" s="24"/>
      <c r="L162" s="24" t="s">
        <v>0</v>
      </c>
      <c r="M162" s="24" t="s">
        <v>370</v>
      </c>
      <c r="N162" s="24" t="s">
        <v>79</v>
      </c>
    </row>
    <row r="163" spans="1:14" s="1" customFormat="1" x14ac:dyDescent="0.35">
      <c r="A163" s="48" t="s">
        <v>290</v>
      </c>
      <c r="B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</row>
    <row r="164" spans="1:14" s="8" customFormat="1" x14ac:dyDescent="0.35">
      <c r="B164" s="13"/>
      <c r="E164" s="10" t="s">
        <v>101</v>
      </c>
      <c r="F164" s="10" t="s">
        <v>140</v>
      </c>
      <c r="G164" s="10"/>
      <c r="H164" s="10" t="s">
        <v>150</v>
      </c>
      <c r="I164" s="10"/>
      <c r="J164" s="10"/>
      <c r="K164" s="10"/>
      <c r="M164" s="13"/>
    </row>
    <row r="165" spans="1:14" s="8" customFormat="1" x14ac:dyDescent="0.35">
      <c r="A165" s="13" t="s">
        <v>136</v>
      </c>
      <c r="B165" s="13"/>
      <c r="F165" s="8">
        <v>277012</v>
      </c>
      <c r="L165" s="8" t="s">
        <v>20</v>
      </c>
      <c r="M165" s="8" t="s">
        <v>111</v>
      </c>
    </row>
    <row r="166" spans="1:14" s="8" customFormat="1" x14ac:dyDescent="0.35">
      <c r="A166" s="13" t="s">
        <v>136</v>
      </c>
      <c r="B166" s="13"/>
      <c r="E166" s="8">
        <v>611</v>
      </c>
      <c r="F166" s="8">
        <v>535689</v>
      </c>
      <c r="H166" s="8">
        <v>2</v>
      </c>
      <c r="L166" s="8" t="s">
        <v>20</v>
      </c>
      <c r="M166" s="8" t="s">
        <v>111</v>
      </c>
    </row>
    <row r="167" spans="1:14" s="8" customFormat="1" x14ac:dyDescent="0.35">
      <c r="A167" s="13"/>
      <c r="B167" s="13"/>
      <c r="E167" s="10" t="s">
        <v>101</v>
      </c>
      <c r="F167" s="10" t="s">
        <v>101</v>
      </c>
      <c r="G167" s="10"/>
      <c r="H167" s="10" t="s">
        <v>151</v>
      </c>
      <c r="I167" s="10"/>
      <c r="J167" s="10"/>
      <c r="K167" s="10"/>
    </row>
    <row r="168" spans="1:14" x14ac:dyDescent="0.35">
      <c r="A168" t="s">
        <v>146</v>
      </c>
      <c r="E168">
        <v>548</v>
      </c>
      <c r="F168">
        <v>12671</v>
      </c>
      <c r="L168" s="8" t="s">
        <v>15</v>
      </c>
      <c r="M168" s="8" t="s">
        <v>111</v>
      </c>
    </row>
    <row r="169" spans="1:14" x14ac:dyDescent="0.35">
      <c r="A169" t="s">
        <v>146</v>
      </c>
      <c r="E169">
        <v>27009</v>
      </c>
      <c r="L169" s="8" t="s">
        <v>44</v>
      </c>
      <c r="M169" s="8" t="s">
        <v>111</v>
      </c>
    </row>
    <row r="170" spans="1:14" s="8" customFormat="1" x14ac:dyDescent="0.35">
      <c r="B170" s="13"/>
      <c r="F170" s="10" t="s">
        <v>152</v>
      </c>
      <c r="G170" s="10"/>
      <c r="H170" s="10" t="s">
        <v>150</v>
      </c>
      <c r="I170" s="10"/>
      <c r="J170" s="10"/>
      <c r="K170" s="10"/>
    </row>
    <row r="171" spans="1:14" x14ac:dyDescent="0.35">
      <c r="A171" t="s">
        <v>149</v>
      </c>
      <c r="F171">
        <v>1.82</v>
      </c>
      <c r="L171" s="8" t="s">
        <v>27</v>
      </c>
      <c r="M171" s="8" t="s">
        <v>111</v>
      </c>
    </row>
    <row r="172" spans="1:14" x14ac:dyDescent="0.35">
      <c r="A172" s="8" t="s">
        <v>149</v>
      </c>
      <c r="F172">
        <v>0.84</v>
      </c>
      <c r="L172" s="8" t="s">
        <v>27</v>
      </c>
      <c r="M172" s="8" t="s">
        <v>111</v>
      </c>
    </row>
    <row r="173" spans="1:14" x14ac:dyDescent="0.35">
      <c r="A173" s="8" t="s">
        <v>149</v>
      </c>
      <c r="F173">
        <v>1.68</v>
      </c>
      <c r="L173" s="8" t="s">
        <v>27</v>
      </c>
      <c r="M173" s="8" t="s">
        <v>111</v>
      </c>
    </row>
    <row r="174" spans="1:14" x14ac:dyDescent="0.35">
      <c r="A174" s="8" t="s">
        <v>149</v>
      </c>
      <c r="F174">
        <v>0.55000000000000004</v>
      </c>
      <c r="L174" s="8" t="s">
        <v>27</v>
      </c>
      <c r="M174" s="8" t="s">
        <v>111</v>
      </c>
    </row>
    <row r="175" spans="1:14" x14ac:dyDescent="0.35">
      <c r="A175" s="8" t="s">
        <v>149</v>
      </c>
      <c r="F175">
        <v>1.02</v>
      </c>
      <c r="L175" s="8" t="s">
        <v>3</v>
      </c>
      <c r="M175" s="8" t="s">
        <v>111</v>
      </c>
    </row>
    <row r="176" spans="1:14" x14ac:dyDescent="0.35">
      <c r="A176" s="8" t="s">
        <v>149</v>
      </c>
      <c r="F176">
        <v>2.73</v>
      </c>
      <c r="L176" s="8" t="s">
        <v>11</v>
      </c>
      <c r="M176" s="8" t="s">
        <v>111</v>
      </c>
    </row>
    <row r="177" spans="1:14" x14ac:dyDescent="0.35">
      <c r="A177" s="8" t="s">
        <v>149</v>
      </c>
      <c r="F177">
        <v>1.46</v>
      </c>
      <c r="L177" s="8" t="s">
        <v>51</v>
      </c>
      <c r="M177" s="8" t="s">
        <v>111</v>
      </c>
    </row>
    <row r="178" spans="1:14" x14ac:dyDescent="0.35">
      <c r="A178" s="8" t="s">
        <v>149</v>
      </c>
      <c r="H178" t="s">
        <v>153</v>
      </c>
      <c r="L178" s="8" t="s">
        <v>154</v>
      </c>
      <c r="M178" s="8" t="s">
        <v>111</v>
      </c>
    </row>
    <row r="179" spans="1:14" x14ac:dyDescent="0.35">
      <c r="C179" s="10" t="s">
        <v>179</v>
      </c>
    </row>
    <row r="180" spans="1:14" x14ac:dyDescent="0.35">
      <c r="A180" t="s">
        <v>169</v>
      </c>
      <c r="B180" s="14">
        <v>60000000</v>
      </c>
      <c r="C180" s="13"/>
      <c r="L180" s="13" t="s">
        <v>3</v>
      </c>
      <c r="M180" t="s">
        <v>191</v>
      </c>
    </row>
    <row r="181" spans="1:14" x14ac:dyDescent="0.35">
      <c r="A181" t="s">
        <v>186</v>
      </c>
      <c r="B181" s="14">
        <v>61000000</v>
      </c>
      <c r="C181" s="8"/>
      <c r="H181" s="14">
        <v>760000</v>
      </c>
      <c r="I181" s="14"/>
      <c r="J181" s="14"/>
      <c r="K181" s="14"/>
      <c r="L181" s="13" t="s">
        <v>37</v>
      </c>
      <c r="M181" s="8" t="s">
        <v>191</v>
      </c>
      <c r="N181" s="8"/>
    </row>
    <row r="182" spans="1:14" x14ac:dyDescent="0.35">
      <c r="A182" t="s">
        <v>187</v>
      </c>
      <c r="B182" s="14">
        <v>7600000</v>
      </c>
      <c r="C182" s="8"/>
      <c r="E182" s="8"/>
      <c r="H182" s="14">
        <v>1200000</v>
      </c>
      <c r="I182" s="14"/>
      <c r="J182" s="14"/>
      <c r="K182" s="14"/>
      <c r="L182" s="13" t="s">
        <v>37</v>
      </c>
      <c r="M182" s="8" t="s">
        <v>191</v>
      </c>
    </row>
    <row r="183" spans="1:14" x14ac:dyDescent="0.35">
      <c r="A183" t="s">
        <v>193</v>
      </c>
      <c r="B183" s="14">
        <v>1705000000</v>
      </c>
      <c r="C183" s="14">
        <v>3900</v>
      </c>
      <c r="L183" s="13" t="s">
        <v>3</v>
      </c>
      <c r="M183" s="8" t="s">
        <v>191</v>
      </c>
      <c r="N183" t="s">
        <v>176</v>
      </c>
    </row>
    <row r="184" spans="1:14" s="8" customFormat="1" x14ac:dyDescent="0.35">
      <c r="A184" t="s">
        <v>171</v>
      </c>
      <c r="B184" s="14">
        <v>1890000000</v>
      </c>
      <c r="C184" s="14">
        <v>2500</v>
      </c>
      <c r="D184"/>
      <c r="L184" s="13" t="s">
        <v>3</v>
      </c>
      <c r="M184" s="8" t="s">
        <v>191</v>
      </c>
      <c r="N184" t="s">
        <v>177</v>
      </c>
    </row>
    <row r="185" spans="1:14" x14ac:dyDescent="0.35">
      <c r="A185" t="s">
        <v>173</v>
      </c>
      <c r="B185" s="14">
        <v>1160000000</v>
      </c>
      <c r="C185" s="14">
        <v>11000</v>
      </c>
      <c r="L185" s="13" t="s">
        <v>3</v>
      </c>
      <c r="M185" s="8" t="s">
        <v>191</v>
      </c>
    </row>
    <row r="186" spans="1:14" x14ac:dyDescent="0.35">
      <c r="A186" t="s">
        <v>174</v>
      </c>
      <c r="B186" s="14">
        <v>3480000000</v>
      </c>
      <c r="C186" s="14">
        <v>3500</v>
      </c>
      <c r="L186" s="13" t="s">
        <v>3</v>
      </c>
      <c r="M186" s="8" t="s">
        <v>191</v>
      </c>
    </row>
    <row r="187" spans="1:14" s="8" customFormat="1" x14ac:dyDescent="0.35">
      <c r="B187" s="14"/>
      <c r="C187" s="14"/>
      <c r="D187" s="24" t="s">
        <v>61</v>
      </c>
      <c r="E187" s="24" t="s">
        <v>64</v>
      </c>
      <c r="L187" s="13"/>
    </row>
    <row r="188" spans="1:14" s="13" customFormat="1" x14ac:dyDescent="0.35">
      <c r="A188" s="8" t="s">
        <v>170</v>
      </c>
      <c r="C188" s="8"/>
      <c r="D188" s="8">
        <v>0.14799999999999999</v>
      </c>
      <c r="E188" s="8">
        <v>4.1749999999999998</v>
      </c>
      <c r="F188" s="8"/>
      <c r="G188" s="8"/>
      <c r="H188" s="8"/>
      <c r="I188" s="8"/>
      <c r="J188" s="8"/>
      <c r="K188" s="8"/>
      <c r="L188" s="8" t="s">
        <v>3</v>
      </c>
      <c r="M188" s="13" t="s">
        <v>63</v>
      </c>
    </row>
    <row r="189" spans="1:14" s="8" customFormat="1" x14ac:dyDescent="0.35">
      <c r="A189" s="8" t="s">
        <v>170</v>
      </c>
      <c r="B189" s="13"/>
      <c r="C189" s="13"/>
      <c r="D189" s="14">
        <v>12000000</v>
      </c>
      <c r="L189" s="13" t="s">
        <v>3</v>
      </c>
      <c r="M189" s="8" t="s">
        <v>191</v>
      </c>
      <c r="N189" s="8" t="s">
        <v>172</v>
      </c>
    </row>
    <row r="190" spans="1:14" s="8" customFormat="1" x14ac:dyDescent="0.35">
      <c r="A190" s="8" t="s">
        <v>215</v>
      </c>
      <c r="B190" s="13"/>
      <c r="D190" s="14">
        <v>7600000</v>
      </c>
      <c r="L190" s="13" t="s">
        <v>37</v>
      </c>
      <c r="M190" s="8" t="s">
        <v>191</v>
      </c>
      <c r="N190" s="8" t="s">
        <v>185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C14" sqref="C14"/>
    </sheetView>
  </sheetViews>
  <sheetFormatPr defaultRowHeight="14.5" x14ac:dyDescent="0.35"/>
  <cols>
    <col min="1" max="1" width="25.7265625" style="8" customWidth="1"/>
    <col min="2" max="2" width="15.6328125" style="8" customWidth="1"/>
    <col min="3" max="3" width="10" style="8" customWidth="1"/>
    <col min="4" max="4" width="8.90625" style="8" customWidth="1"/>
    <col min="5" max="6" width="10.26953125" style="8" customWidth="1"/>
    <col min="7" max="7" width="95" customWidth="1"/>
  </cols>
  <sheetData>
    <row r="1" spans="1:7" ht="43.5" x14ac:dyDescent="0.35">
      <c r="A1" s="2" t="s">
        <v>2</v>
      </c>
      <c r="B1" s="2" t="s">
        <v>1</v>
      </c>
      <c r="C1" s="2" t="s">
        <v>361</v>
      </c>
      <c r="D1" s="2" t="s">
        <v>360</v>
      </c>
      <c r="E1" s="5" t="s">
        <v>10</v>
      </c>
      <c r="F1" s="5" t="s">
        <v>58</v>
      </c>
      <c r="G1" s="5" t="s">
        <v>116</v>
      </c>
    </row>
    <row r="2" spans="1:7" x14ac:dyDescent="0.35">
      <c r="A2" s="8" t="s">
        <v>266</v>
      </c>
      <c r="C2" s="8" t="s">
        <v>71</v>
      </c>
      <c r="D2" s="3">
        <v>62</v>
      </c>
      <c r="E2" s="4" t="s">
        <v>9</v>
      </c>
      <c r="G2" s="1" t="s">
        <v>291</v>
      </c>
    </row>
    <row r="3" spans="1:7" ht="40.5" x14ac:dyDescent="0.35">
      <c r="A3" s="8" t="s">
        <v>53</v>
      </c>
      <c r="C3" s="8" t="s">
        <v>71</v>
      </c>
      <c r="D3" s="3">
        <v>33</v>
      </c>
      <c r="E3" s="4" t="s">
        <v>9</v>
      </c>
      <c r="F3" s="4"/>
      <c r="G3" s="17" t="s">
        <v>122</v>
      </c>
    </row>
    <row r="4" spans="1:7" ht="41" x14ac:dyDescent="0.35">
      <c r="A4" s="8" t="s">
        <v>85</v>
      </c>
      <c r="B4" s="8" t="s">
        <v>111</v>
      </c>
      <c r="C4" s="9" t="s">
        <v>71</v>
      </c>
      <c r="D4" s="3">
        <v>42</v>
      </c>
      <c r="E4" s="4" t="s">
        <v>9</v>
      </c>
      <c r="F4" s="4" t="s">
        <v>9</v>
      </c>
      <c r="G4" s="20" t="s">
        <v>129</v>
      </c>
    </row>
    <row r="5" spans="1:7" ht="29" x14ac:dyDescent="0.35">
      <c r="A5" s="8" t="s">
        <v>111</v>
      </c>
      <c r="C5" s="9" t="s">
        <v>71</v>
      </c>
      <c r="D5" s="3">
        <v>60</v>
      </c>
      <c r="E5" s="4" t="s">
        <v>9</v>
      </c>
      <c r="G5" s="1" t="s">
        <v>132</v>
      </c>
    </row>
    <row r="6" spans="1:7" ht="29" x14ac:dyDescent="0.35">
      <c r="A6" s="3" t="s">
        <v>4</v>
      </c>
      <c r="B6" s="11" t="s">
        <v>39</v>
      </c>
      <c r="C6" s="3" t="s">
        <v>358</v>
      </c>
      <c r="D6" s="3">
        <v>1</v>
      </c>
      <c r="E6" s="12"/>
      <c r="F6" s="4" t="s">
        <v>9</v>
      </c>
      <c r="G6" s="8"/>
    </row>
    <row r="7" spans="1:7" ht="54" x14ac:dyDescent="0.35">
      <c r="A7" s="8" t="s">
        <v>57</v>
      </c>
      <c r="C7" s="3" t="s">
        <v>71</v>
      </c>
      <c r="D7" s="3">
        <v>38</v>
      </c>
      <c r="E7" s="4" t="s">
        <v>9</v>
      </c>
      <c r="F7" s="4"/>
      <c r="G7" s="17" t="s">
        <v>119</v>
      </c>
    </row>
    <row r="8" spans="1:7" x14ac:dyDescent="0.35">
      <c r="A8" s="8" t="s">
        <v>28</v>
      </c>
      <c r="C8" s="3" t="s">
        <v>358</v>
      </c>
      <c r="D8" s="3">
        <v>8</v>
      </c>
    </row>
    <row r="9" spans="1:7" x14ac:dyDescent="0.35">
      <c r="A9" s="8" t="s">
        <v>309</v>
      </c>
      <c r="B9" s="8" t="s">
        <v>308</v>
      </c>
      <c r="C9" s="3" t="s">
        <v>71</v>
      </c>
      <c r="D9" s="3">
        <v>63</v>
      </c>
      <c r="F9" s="4" t="s">
        <v>9</v>
      </c>
    </row>
    <row r="10" spans="1:7" ht="29" x14ac:dyDescent="0.35">
      <c r="A10" s="8" t="s">
        <v>309</v>
      </c>
      <c r="B10" s="8" t="s">
        <v>308</v>
      </c>
      <c r="C10" s="3" t="s">
        <v>71</v>
      </c>
      <c r="D10" s="3">
        <v>64</v>
      </c>
      <c r="F10" s="4" t="s">
        <v>9</v>
      </c>
      <c r="G10" s="1" t="s">
        <v>310</v>
      </c>
    </row>
    <row r="11" spans="1:7" ht="40.5" x14ac:dyDescent="0.35">
      <c r="A11" s="8" t="s">
        <v>84</v>
      </c>
      <c r="C11" s="3" t="s">
        <v>71</v>
      </c>
      <c r="D11" s="3">
        <v>41</v>
      </c>
      <c r="E11" s="4" t="s">
        <v>9</v>
      </c>
      <c r="G11" s="17" t="s">
        <v>117</v>
      </c>
    </row>
    <row r="12" spans="1:7" ht="40.5" x14ac:dyDescent="0.35">
      <c r="A12" s="8" t="s">
        <v>54</v>
      </c>
      <c r="C12" s="168" t="s">
        <v>358</v>
      </c>
      <c r="D12" s="3">
        <v>34</v>
      </c>
      <c r="E12" s="4" t="s">
        <v>9</v>
      </c>
      <c r="F12" s="4"/>
      <c r="G12" s="17" t="s">
        <v>121</v>
      </c>
    </row>
    <row r="13" spans="1:7" s="8" customFormat="1" x14ac:dyDescent="0.35">
      <c r="A13" s="8" t="s">
        <v>364</v>
      </c>
      <c r="C13" s="168" t="s">
        <v>358</v>
      </c>
      <c r="D13" s="3"/>
      <c r="E13" s="4"/>
      <c r="F13" s="4"/>
      <c r="G13" s="17"/>
    </row>
    <row r="14" spans="1:7" ht="41" x14ac:dyDescent="0.35">
      <c r="A14" s="8" t="s">
        <v>123</v>
      </c>
      <c r="C14" s="168" t="s">
        <v>71</v>
      </c>
      <c r="E14" s="4" t="s">
        <v>9</v>
      </c>
      <c r="G14" s="20" t="s">
        <v>124</v>
      </c>
    </row>
    <row r="15" spans="1:7" ht="27" x14ac:dyDescent="0.35">
      <c r="A15" s="8" t="s">
        <v>40</v>
      </c>
      <c r="C15" s="3" t="s">
        <v>71</v>
      </c>
      <c r="D15" s="3">
        <v>15</v>
      </c>
      <c r="E15" s="4" t="s">
        <v>9</v>
      </c>
      <c r="G15" s="18" t="s">
        <v>118</v>
      </c>
    </row>
    <row r="16" spans="1:7" ht="40.5" x14ac:dyDescent="0.35">
      <c r="A16" s="8" t="s">
        <v>72</v>
      </c>
      <c r="C16" s="3" t="s">
        <v>71</v>
      </c>
      <c r="D16" s="3">
        <v>39</v>
      </c>
      <c r="E16" s="4" t="s">
        <v>9</v>
      </c>
      <c r="G16" s="17" t="s">
        <v>120</v>
      </c>
    </row>
    <row r="17" spans="1:7" ht="40.5" x14ac:dyDescent="0.35">
      <c r="A17" s="8" t="s">
        <v>49</v>
      </c>
      <c r="C17" s="3" t="s">
        <v>71</v>
      </c>
      <c r="D17" s="3">
        <v>31</v>
      </c>
      <c r="E17" s="4" t="s">
        <v>9</v>
      </c>
      <c r="F17" s="4"/>
      <c r="G17" s="17" t="s">
        <v>125</v>
      </c>
    </row>
    <row r="18" spans="1:7" ht="29" x14ac:dyDescent="0.35">
      <c r="A18" s="8" t="s">
        <v>191</v>
      </c>
      <c r="C18" s="168" t="s">
        <v>71</v>
      </c>
      <c r="D18" s="3">
        <v>61</v>
      </c>
      <c r="F18" s="4"/>
      <c r="G18" s="1" t="s">
        <v>192</v>
      </c>
    </row>
    <row r="19" spans="1:7" ht="29" x14ac:dyDescent="0.35">
      <c r="A19" s="8" t="s">
        <v>104</v>
      </c>
      <c r="C19" s="168" t="s">
        <v>71</v>
      </c>
      <c r="D19" s="3">
        <v>43</v>
      </c>
      <c r="E19" s="4" t="s">
        <v>9</v>
      </c>
      <c r="G19" s="1" t="s">
        <v>164</v>
      </c>
    </row>
    <row r="20" spans="1:7" ht="43.5" x14ac:dyDescent="0.35">
      <c r="A20" s="8" t="s">
        <v>359</v>
      </c>
      <c r="C20" s="168" t="s">
        <v>71</v>
      </c>
      <c r="D20" s="3"/>
      <c r="E20" s="4"/>
      <c r="F20" s="4"/>
      <c r="G20" s="1" t="s">
        <v>311</v>
      </c>
    </row>
    <row r="21" spans="1:7" ht="29" x14ac:dyDescent="0.35">
      <c r="A21" s="8" t="s">
        <v>165</v>
      </c>
      <c r="C21" s="168" t="s">
        <v>71</v>
      </c>
      <c r="D21" s="3">
        <v>27</v>
      </c>
      <c r="E21" s="4" t="s">
        <v>9</v>
      </c>
      <c r="F21" s="4"/>
      <c r="G21" s="1" t="s">
        <v>166</v>
      </c>
    </row>
    <row r="22" spans="1:7" ht="43.5" x14ac:dyDescent="0.35">
      <c r="A22" s="8" t="s">
        <v>362</v>
      </c>
      <c r="C22" s="3" t="s">
        <v>71</v>
      </c>
      <c r="D22" s="3"/>
      <c r="E22" s="4" t="s">
        <v>9</v>
      </c>
      <c r="F22" s="4"/>
      <c r="G22" s="1" t="s">
        <v>363</v>
      </c>
    </row>
    <row r="23" spans="1:7" ht="29" x14ac:dyDescent="0.35">
      <c r="A23" s="1" t="s">
        <v>39</v>
      </c>
      <c r="C23" s="3" t="s">
        <v>71</v>
      </c>
      <c r="E23" s="4" t="s">
        <v>9</v>
      </c>
      <c r="G23" s="1" t="s">
        <v>131</v>
      </c>
    </row>
    <row r="24" spans="1:7" ht="41" x14ac:dyDescent="0.35">
      <c r="A24" s="8" t="s">
        <v>52</v>
      </c>
      <c r="C24" s="3" t="s">
        <v>71</v>
      </c>
      <c r="D24" s="3">
        <v>35</v>
      </c>
      <c r="E24" s="4" t="s">
        <v>9</v>
      </c>
      <c r="F24" s="4"/>
      <c r="G24" s="20" t="s">
        <v>128</v>
      </c>
    </row>
    <row r="25" spans="1:7" x14ac:dyDescent="0.35">
      <c r="A25" s="8" t="s">
        <v>46</v>
      </c>
      <c r="C25" s="8" t="s">
        <v>358</v>
      </c>
      <c r="D25" s="3">
        <v>26</v>
      </c>
      <c r="E25" s="4"/>
      <c r="F25" s="4"/>
      <c r="G25" s="8"/>
    </row>
    <row r="26" spans="1:7" x14ac:dyDescent="0.35">
      <c r="A26" s="8" t="s">
        <v>48</v>
      </c>
      <c r="C26" s="8" t="s">
        <v>358</v>
      </c>
      <c r="D26" s="3">
        <v>29</v>
      </c>
      <c r="E26" s="4"/>
      <c r="F26" s="4"/>
    </row>
    <row r="27" spans="1:7" x14ac:dyDescent="0.35">
      <c r="A27" s="8" t="s">
        <v>30</v>
      </c>
      <c r="C27" s="9" t="s">
        <v>358</v>
      </c>
      <c r="D27" s="3">
        <v>8</v>
      </c>
    </row>
    <row r="28" spans="1:7" x14ac:dyDescent="0.35">
      <c r="A28" s="8" t="s">
        <v>22</v>
      </c>
      <c r="C28" s="9" t="s">
        <v>358</v>
      </c>
      <c r="D28" s="3">
        <v>12</v>
      </c>
      <c r="G28" s="8"/>
    </row>
    <row r="29" spans="1:7" x14ac:dyDescent="0.35">
      <c r="A29" s="8" t="s">
        <v>161</v>
      </c>
      <c r="B29" s="8" t="s">
        <v>111</v>
      </c>
      <c r="C29" s="9" t="s">
        <v>358</v>
      </c>
      <c r="D29" s="3">
        <v>59</v>
      </c>
      <c r="F29" s="4" t="s">
        <v>9</v>
      </c>
    </row>
    <row r="30" spans="1:7" x14ac:dyDescent="0.35">
      <c r="A30" s="8" t="s">
        <v>160</v>
      </c>
      <c r="B30" s="8" t="s">
        <v>111</v>
      </c>
      <c r="C30" s="9" t="s">
        <v>358</v>
      </c>
      <c r="D30" s="3">
        <v>58</v>
      </c>
      <c r="F30" s="4" t="s">
        <v>9</v>
      </c>
      <c r="G30" s="8"/>
    </row>
    <row r="31" spans="1:7" ht="29" x14ac:dyDescent="0.35">
      <c r="A31" s="3" t="s">
        <v>5</v>
      </c>
      <c r="B31" s="1" t="s">
        <v>39</v>
      </c>
      <c r="C31" s="3" t="s">
        <v>358</v>
      </c>
      <c r="D31" s="3">
        <v>2</v>
      </c>
      <c r="E31" s="4"/>
      <c r="F31" s="4"/>
    </row>
    <row r="32" spans="1:7" x14ac:dyDescent="0.35">
      <c r="A32" s="8" t="s">
        <v>45</v>
      </c>
      <c r="C32" s="9" t="s">
        <v>358</v>
      </c>
      <c r="D32" s="3">
        <v>25</v>
      </c>
      <c r="E32" s="4"/>
      <c r="F32" s="4"/>
      <c r="G32" s="8"/>
    </row>
    <row r="33" spans="1:7" x14ac:dyDescent="0.35">
      <c r="A33" s="3" t="s">
        <v>16</v>
      </c>
      <c r="C33" s="3" t="s">
        <v>358</v>
      </c>
      <c r="D33" s="3">
        <v>7</v>
      </c>
      <c r="E33" s="4"/>
      <c r="F33" s="4"/>
    </row>
    <row r="34" spans="1:7" x14ac:dyDescent="0.35">
      <c r="A34" s="8" t="s">
        <v>43</v>
      </c>
      <c r="C34" s="3" t="s">
        <v>358</v>
      </c>
      <c r="D34" s="3">
        <v>24</v>
      </c>
      <c r="E34" s="4"/>
      <c r="F34" s="4"/>
      <c r="G34" s="8"/>
    </row>
    <row r="35" spans="1:7" x14ac:dyDescent="0.35">
      <c r="A35" s="8" t="s">
        <v>42</v>
      </c>
      <c r="C35" s="3" t="s">
        <v>358</v>
      </c>
      <c r="D35" s="3">
        <v>23</v>
      </c>
      <c r="E35" s="4"/>
      <c r="F35" s="4"/>
      <c r="G35" s="8"/>
    </row>
    <row r="36" spans="1:7" ht="29" x14ac:dyDescent="0.35">
      <c r="A36" s="3" t="s">
        <v>6</v>
      </c>
      <c r="B36" s="1" t="s">
        <v>39</v>
      </c>
      <c r="C36" s="3" t="s">
        <v>358</v>
      </c>
      <c r="D36" s="3">
        <v>3</v>
      </c>
      <c r="E36" s="4"/>
      <c r="F36" s="4"/>
      <c r="G36" s="8"/>
    </row>
    <row r="37" spans="1:7" x14ac:dyDescent="0.35">
      <c r="A37" s="8" t="s">
        <v>133</v>
      </c>
      <c r="B37" s="8" t="s">
        <v>111</v>
      </c>
      <c r="C37" s="3" t="s">
        <v>358</v>
      </c>
      <c r="D37" s="3">
        <v>47</v>
      </c>
      <c r="F37" s="4" t="s">
        <v>9</v>
      </c>
      <c r="G37" s="8"/>
    </row>
    <row r="38" spans="1:7" x14ac:dyDescent="0.35">
      <c r="A38" s="8" t="s">
        <v>158</v>
      </c>
      <c r="B38" s="8" t="s">
        <v>111</v>
      </c>
      <c r="C38" s="3" t="s">
        <v>358</v>
      </c>
      <c r="D38" s="3">
        <v>56</v>
      </c>
      <c r="F38" s="4" t="s">
        <v>9</v>
      </c>
      <c r="G38" s="8"/>
    </row>
    <row r="39" spans="1:7" x14ac:dyDescent="0.35">
      <c r="A39" s="8" t="s">
        <v>81</v>
      </c>
      <c r="C39" s="3" t="s">
        <v>358</v>
      </c>
      <c r="D39" s="3">
        <v>40</v>
      </c>
      <c r="E39" s="4" t="s">
        <v>9</v>
      </c>
      <c r="G39" s="8"/>
    </row>
    <row r="40" spans="1:7" x14ac:dyDescent="0.35">
      <c r="A40" s="13" t="s">
        <v>155</v>
      </c>
      <c r="B40" s="8" t="s">
        <v>111</v>
      </c>
      <c r="C40" s="168" t="s">
        <v>358</v>
      </c>
      <c r="D40" s="3">
        <v>54</v>
      </c>
      <c r="F40" s="4" t="s">
        <v>9</v>
      </c>
      <c r="G40" s="8"/>
    </row>
    <row r="41" spans="1:7" ht="29" x14ac:dyDescent="0.35">
      <c r="A41" s="3" t="s">
        <v>8</v>
      </c>
      <c r="B41" s="1" t="s">
        <v>39</v>
      </c>
      <c r="C41" s="3" t="s">
        <v>358</v>
      </c>
      <c r="D41" s="3">
        <v>4</v>
      </c>
      <c r="E41" s="4" t="s">
        <v>9</v>
      </c>
      <c r="F41" s="4"/>
      <c r="G41" s="1" t="s">
        <v>130</v>
      </c>
    </row>
    <row r="42" spans="1:7" x14ac:dyDescent="0.35">
      <c r="A42" s="6" t="s">
        <v>19</v>
      </c>
      <c r="B42" s="6"/>
      <c r="C42" s="3" t="s">
        <v>358</v>
      </c>
      <c r="D42" s="3">
        <v>10</v>
      </c>
      <c r="E42" s="6"/>
      <c r="F42" s="6"/>
      <c r="G42" s="8"/>
    </row>
    <row r="43" spans="1:7" x14ac:dyDescent="0.35">
      <c r="A43" s="21" t="s">
        <v>21</v>
      </c>
      <c r="B43" s="6"/>
      <c r="C43" s="21" t="s">
        <v>358</v>
      </c>
      <c r="D43" s="21">
        <v>11</v>
      </c>
      <c r="E43" s="6"/>
      <c r="F43" s="6"/>
      <c r="G43" s="8" t="s">
        <v>157</v>
      </c>
    </row>
    <row r="44" spans="1:7" x14ac:dyDescent="0.35">
      <c r="A44" s="8" t="s">
        <v>112</v>
      </c>
      <c r="B44" s="8" t="s">
        <v>111</v>
      </c>
      <c r="C44" s="3" t="s">
        <v>358</v>
      </c>
      <c r="D44" s="3">
        <v>46</v>
      </c>
      <c r="F44" s="4" t="s">
        <v>9</v>
      </c>
      <c r="G44" s="8"/>
    </row>
    <row r="45" spans="1:7" x14ac:dyDescent="0.35">
      <c r="A45" s="7" t="s">
        <v>29</v>
      </c>
      <c r="C45" s="3" t="s">
        <v>358</v>
      </c>
      <c r="D45" s="3">
        <v>17</v>
      </c>
      <c r="E45" s="4"/>
      <c r="F45" s="4"/>
      <c r="G45" s="8"/>
    </row>
    <row r="46" spans="1:7" x14ac:dyDescent="0.35">
      <c r="A46" s="8" t="s">
        <v>148</v>
      </c>
      <c r="B46" s="8" t="s">
        <v>111</v>
      </c>
      <c r="C46" s="3" t="s">
        <v>358</v>
      </c>
      <c r="D46" s="3">
        <v>53</v>
      </c>
      <c r="F46" s="4" t="s">
        <v>9</v>
      </c>
      <c r="G46" s="8"/>
    </row>
    <row r="47" spans="1:7" x14ac:dyDescent="0.35">
      <c r="A47" s="8" t="s">
        <v>36</v>
      </c>
      <c r="C47" s="3" t="s">
        <v>358</v>
      </c>
      <c r="D47" s="3">
        <v>20</v>
      </c>
      <c r="E47" s="4"/>
      <c r="F47" s="4"/>
      <c r="G47" s="8"/>
    </row>
    <row r="48" spans="1:7" x14ac:dyDescent="0.35">
      <c r="A48" s="13" t="s">
        <v>142</v>
      </c>
      <c r="B48" s="8" t="s">
        <v>111</v>
      </c>
      <c r="C48" s="168" t="s">
        <v>358</v>
      </c>
      <c r="D48" s="3">
        <v>49</v>
      </c>
      <c r="F48" s="4" t="s">
        <v>9</v>
      </c>
      <c r="G48" s="8"/>
    </row>
    <row r="49" spans="1:7" x14ac:dyDescent="0.35">
      <c r="A49" s="8" t="s">
        <v>32</v>
      </c>
      <c r="C49" s="168" t="s">
        <v>358</v>
      </c>
      <c r="D49" s="3">
        <v>18</v>
      </c>
      <c r="G49" s="8"/>
    </row>
    <row r="50" spans="1:7" x14ac:dyDescent="0.35">
      <c r="A50" s="3" t="s">
        <v>14</v>
      </c>
      <c r="C50" s="3" t="s">
        <v>358</v>
      </c>
      <c r="D50" s="3">
        <v>6</v>
      </c>
      <c r="E50" s="4" t="s">
        <v>9</v>
      </c>
      <c r="F50" s="4"/>
      <c r="G50" s="8"/>
    </row>
    <row r="51" spans="1:7" x14ac:dyDescent="0.35">
      <c r="A51" s="8" t="s">
        <v>156</v>
      </c>
      <c r="B51" s="8" t="s">
        <v>111</v>
      </c>
      <c r="C51" s="3" t="s">
        <v>358</v>
      </c>
      <c r="D51" s="3">
        <v>55</v>
      </c>
      <c r="F51" s="4" t="s">
        <v>9</v>
      </c>
    </row>
    <row r="52" spans="1:7" x14ac:dyDescent="0.35">
      <c r="A52" s="8" t="s">
        <v>109</v>
      </c>
      <c r="B52" s="8" t="s">
        <v>111</v>
      </c>
      <c r="C52" s="3" t="s">
        <v>358</v>
      </c>
      <c r="D52" s="3">
        <v>44</v>
      </c>
      <c r="F52" s="4" t="s">
        <v>9</v>
      </c>
      <c r="G52" s="8"/>
    </row>
    <row r="53" spans="1:7" x14ac:dyDescent="0.35">
      <c r="A53" s="8" t="s">
        <v>31</v>
      </c>
      <c r="C53" s="3" t="s">
        <v>358</v>
      </c>
      <c r="D53" s="3">
        <v>16</v>
      </c>
      <c r="G53" s="8"/>
    </row>
    <row r="54" spans="1:7" s="8" customFormat="1" ht="29" x14ac:dyDescent="0.35">
      <c r="A54" s="3" t="s">
        <v>7</v>
      </c>
      <c r="B54" s="1" t="s">
        <v>39</v>
      </c>
      <c r="C54" s="3" t="s">
        <v>358</v>
      </c>
      <c r="D54" s="3">
        <v>1</v>
      </c>
    </row>
    <row r="55" spans="1:7" ht="41" x14ac:dyDescent="0.35">
      <c r="A55" s="8" t="s">
        <v>56</v>
      </c>
      <c r="C55" s="3" t="s">
        <v>358</v>
      </c>
      <c r="D55" s="3">
        <v>37</v>
      </c>
      <c r="E55" s="4" t="s">
        <v>9</v>
      </c>
      <c r="F55" s="4"/>
      <c r="G55" s="20" t="s">
        <v>126</v>
      </c>
    </row>
    <row r="56" spans="1:7" x14ac:dyDescent="0.35">
      <c r="A56" s="13" t="s">
        <v>143</v>
      </c>
      <c r="B56" s="8" t="s">
        <v>111</v>
      </c>
      <c r="C56" s="168" t="s">
        <v>358</v>
      </c>
      <c r="D56" s="3">
        <v>50</v>
      </c>
      <c r="F56" s="4" t="s">
        <v>9</v>
      </c>
    </row>
    <row r="57" spans="1:7" x14ac:dyDescent="0.35">
      <c r="A57" s="8" t="s">
        <v>145</v>
      </c>
      <c r="B57" s="8" t="s">
        <v>111</v>
      </c>
      <c r="C57" s="168" t="s">
        <v>358</v>
      </c>
      <c r="D57" s="3">
        <v>51</v>
      </c>
      <c r="F57" s="4" t="s">
        <v>9</v>
      </c>
      <c r="G57" s="8"/>
    </row>
    <row r="58" spans="1:7" x14ac:dyDescent="0.35">
      <c r="A58" s="8" t="s">
        <v>147</v>
      </c>
      <c r="B58" s="8" t="s">
        <v>111</v>
      </c>
      <c r="C58" s="168" t="s">
        <v>358</v>
      </c>
      <c r="D58" s="3">
        <v>52</v>
      </c>
      <c r="F58" s="4" t="s">
        <v>9</v>
      </c>
      <c r="G58" s="8"/>
    </row>
    <row r="59" spans="1:7" x14ac:dyDescent="0.35">
      <c r="A59" s="6" t="s">
        <v>25</v>
      </c>
      <c r="B59" s="6"/>
      <c r="C59" s="168" t="s">
        <v>358</v>
      </c>
      <c r="D59" s="3">
        <v>10</v>
      </c>
      <c r="E59" s="6"/>
      <c r="F59" s="6"/>
    </row>
    <row r="60" spans="1:7" ht="40.5" x14ac:dyDescent="0.35">
      <c r="A60" s="8" t="s">
        <v>55</v>
      </c>
      <c r="C60" s="168" t="s">
        <v>358</v>
      </c>
      <c r="D60" s="3">
        <v>36</v>
      </c>
      <c r="E60" s="4" t="s">
        <v>9</v>
      </c>
      <c r="F60" s="4"/>
      <c r="G60" s="19" t="s">
        <v>127</v>
      </c>
    </row>
    <row r="61" spans="1:7" s="8" customFormat="1" x14ac:dyDescent="0.35">
      <c r="A61" s="8" t="s">
        <v>50</v>
      </c>
      <c r="C61" s="168" t="s">
        <v>358</v>
      </c>
      <c r="D61" s="3">
        <v>32</v>
      </c>
      <c r="E61" s="4"/>
      <c r="F61" s="4"/>
    </row>
    <row r="62" spans="1:7" ht="29" x14ac:dyDescent="0.35">
      <c r="A62" s="3" t="s">
        <v>18</v>
      </c>
      <c r="B62" s="6"/>
      <c r="C62" s="3" t="s">
        <v>358</v>
      </c>
      <c r="D62" s="3">
        <v>9</v>
      </c>
      <c r="E62" s="12"/>
      <c r="F62" s="12"/>
      <c r="G62" t="s">
        <v>157</v>
      </c>
    </row>
    <row r="63" spans="1:7" x14ac:dyDescent="0.35">
      <c r="A63" s="8" t="s">
        <v>41</v>
      </c>
      <c r="C63" s="3" t="s">
        <v>358</v>
      </c>
      <c r="D63" s="3">
        <v>22</v>
      </c>
      <c r="E63" s="4"/>
      <c r="F63" s="4"/>
    </row>
    <row r="64" spans="1:7" x14ac:dyDescent="0.35">
      <c r="A64" s="8" t="s">
        <v>38</v>
      </c>
      <c r="C64" s="3" t="s">
        <v>358</v>
      </c>
      <c r="D64" s="3">
        <v>21</v>
      </c>
      <c r="E64" s="4"/>
      <c r="F64" s="4"/>
      <c r="G64" s="8"/>
    </row>
    <row r="65" spans="1:7" x14ac:dyDescent="0.35">
      <c r="A65" s="8" t="s">
        <v>115</v>
      </c>
      <c r="B65" s="8" t="s">
        <v>111</v>
      </c>
      <c r="C65" s="3" t="s">
        <v>358</v>
      </c>
      <c r="D65" s="3">
        <v>45</v>
      </c>
      <c r="F65" s="4" t="s">
        <v>9</v>
      </c>
    </row>
    <row r="66" spans="1:7" x14ac:dyDescent="0.35">
      <c r="A66" s="8" t="s">
        <v>23</v>
      </c>
      <c r="C66" s="3" t="s">
        <v>358</v>
      </c>
      <c r="D66" s="3">
        <v>13</v>
      </c>
      <c r="G66" s="8"/>
    </row>
    <row r="67" spans="1:7" x14ac:dyDescent="0.35">
      <c r="A67" s="8" t="s">
        <v>24</v>
      </c>
      <c r="C67" s="3" t="s">
        <v>358</v>
      </c>
      <c r="D67" s="3">
        <v>14</v>
      </c>
      <c r="G67" s="8"/>
    </row>
    <row r="68" spans="1:7" x14ac:dyDescent="0.35">
      <c r="A68" s="13" t="s">
        <v>137</v>
      </c>
      <c r="B68" s="8" t="s">
        <v>111</v>
      </c>
      <c r="C68" s="168" t="s">
        <v>358</v>
      </c>
      <c r="D68" s="3">
        <v>48</v>
      </c>
      <c r="F68" s="4" t="s">
        <v>9</v>
      </c>
      <c r="G68" s="8"/>
    </row>
    <row r="69" spans="1:7" ht="29" x14ac:dyDescent="0.35">
      <c r="A69" s="3" t="s">
        <v>13</v>
      </c>
      <c r="C69" s="3" t="s">
        <v>358</v>
      </c>
      <c r="D69" s="3">
        <v>5</v>
      </c>
      <c r="E69" s="4"/>
      <c r="F69" s="4"/>
      <c r="G69" s="8"/>
    </row>
    <row r="70" spans="1:7" x14ac:dyDescent="0.35">
      <c r="A70" s="8" t="s">
        <v>159</v>
      </c>
      <c r="B70" s="8" t="s">
        <v>111</v>
      </c>
      <c r="C70" s="3" t="s">
        <v>358</v>
      </c>
      <c r="D70" s="3">
        <v>57</v>
      </c>
      <c r="F70" s="4" t="s">
        <v>9</v>
      </c>
      <c r="G70" s="8"/>
    </row>
    <row r="71" spans="1:7" x14ac:dyDescent="0.35">
      <c r="A71" s="8" t="s">
        <v>34</v>
      </c>
      <c r="C71" s="3" t="s">
        <v>358</v>
      </c>
      <c r="D71" s="3">
        <v>19</v>
      </c>
      <c r="E71" s="4"/>
      <c r="F71" s="4"/>
      <c r="G71" s="8"/>
    </row>
    <row r="72" spans="1:7" x14ac:dyDescent="0.35">
      <c r="A72" s="8" t="s">
        <v>47</v>
      </c>
      <c r="C72" s="3" t="s">
        <v>358</v>
      </c>
      <c r="D72" s="3">
        <v>28</v>
      </c>
      <c r="E72" s="4"/>
      <c r="F72" s="4"/>
      <c r="G72" s="8"/>
    </row>
  </sheetData>
  <sortState ref="A2:G71">
    <sortCondition descending="1" ref="C2:C71"/>
    <sortCondition ref="A2:A71"/>
  </sortState>
  <hyperlinks>
    <hyperlink ref="A43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zoomScaleNormal="100" workbookViewId="0">
      <selection activeCell="P4" sqref="P4"/>
    </sheetView>
  </sheetViews>
  <sheetFormatPr defaultColWidth="9.1796875" defaultRowHeight="14.5" x14ac:dyDescent="0.35"/>
  <cols>
    <col min="1" max="1" width="9.1796875" style="8"/>
    <col min="2" max="2" width="35.1796875" style="8" customWidth="1"/>
    <col min="3" max="3" width="8.453125" style="8" customWidth="1"/>
    <col min="4" max="4" width="8.453125" style="33" customWidth="1"/>
    <col min="5" max="16" width="8.453125" style="8" customWidth="1"/>
    <col min="17" max="16384" width="9.1796875" style="8"/>
  </cols>
  <sheetData>
    <row r="1" spans="1:20" x14ac:dyDescent="0.35">
      <c r="B1" s="31" t="s">
        <v>246</v>
      </c>
      <c r="C1" s="32">
        <v>2002</v>
      </c>
      <c r="D1" s="31">
        <v>2003</v>
      </c>
      <c r="E1" s="32">
        <v>2004</v>
      </c>
      <c r="F1" s="31">
        <v>2005</v>
      </c>
      <c r="G1" s="32">
        <v>2006</v>
      </c>
      <c r="H1" s="31">
        <v>2007</v>
      </c>
      <c r="I1" s="31">
        <v>2008</v>
      </c>
      <c r="J1" s="31">
        <v>2009</v>
      </c>
      <c r="K1" s="31">
        <v>2010</v>
      </c>
      <c r="L1" s="31">
        <v>2011</v>
      </c>
      <c r="M1" s="31">
        <v>2012</v>
      </c>
      <c r="N1" s="31">
        <v>2013</v>
      </c>
      <c r="O1" s="31">
        <v>2014</v>
      </c>
      <c r="P1" s="31">
        <v>2015</v>
      </c>
      <c r="Q1" s="31">
        <v>2016</v>
      </c>
      <c r="R1" s="31">
        <v>2017</v>
      </c>
      <c r="S1" s="31">
        <v>2018</v>
      </c>
      <c r="T1" s="31">
        <v>2019</v>
      </c>
    </row>
    <row r="2" spans="1:20" x14ac:dyDescent="0.35">
      <c r="B2" s="36" t="s">
        <v>251</v>
      </c>
      <c r="C2" s="37">
        <v>2.5</v>
      </c>
      <c r="D2" s="37">
        <v>2.1</v>
      </c>
      <c r="E2" s="37">
        <v>2.2999999999999998</v>
      </c>
      <c r="F2" s="38">
        <v>2.2999999999999998</v>
      </c>
      <c r="G2" s="38">
        <v>2.2999999999999998</v>
      </c>
      <c r="H2" s="38">
        <v>2.4</v>
      </c>
      <c r="I2" s="38">
        <v>3.7</v>
      </c>
      <c r="J2" s="38">
        <v>1</v>
      </c>
      <c r="K2" s="38">
        <v>2.1</v>
      </c>
      <c r="L2" s="38">
        <v>3.1</v>
      </c>
      <c r="M2" s="38">
        <v>2.6</v>
      </c>
      <c r="N2" s="38">
        <v>1.5</v>
      </c>
      <c r="O2" s="38">
        <v>0.5</v>
      </c>
      <c r="P2" s="38">
        <v>0.1</v>
      </c>
      <c r="Q2" s="38">
        <v>0.2</v>
      </c>
      <c r="R2" s="38">
        <v>1.7</v>
      </c>
      <c r="S2" s="38">
        <v>1.9</v>
      </c>
      <c r="T2" s="38">
        <v>1.5</v>
      </c>
    </row>
    <row r="3" spans="1:20" x14ac:dyDescent="0.35">
      <c r="B3" s="36" t="s">
        <v>247</v>
      </c>
      <c r="C3" s="39">
        <f>(1+C2/100)*(1+D2/100)*(1+E2/100)*(1+F2/100)*(1+G2/100)*(1+H2/100)*(1+I2/100)*(1+J2/100)*(1+K2/100)*(1+L2/100)*(1+M2/100)*(1+N2/100)*(1+O2/100)</f>
        <v>1.3238551449208802</v>
      </c>
      <c r="D3" s="39">
        <f>(1+D2/100)*(1+E2/100)*(1+F2/100)*(1+G2/100)*(1+H2/100)*(1+I2/100)*(1+J2/100)*(1+K2/100)*(1+L2/100)*(1+M2/100)*(1+N2/100)*(1+O2/100)</f>
        <v>1.2915659950447616</v>
      </c>
      <c r="E3" s="39">
        <f>(1+E2/100)*(1+F2/100)*(1+G2/100)*(1+H2/100)*(1+I2/100)*(1+J2/100)*(1+K2/100)*(1+L2/100)*(1+M2/100)*(1+N2/100)*(1+O2/100)</f>
        <v>1.2650009745786106</v>
      </c>
      <c r="F3" s="39">
        <f>(1+F2/100)*(1+G2/100)*(1+H2/100)*(1+I2/100)*(1+J2/100)*(1+K2/100)*(1+L2/100)*(1+M2/100)*(1+N2/100)*(1+O2/100)</f>
        <v>1.2365600924522098</v>
      </c>
      <c r="G3" s="39">
        <f>(1+G2/100)*(1+H2/100)*(1+I2/100)*(1+J2/100)*(1+K2/100)*(1+L2/100)*(1+M2/100)*(1+N2/100)*(1+O2/100)*(1+P2/100)</f>
        <v>1.2099674022919478</v>
      </c>
      <c r="H3" s="39">
        <f>(1+H2/100)*(1+I2/100)*(1+J2/100)*(1+K2/100)*(1+L2/100)*(1+M2/100)*(1+N2/100)*(1+O2/100)</f>
        <v>1.1815822518556203</v>
      </c>
      <c r="I3" s="39">
        <f>(1+I2/100)*(1+J2/100)*(1+K2/100)*(1+L2/100)*(1+M2/100)*(1+N2/100)*(1+O2/100)</f>
        <v>1.1538889178277538</v>
      </c>
      <c r="J3" s="39">
        <f>(1+J2/100)*(1+K2/100)*(1+L2/100)*(1+M2/100)*(1+N2/100)*(1+O2/100)</f>
        <v>1.1127183392745941</v>
      </c>
      <c r="K3" s="39">
        <f>(1+K2/100)*(1+L2/100)*(1+M2/100)*(1+N2/100)*(1+O2/100)</f>
        <v>1.1017013260144495</v>
      </c>
      <c r="L3" s="39">
        <f>(1+L2/100)*(1+M2/100)*(1+N2/100)*(1+O2/100)</f>
        <v>1.0790414554499999</v>
      </c>
      <c r="M3" s="39">
        <f>(1+M2/100)*(1+N2/100)*(1+O2/100)</f>
        <v>1.0465969499999996</v>
      </c>
      <c r="N3" s="39">
        <f>(1+N2/100)*(1+O2/100)</f>
        <v>1.0200749999999998</v>
      </c>
      <c r="O3" s="39">
        <f>(1+O2/100)</f>
        <v>1.0049999999999999</v>
      </c>
      <c r="P3" s="13">
        <v>1</v>
      </c>
      <c r="Q3" s="13">
        <v>1</v>
      </c>
      <c r="R3" s="13">
        <v>1</v>
      </c>
      <c r="S3" s="13">
        <v>1</v>
      </c>
      <c r="T3" s="13">
        <v>1</v>
      </c>
    </row>
    <row r="4" spans="1:20" x14ac:dyDescent="0.35">
      <c r="B4" s="36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P4" s="39">
        <f>(1+P2/100)*(1+Q2/100)*(1+R2/100)*(1+S2/100)</f>
        <v>1.0394340416459997</v>
      </c>
      <c r="Q4" s="13"/>
      <c r="R4" s="13"/>
      <c r="S4" s="13"/>
      <c r="T4" s="13"/>
    </row>
    <row r="5" spans="1:20" x14ac:dyDescent="0.35">
      <c r="B5" s="31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13"/>
      <c r="Q5" s="13"/>
      <c r="R5" s="13"/>
    </row>
    <row r="6" spans="1:20" x14ac:dyDescent="0.35">
      <c r="A6" s="35"/>
      <c r="B6" s="31" t="s">
        <v>250</v>
      </c>
      <c r="C6" s="41">
        <v>2002</v>
      </c>
      <c r="D6" s="41">
        <v>2003</v>
      </c>
      <c r="E6" s="41">
        <v>2004</v>
      </c>
      <c r="F6" s="41">
        <v>2005</v>
      </c>
      <c r="G6" s="41">
        <v>2006</v>
      </c>
      <c r="H6" s="41">
        <v>2007</v>
      </c>
      <c r="I6" s="41">
        <v>2008</v>
      </c>
      <c r="J6" s="41">
        <v>2009</v>
      </c>
      <c r="K6" s="41">
        <v>2010</v>
      </c>
      <c r="L6" s="41">
        <v>2011</v>
      </c>
      <c r="M6" s="41">
        <v>2012</v>
      </c>
      <c r="N6" s="41">
        <v>2013</v>
      </c>
      <c r="O6" s="41">
        <v>2014</v>
      </c>
      <c r="P6" s="41">
        <v>2015</v>
      </c>
      <c r="Q6" s="41">
        <v>2016</v>
      </c>
      <c r="R6" s="41">
        <v>2017</v>
      </c>
    </row>
    <row r="7" spans="1:20" x14ac:dyDescent="0.35">
      <c r="B7" s="44" t="s">
        <v>248</v>
      </c>
      <c r="C7" s="43"/>
      <c r="D7" s="43"/>
      <c r="E7" s="43">
        <v>1.24</v>
      </c>
      <c r="F7" s="43">
        <v>1.24</v>
      </c>
      <c r="G7" s="43">
        <v>1.2556</v>
      </c>
      <c r="H7" s="43">
        <v>1.3705000000000001</v>
      </c>
      <c r="I7" s="43">
        <v>1.4708000000000001</v>
      </c>
      <c r="J7" s="43">
        <v>1.3948</v>
      </c>
      <c r="K7" s="43">
        <v>1.3257000000000001</v>
      </c>
      <c r="L7" s="43">
        <v>1.3919999999999999</v>
      </c>
      <c r="M7" s="43">
        <v>1.2847999999999999</v>
      </c>
      <c r="N7" s="43">
        <v>1.3281000000000001</v>
      </c>
      <c r="O7" s="43">
        <v>1.3285</v>
      </c>
      <c r="P7" s="43">
        <v>1.1094999999999999</v>
      </c>
      <c r="Q7" s="43">
        <v>1.1069</v>
      </c>
      <c r="R7" s="43">
        <v>1.1296999999999999</v>
      </c>
    </row>
    <row r="8" spans="1:20" x14ac:dyDescent="0.35">
      <c r="B8" s="44" t="s">
        <v>249</v>
      </c>
      <c r="C8" s="13"/>
      <c r="D8" s="40"/>
      <c r="E8" s="42"/>
      <c r="F8" s="42"/>
      <c r="G8" s="44">
        <v>1.5729</v>
      </c>
      <c r="H8" s="44">
        <v>1.6427</v>
      </c>
      <c r="I8" s="44">
        <v>1.5873999999999999</v>
      </c>
      <c r="J8" s="44">
        <v>1.51</v>
      </c>
      <c r="K8" s="44">
        <v>1.3803000000000001</v>
      </c>
      <c r="L8" s="44">
        <v>1.2325999999999999</v>
      </c>
      <c r="M8" s="44">
        <v>1.2053</v>
      </c>
      <c r="N8" s="44">
        <v>1.2311000000000001</v>
      </c>
      <c r="O8" s="44">
        <v>1.2145999999999999</v>
      </c>
      <c r="P8" s="44">
        <v>1.0679000000000001</v>
      </c>
      <c r="Q8" s="44">
        <v>1.0902000000000001</v>
      </c>
      <c r="R8" s="44">
        <v>1.1116999999999999</v>
      </c>
    </row>
    <row r="9" spans="1:20" x14ac:dyDescent="0.35">
      <c r="B9" s="6"/>
      <c r="C9" s="6"/>
      <c r="D9" s="34"/>
      <c r="E9" s="6"/>
      <c r="F9" s="6"/>
      <c r="G9" s="6"/>
      <c r="H9" s="6"/>
      <c r="I9" s="6"/>
      <c r="J9" s="6"/>
      <c r="K9" s="6"/>
      <c r="L9" s="6"/>
      <c r="M9" s="6"/>
    </row>
    <row r="12" spans="1:20" x14ac:dyDescent="0.35">
      <c r="B12" s="6"/>
      <c r="C12" s="6"/>
    </row>
    <row r="15" spans="1:20" x14ac:dyDescent="0.35">
      <c r="B15" s="6"/>
      <c r="C15" s="6"/>
    </row>
    <row r="18" spans="2:16" s="33" customFormat="1" x14ac:dyDescent="0.35">
      <c r="B18" s="6"/>
      <c r="C18" s="6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Unit costs</vt:lpstr>
      <vt:lpstr>Bibliography-all</vt:lpstr>
      <vt:lpstr>inflation_gdp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Kuik, O.J.</dc:creator>
  <cp:lastModifiedBy>DOTTORI Francesco (JRC-ISPRA)</cp:lastModifiedBy>
  <dcterms:created xsi:type="dcterms:W3CDTF">2015-08-25T11:18:44Z</dcterms:created>
  <dcterms:modified xsi:type="dcterms:W3CDTF">2021-04-08T13:22:58Z</dcterms:modified>
</cp:coreProperties>
</file>